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userName="Steven Martin" reservationPassword="C309"/>
  <workbookPr codeName="ThisWorkbook"/>
  <bookViews>
    <workbookView xWindow="3075" yWindow="1305" windowWidth="14760" windowHeight="7410" tabRatio="760" activeTab="8"/>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state="hidden" r:id="rId6"/>
    <sheet name="Asset lives roll forward" sheetId="7945" r:id="rId7"/>
    <sheet name="Tax depreciation" sheetId="7947" r:id="rId8"/>
    <sheet name="Output summary" sheetId="7946" r:id="rId9"/>
  </sheets>
  <externalReferences>
    <externalReference r:id="rId10"/>
  </externalReference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period'!$H$505</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period'!$H$506</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period'!$H$507</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period'!$H$508</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period'!$H$509</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period'!$H$510</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period'!$H$511</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period'!$H$512</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period'!$H$513</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period'!$H$514</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period'!$H$496</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period'!$H$515</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period'!$H$516</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period'!$H$517</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period'!$H$518</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period'!$H$519</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period'!$H$520</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period'!$H$521</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period'!$H$522</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period'!$H$523</definedName>
    <definedName name="A29remlife">Input!$K$35</definedName>
    <definedName name="A29stdlife">Input!$L$35</definedName>
    <definedName name="A29taxremlife">Input!$V$35</definedName>
    <definedName name="A29taxstdlife">Input!$W$35</definedName>
    <definedName name="A29taxvalue">Input!$U$35</definedName>
    <definedName name="A29value">'Adjustment for previous period'!$H$524</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period'!$H$497</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period'!$H$525</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period'!$H$498</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period'!$H$499</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period'!$H$500</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period'!$H$501</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period'!$H$502</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period'!$H$503</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period'!$H$504</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[1]Input!$G$193</definedName>
    <definedName name="Dr">[1]Input!$G$194</definedName>
    <definedName name="Drp">[1]Input!$G$189</definedName>
    <definedName name="Dv">[1]Input!$G$192</definedName>
    <definedName name="f">[1]Input!$G$188</definedName>
    <definedName name="g">[1]Input!$G$191</definedName>
    <definedName name="Mrp">[1]Input!$G$190</definedName>
    <definedName name="P_0">'[1]X factor'!$E$31</definedName>
    <definedName name="previous_vanilla">Input!$H$319</definedName>
    <definedName name="_xlnm.Print_Area" localSheetId="3">'Actual RAB roll forward'!$C$1:$S$1018</definedName>
    <definedName name="_xlnm.Print_Area" localSheetId="2">'Adjustment for previous period'!$B$1:$R$685</definedName>
    <definedName name="_xlnm.Print_Area" localSheetId="6">'Asset lives roll forward'!$A$1:$L$426</definedName>
    <definedName name="_xlnm.Print_Area" localSheetId="1">Input!$F$1:$X$320</definedName>
    <definedName name="_xlnm.Print_Area" localSheetId="0">Intro!$A$1:$W$35</definedName>
    <definedName name="_xlnm.Print_Area" localSheetId="8">'Output summary'!$A$1:$R$37</definedName>
    <definedName name="_xlnm.Print_Area" localSheetId="5">'Tax value roll forward'!$A$1:$R$397</definedName>
    <definedName name="_xlnm.Print_Area" localSheetId="4">'Total actual RAB roll forward'!$C$1:$R$847</definedName>
    <definedName name="RAB">Input!$J$37</definedName>
    <definedName name="Rf">[1]Input!$G$187</definedName>
    <definedName name="rvanilla">[1]WACC!$F$28</definedName>
    <definedName name="Td">[1]Analysis!$D$73</definedName>
    <definedName name="vanilla">[1]WACC!$F$27</definedName>
    <definedName name="vanilla1">Input!$I$319</definedName>
    <definedName name="vanilla10">Input!$R$319</definedName>
    <definedName name="vanilla2">Input!$J$319</definedName>
    <definedName name="vanilla3">Input!$K$319</definedName>
    <definedName name="vanilla4">Input!$L$319</definedName>
    <definedName name="vanilla5">Input!$M$319</definedName>
    <definedName name="vanilla6">Input!$N$319</definedName>
    <definedName name="vanilla7">Input!$O$319</definedName>
    <definedName name="vanilla8">Input!$P$319</definedName>
    <definedName name="vanilla9">Input!$Q$319</definedName>
    <definedName name="x_1">'[1]X factor'!$F$31</definedName>
    <definedName name="X_2">'[1]X factor'!$G$31</definedName>
    <definedName name="X_3">'[1]X factor'!$H$31</definedName>
    <definedName name="X_4">'[1]X factor'!$I$31</definedName>
  </definedNames>
  <calcPr calcId="145621"/>
</workbook>
</file>

<file path=xl/calcChain.xml><?xml version="1.0" encoding="utf-8"?>
<calcChain xmlns="http://schemas.openxmlformats.org/spreadsheetml/2006/main">
  <c r="C488" i="7942" l="1"/>
  <c r="C486" i="7942"/>
  <c r="C484" i="7942"/>
  <c r="C482" i="7942"/>
  <c r="C480" i="7942"/>
  <c r="C478" i="7942"/>
  <c r="C476" i="7942"/>
  <c r="C474" i="7942"/>
  <c r="C472" i="7942"/>
  <c r="C470" i="7942"/>
  <c r="D455" i="7941"/>
  <c r="D454" i="7941"/>
  <c r="D453" i="7941"/>
  <c r="D452" i="7941"/>
  <c r="D451" i="7941"/>
  <c r="D450" i="7941"/>
  <c r="D449" i="7941"/>
  <c r="D448" i="7941"/>
  <c r="D447" i="7941"/>
  <c r="D446" i="7941"/>
  <c r="Q423" i="7941"/>
  <c r="P423" i="7941"/>
  <c r="O423" i="7941"/>
  <c r="N423" i="7941"/>
  <c r="Q422" i="7941"/>
  <c r="P422" i="7941"/>
  <c r="O422" i="7941"/>
  <c r="N422" i="7941"/>
  <c r="Q421" i="7941"/>
  <c r="P421" i="7941"/>
  <c r="O421" i="7941"/>
  <c r="N421" i="7941"/>
  <c r="Q420" i="7941"/>
  <c r="P420" i="7941"/>
  <c r="O420" i="7941"/>
  <c r="N420" i="7941"/>
  <c r="Q419" i="7941"/>
  <c r="P419" i="7941"/>
  <c r="O419" i="7941"/>
  <c r="N419" i="7941"/>
  <c r="Q418" i="7941"/>
  <c r="P418" i="7941"/>
  <c r="O418" i="7941"/>
  <c r="N418" i="7941"/>
  <c r="Q417" i="7941"/>
  <c r="P417" i="7941"/>
  <c r="O417" i="7941"/>
  <c r="N417" i="7941"/>
  <c r="Q416" i="7941"/>
  <c r="P416" i="7941"/>
  <c r="O416" i="7941"/>
  <c r="N416" i="7941"/>
  <c r="Q415" i="7941"/>
  <c r="P415" i="7941"/>
  <c r="O415" i="7941"/>
  <c r="N415" i="7941"/>
  <c r="Q414" i="7941"/>
  <c r="P414" i="7941"/>
  <c r="O414" i="7941"/>
  <c r="N414" i="7941"/>
  <c r="G426" i="7942"/>
  <c r="G425" i="7942"/>
  <c r="G422" i="7942"/>
  <c r="G421" i="7942"/>
  <c r="G418" i="7942"/>
  <c r="G395" i="7942"/>
  <c r="G427" i="7942" s="1"/>
  <c r="G394" i="7942"/>
  <c r="G393" i="7942"/>
  <c r="G392" i="7942"/>
  <c r="G424" i="7942" s="1"/>
  <c r="G391" i="7942"/>
  <c r="G423" i="7942" s="1"/>
  <c r="G390" i="7942"/>
  <c r="G389" i="7942"/>
  <c r="G388" i="7942"/>
  <c r="G420" i="7942" s="1"/>
  <c r="G387" i="7942"/>
  <c r="G419" i="7942" s="1"/>
  <c r="G386" i="7942"/>
  <c r="C395" i="7942"/>
  <c r="C394" i="7942"/>
  <c r="C393" i="7942"/>
  <c r="C392" i="7942"/>
  <c r="C391" i="7942"/>
  <c r="C390" i="7942"/>
  <c r="C389" i="7942"/>
  <c r="C388" i="7942"/>
  <c r="C387" i="7942"/>
  <c r="C386" i="7942"/>
  <c r="G363" i="7942"/>
  <c r="G362" i="7942"/>
  <c r="G361" i="7942"/>
  <c r="G360" i="7942"/>
  <c r="G359" i="7942"/>
  <c r="G358" i="7942"/>
  <c r="G357" i="7942"/>
  <c r="G356" i="7942"/>
  <c r="G355" i="7942"/>
  <c r="G354" i="7942"/>
  <c r="C363" i="7942"/>
  <c r="C362" i="7942"/>
  <c r="C361" i="7942"/>
  <c r="C360" i="7942"/>
  <c r="C359" i="7942"/>
  <c r="C358" i="7942"/>
  <c r="C357" i="7942"/>
  <c r="C356" i="7942"/>
  <c r="C355" i="7942"/>
  <c r="C354" i="7942"/>
  <c r="C427" i="7942"/>
  <c r="C426" i="7942"/>
  <c r="C425" i="7942"/>
  <c r="C424" i="7942"/>
  <c r="C423" i="7942"/>
  <c r="C422" i="7942"/>
  <c r="C421" i="7942"/>
  <c r="C420" i="7942"/>
  <c r="C419" i="7942"/>
  <c r="C418" i="7942"/>
  <c r="D423" i="7941"/>
  <c r="D422" i="7941"/>
  <c r="D421" i="7941"/>
  <c r="D420" i="7941"/>
  <c r="D419" i="7941"/>
  <c r="D418" i="7941"/>
  <c r="D417" i="7941"/>
  <c r="D416" i="7941"/>
  <c r="D415" i="7941"/>
  <c r="D414" i="7941"/>
  <c r="D229" i="7941" l="1"/>
  <c r="D228" i="7941"/>
  <c r="D227" i="7941"/>
  <c r="D226" i="7941"/>
  <c r="D225" i="7941"/>
  <c r="D224" i="7941"/>
  <c r="D223" i="7941"/>
  <c r="D222" i="7941"/>
  <c r="D221" i="7941"/>
  <c r="D220" i="7941"/>
  <c r="D234" i="7941"/>
  <c r="G220" i="7941"/>
  <c r="G221" i="7941"/>
  <c r="G222" i="7941"/>
  <c r="G223" i="7941"/>
  <c r="G224" i="7941"/>
  <c r="G225" i="7941"/>
  <c r="G226" i="7941"/>
  <c r="G227" i="7941"/>
  <c r="G228" i="7941"/>
  <c r="G229" i="7941"/>
  <c r="D951" i="18"/>
  <c r="D950" i="18"/>
  <c r="D949" i="18"/>
  <c r="D948" i="18"/>
  <c r="D947" i="18"/>
  <c r="D946" i="18"/>
  <c r="D945" i="18"/>
  <c r="D944" i="18"/>
  <c r="D943" i="18"/>
  <c r="D942" i="18"/>
  <c r="G930" i="18"/>
  <c r="G931" i="18"/>
  <c r="G932" i="18"/>
  <c r="G933" i="18"/>
  <c r="G934" i="18"/>
  <c r="G935" i="18"/>
  <c r="G936" i="18"/>
  <c r="G937" i="18"/>
  <c r="G938" i="18"/>
  <c r="G939" i="18"/>
  <c r="G940" i="18"/>
  <c r="G941" i="18"/>
  <c r="G942" i="18"/>
  <c r="G943" i="18"/>
  <c r="G944" i="18"/>
  <c r="G945" i="18"/>
  <c r="G946" i="18"/>
  <c r="G947" i="18"/>
  <c r="G948" i="18"/>
  <c r="G949" i="18"/>
  <c r="G950" i="18"/>
  <c r="G951" i="18"/>
  <c r="D691" i="18"/>
  <c r="D690" i="18"/>
  <c r="D689" i="18"/>
  <c r="D688" i="18"/>
  <c r="D687" i="18"/>
  <c r="D686" i="18"/>
  <c r="D685" i="18"/>
  <c r="D684" i="18"/>
  <c r="D683" i="18"/>
  <c r="D682" i="18"/>
  <c r="G691" i="18"/>
  <c r="G690" i="18"/>
  <c r="G689" i="18"/>
  <c r="G688" i="18"/>
  <c r="G687" i="18"/>
  <c r="G686" i="18"/>
  <c r="G685" i="18"/>
  <c r="G684" i="18"/>
  <c r="G683" i="18"/>
  <c r="G682" i="18"/>
  <c r="C717" i="7942"/>
  <c r="C716" i="7942"/>
  <c r="C715" i="7942"/>
  <c r="C714" i="7942"/>
  <c r="C713" i="7942"/>
  <c r="C712" i="7942"/>
  <c r="C711" i="7942"/>
  <c r="C710" i="7942"/>
  <c r="C709" i="7942"/>
  <c r="C708" i="7942"/>
  <c r="G717" i="7942"/>
  <c r="G708" i="7942"/>
  <c r="G709" i="7942"/>
  <c r="G710" i="7942"/>
  <c r="G711" i="7942"/>
  <c r="G712" i="7942"/>
  <c r="G713" i="7942"/>
  <c r="G714" i="7942"/>
  <c r="G715" i="7942"/>
  <c r="G716" i="7942"/>
  <c r="H137" i="7947"/>
  <c r="I314" i="1" l="1"/>
  <c r="J314" i="1" s="1"/>
  <c r="K314" i="1" s="1"/>
  <c r="L314" i="1" s="1"/>
  <c r="M314" i="1" s="1"/>
  <c r="G251" i="1" l="1"/>
  <c r="H245" i="1"/>
  <c r="I245" i="1"/>
  <c r="J245" i="1"/>
  <c r="K245" i="1"/>
  <c r="L6" i="18"/>
  <c r="H246" i="1"/>
  <c r="I178" i="1"/>
  <c r="I246" i="1"/>
  <c r="J178" i="1"/>
  <c r="J246" i="1"/>
  <c r="K178" i="1"/>
  <c r="H179" i="1"/>
  <c r="I247" i="1"/>
  <c r="I104" i="18"/>
  <c r="J247" i="1"/>
  <c r="J104" i="18"/>
  <c r="J105" i="18"/>
  <c r="K179" i="1"/>
  <c r="K104" i="18"/>
  <c r="K105" i="18"/>
  <c r="K106" i="18"/>
  <c r="L213" i="1"/>
  <c r="L104" i="18"/>
  <c r="L105" i="18"/>
  <c r="L106" i="18"/>
  <c r="L107" i="18"/>
  <c r="H248" i="1"/>
  <c r="I117" i="18"/>
  <c r="J180" i="1"/>
  <c r="J248" i="1"/>
  <c r="J117" i="18"/>
  <c r="J118" i="18"/>
  <c r="K180" i="1"/>
  <c r="K117" i="18"/>
  <c r="K118" i="18"/>
  <c r="K119" i="18"/>
  <c r="L214" i="1"/>
  <c r="L117" i="18"/>
  <c r="L118" i="18"/>
  <c r="L119" i="18"/>
  <c r="L120" i="18"/>
  <c r="H249" i="1"/>
  <c r="I249" i="1"/>
  <c r="J249" i="1"/>
  <c r="K249" i="1"/>
  <c r="L215" i="1"/>
  <c r="M130" i="7944" s="1"/>
  <c r="N130" i="7944" s="1"/>
  <c r="H250" i="1"/>
  <c r="I250" i="1"/>
  <c r="J250" i="1"/>
  <c r="K250" i="1"/>
  <c r="L216" i="1"/>
  <c r="I251" i="1"/>
  <c r="H183" i="1"/>
  <c r="K183" i="1"/>
  <c r="K251" i="1"/>
  <c r="J183" i="1"/>
  <c r="G182" i="1"/>
  <c r="G249" i="1"/>
  <c r="G248" i="1"/>
  <c r="G247" i="1"/>
  <c r="G246" i="1"/>
  <c r="G177" i="1"/>
  <c r="K218" i="1"/>
  <c r="J105" i="1"/>
  <c r="H218" i="1"/>
  <c r="G218" i="1"/>
  <c r="H15" i="7944" s="1"/>
  <c r="I216" i="1"/>
  <c r="J215" i="1"/>
  <c r="K214" i="1"/>
  <c r="H213" i="1"/>
  <c r="G597" i="7942"/>
  <c r="G596" i="7942"/>
  <c r="D259" i="7947"/>
  <c r="C175" i="7947"/>
  <c r="C165" i="7947"/>
  <c r="B168" i="7947" s="1"/>
  <c r="C160" i="7947"/>
  <c r="B163" i="7947" s="1"/>
  <c r="C155" i="7947"/>
  <c r="C150" i="7947"/>
  <c r="C145" i="7947"/>
  <c r="C140" i="7947"/>
  <c r="C95" i="7947"/>
  <c r="C91" i="7947"/>
  <c r="B93" i="7947" s="1"/>
  <c r="C87" i="7947"/>
  <c r="C79" i="7947"/>
  <c r="B81" i="7947" s="1"/>
  <c r="C75" i="7947"/>
  <c r="C71" i="7947"/>
  <c r="B73" i="7947" s="1"/>
  <c r="C67" i="7947"/>
  <c r="B69" i="7947" s="1"/>
  <c r="C38" i="7947"/>
  <c r="C34" i="7947"/>
  <c r="C22" i="7947"/>
  <c r="C23" i="7947" s="1"/>
  <c r="H319" i="1"/>
  <c r="G66" i="7942" s="1"/>
  <c r="G630" i="7942"/>
  <c r="G604" i="18" s="1"/>
  <c r="G142" i="7941" s="1"/>
  <c r="G598" i="7942"/>
  <c r="G864" i="18" s="1"/>
  <c r="G594" i="7941" s="1"/>
  <c r="G18" i="7942"/>
  <c r="G476" i="18"/>
  <c r="G14" i="7941" s="1"/>
  <c r="G629" i="7942"/>
  <c r="G565" i="7942"/>
  <c r="G539" i="18" s="1"/>
  <c r="G77" i="7941" s="1"/>
  <c r="G17" i="7942"/>
  <c r="G475" i="18"/>
  <c r="G13" i="7941" s="1"/>
  <c r="G628" i="7942"/>
  <c r="G564" i="7942"/>
  <c r="G538" i="18" s="1"/>
  <c r="G76" i="7941" s="1"/>
  <c r="G474" i="18"/>
  <c r="G627" i="7942"/>
  <c r="G595" i="7942"/>
  <c r="G563" i="7942"/>
  <c r="G829" i="18" s="1"/>
  <c r="G559" i="7941" s="1"/>
  <c r="G765" i="18"/>
  <c r="G495" i="7941" s="1"/>
  <c r="G626" i="7942"/>
  <c r="G892" i="18" s="1"/>
  <c r="G622" i="7941" s="1"/>
  <c r="G764" i="18"/>
  <c r="G494" i="7941" s="1"/>
  <c r="G529" i="7942"/>
  <c r="G795" i="18" s="1"/>
  <c r="G763" i="18"/>
  <c r="G624" i="7942"/>
  <c r="G592" i="7942"/>
  <c r="G560" i="7942"/>
  <c r="G534" i="18" s="1"/>
  <c r="G528" i="7942"/>
  <c r="G502" i="18" s="1"/>
  <c r="C204" i="7947"/>
  <c r="C214" i="7947" s="1"/>
  <c r="C202" i="7947"/>
  <c r="D116" i="7947"/>
  <c r="D115" i="7947"/>
  <c r="D113" i="7947"/>
  <c r="D112" i="7947"/>
  <c r="AM146" i="7947"/>
  <c r="D110" i="7947"/>
  <c r="I316" i="1"/>
  <c r="F92" i="7945"/>
  <c r="G264" i="7947"/>
  <c r="I264" i="7947" s="1"/>
  <c r="B263" i="7947"/>
  <c r="B259" i="7947"/>
  <c r="F8" i="7945"/>
  <c r="Q6" i="18"/>
  <c r="O6" i="18"/>
  <c r="N6" i="18"/>
  <c r="N314" i="1"/>
  <c r="L211" i="1"/>
  <c r="H177" i="7947"/>
  <c r="H211" i="1"/>
  <c r="I211" i="1"/>
  <c r="K211" i="1"/>
  <c r="L245" i="1"/>
  <c r="H212" i="1"/>
  <c r="J212" i="1"/>
  <c r="J213" i="1"/>
  <c r="H214" i="1"/>
  <c r="I214" i="1"/>
  <c r="L180" i="1"/>
  <c r="H215" i="1"/>
  <c r="I215" i="1"/>
  <c r="K215" i="1"/>
  <c r="J216" i="1"/>
  <c r="K216" i="1"/>
  <c r="I217" i="1"/>
  <c r="J217" i="1"/>
  <c r="K217" i="1"/>
  <c r="G211" i="1"/>
  <c r="G212" i="1"/>
  <c r="L247" i="1"/>
  <c r="L248" i="1"/>
  <c r="L249" i="1"/>
  <c r="L250" i="1"/>
  <c r="G250" i="1"/>
  <c r="L251" i="1"/>
  <c r="G217" i="1"/>
  <c r="G213" i="1"/>
  <c r="G214" i="1"/>
  <c r="C142" i="7947"/>
  <c r="D142" i="7947"/>
  <c r="E142" i="7947"/>
  <c r="F142" i="7947"/>
  <c r="C147" i="7947"/>
  <c r="D147" i="7947"/>
  <c r="E147" i="7947"/>
  <c r="F147" i="7947"/>
  <c r="G147" i="7947"/>
  <c r="C152" i="7947"/>
  <c r="D152" i="7947"/>
  <c r="E152" i="7947"/>
  <c r="G152" i="7947"/>
  <c r="C157" i="7947"/>
  <c r="D157" i="7947"/>
  <c r="E157" i="7947"/>
  <c r="F157" i="7947"/>
  <c r="G157" i="7947"/>
  <c r="C162" i="7947"/>
  <c r="D162" i="7947"/>
  <c r="E162" i="7947"/>
  <c r="F162" i="7947"/>
  <c r="G162" i="7947"/>
  <c r="C167" i="7947"/>
  <c r="D167" i="7947"/>
  <c r="E167" i="7947"/>
  <c r="F167" i="7947"/>
  <c r="G167" i="7947"/>
  <c r="C172" i="7947"/>
  <c r="D172" i="7947"/>
  <c r="E172" i="7947"/>
  <c r="F172" i="7947"/>
  <c r="G172" i="7947"/>
  <c r="C177" i="7947"/>
  <c r="D177" i="7947"/>
  <c r="E177" i="7947"/>
  <c r="F177" i="7947"/>
  <c r="G177" i="7947"/>
  <c r="E272" i="7947"/>
  <c r="F272" i="7947"/>
  <c r="D273" i="7947"/>
  <c r="G496" i="7942"/>
  <c r="G6" i="7942"/>
  <c r="H6" i="18"/>
  <c r="I319" i="1"/>
  <c r="J319" i="1"/>
  <c r="K319" i="1"/>
  <c r="K6" i="18"/>
  <c r="L319" i="1"/>
  <c r="M319" i="1"/>
  <c r="L7" i="7942" s="1"/>
  <c r="P319" i="1"/>
  <c r="O7" i="7942" s="1"/>
  <c r="Q319" i="1"/>
  <c r="P7" i="7942" s="1"/>
  <c r="R319" i="1"/>
  <c r="Q7" i="7942" s="1"/>
  <c r="G562" i="7942"/>
  <c r="G473" i="18"/>
  <c r="G566" i="7942"/>
  <c r="H252" i="1"/>
  <c r="I184" i="1"/>
  <c r="I218" i="1"/>
  <c r="I47" i="7944" s="1"/>
  <c r="I252" i="1"/>
  <c r="J184" i="1"/>
  <c r="J218" i="1"/>
  <c r="J252" i="1"/>
  <c r="F6" i="7942"/>
  <c r="F64" i="7945"/>
  <c r="F270" i="7947"/>
  <c r="B158" i="7947"/>
  <c r="C26" i="7947"/>
  <c r="D260" i="7947"/>
  <c r="F271" i="7947" s="1"/>
  <c r="D262" i="7947"/>
  <c r="F273" i="7947" s="1"/>
  <c r="B262" i="7947"/>
  <c r="D263" i="7947"/>
  <c r="F274" i="7947" s="1"/>
  <c r="C170" i="7947"/>
  <c r="D264" i="7947"/>
  <c r="F275" i="7947" s="1"/>
  <c r="D265" i="7947"/>
  <c r="F276" i="7947" s="1"/>
  <c r="C99" i="7947"/>
  <c r="C83" i="7947"/>
  <c r="C84" i="7947" s="1"/>
  <c r="H3" i="18"/>
  <c r="I3" i="18" s="1"/>
  <c r="D278" i="7947"/>
  <c r="E278" i="7947"/>
  <c r="D205" i="18"/>
  <c r="D218" i="18"/>
  <c r="G505" i="7942"/>
  <c r="G537" i="7942"/>
  <c r="G511" i="18" s="1"/>
  <c r="G49" i="7941" s="1"/>
  <c r="G569" i="7942"/>
  <c r="G543" i="18" s="1"/>
  <c r="G81" i="7941" s="1"/>
  <c r="G697" i="7942"/>
  <c r="G506" i="7942"/>
  <c r="G538" i="7942"/>
  <c r="G512" i="18" s="1"/>
  <c r="G50" i="7941" s="1"/>
  <c r="G570" i="7942"/>
  <c r="G544" i="18" s="1"/>
  <c r="G82" i="7941" s="1"/>
  <c r="G698" i="7942"/>
  <c r="H186" i="1"/>
  <c r="H187" i="1"/>
  <c r="I186" i="1"/>
  <c r="I187" i="1"/>
  <c r="J186" i="1"/>
  <c r="J187" i="1"/>
  <c r="K186" i="1"/>
  <c r="K187" i="1"/>
  <c r="G479" i="18"/>
  <c r="G17" i="7941" s="1"/>
  <c r="G209" i="7941"/>
  <c r="D705" i="18"/>
  <c r="G671" i="18"/>
  <c r="G480" i="18"/>
  <c r="G18" i="7941" s="1"/>
  <c r="G210" i="7941"/>
  <c r="D706" i="18"/>
  <c r="G672" i="18"/>
  <c r="G252" i="1"/>
  <c r="G152" i="1"/>
  <c r="G21" i="7942"/>
  <c r="G153" i="1"/>
  <c r="G22" i="7942"/>
  <c r="G645" i="18"/>
  <c r="G183" i="7941" s="1"/>
  <c r="G521" i="18"/>
  <c r="G59" i="7941" s="1"/>
  <c r="L187" i="1"/>
  <c r="F148" i="7945"/>
  <c r="D696" i="18"/>
  <c r="D88" i="18"/>
  <c r="D101" i="18"/>
  <c r="D114" i="18"/>
  <c r="D127" i="18"/>
  <c r="D140" i="18"/>
  <c r="D153" i="18"/>
  <c r="D166" i="18"/>
  <c r="D179" i="18"/>
  <c r="D192" i="18"/>
  <c r="D231" i="18"/>
  <c r="D244" i="18"/>
  <c r="D257" i="18"/>
  <c r="D270" i="18"/>
  <c r="D283" i="18"/>
  <c r="D296" i="18"/>
  <c r="D309" i="18"/>
  <c r="D322" i="18"/>
  <c r="D335" i="18"/>
  <c r="D348" i="18"/>
  <c r="D361" i="18"/>
  <c r="D374" i="18"/>
  <c r="D387" i="18"/>
  <c r="D400" i="18"/>
  <c r="D413" i="18"/>
  <c r="D426" i="18"/>
  <c r="D439" i="18"/>
  <c r="D452" i="18"/>
  <c r="D465" i="18"/>
  <c r="D697" i="18"/>
  <c r="D698" i="18"/>
  <c r="D699" i="18"/>
  <c r="D700" i="18"/>
  <c r="D701" i="18"/>
  <c r="D702" i="18"/>
  <c r="D703" i="18"/>
  <c r="D704" i="18"/>
  <c r="G771" i="18"/>
  <c r="G501" i="7941" s="1"/>
  <c r="G661" i="7941"/>
  <c r="L186" i="1"/>
  <c r="G772" i="18"/>
  <c r="G502" i="7941" s="1"/>
  <c r="G662" i="7941"/>
  <c r="D707" i="18"/>
  <c r="D708" i="18"/>
  <c r="D709" i="18"/>
  <c r="D710" i="18"/>
  <c r="D711" i="18"/>
  <c r="D712" i="18"/>
  <c r="D713" i="18"/>
  <c r="D714" i="18"/>
  <c r="D715" i="18"/>
  <c r="D716" i="18"/>
  <c r="D717" i="18"/>
  <c r="D718" i="18"/>
  <c r="D719" i="18"/>
  <c r="D720" i="18"/>
  <c r="D721" i="18"/>
  <c r="D722" i="18"/>
  <c r="D723" i="18"/>
  <c r="D724" i="18"/>
  <c r="D725" i="18"/>
  <c r="F134" i="7945"/>
  <c r="L232" i="1"/>
  <c r="K232" i="1"/>
  <c r="L350" i="7944"/>
  <c r="J232" i="1"/>
  <c r="I232" i="1"/>
  <c r="H232" i="1"/>
  <c r="G232" i="1"/>
  <c r="G300" i="1"/>
  <c r="L231" i="1"/>
  <c r="N338" i="7944"/>
  <c r="K231" i="1"/>
  <c r="J231" i="1"/>
  <c r="I231" i="1"/>
  <c r="H231" i="1"/>
  <c r="H60" i="7944"/>
  <c r="G231" i="1"/>
  <c r="L230" i="1"/>
  <c r="K230" i="1"/>
  <c r="J230" i="1"/>
  <c r="I230" i="1"/>
  <c r="H230" i="1"/>
  <c r="G230" i="1"/>
  <c r="L229" i="1"/>
  <c r="L58" i="7944"/>
  <c r="J265" i="7945"/>
  <c r="K265" i="7945" s="1"/>
  <c r="K229" i="1"/>
  <c r="J229" i="1"/>
  <c r="I229" i="1"/>
  <c r="I58" i="7944"/>
  <c r="H229" i="1"/>
  <c r="G229" i="1"/>
  <c r="L228" i="1"/>
  <c r="K228" i="1"/>
  <c r="J228" i="1"/>
  <c r="L297" i="7944"/>
  <c r="J249" i="7945"/>
  <c r="K249" i="7945" s="1"/>
  <c r="I228" i="1"/>
  <c r="H228" i="1"/>
  <c r="G228" i="1"/>
  <c r="G296" i="1"/>
  <c r="L227" i="1"/>
  <c r="L56" i="7944"/>
  <c r="J237" i="7945"/>
  <c r="K237" i="7945" s="1"/>
  <c r="K227" i="1"/>
  <c r="J227" i="1"/>
  <c r="I227" i="1"/>
  <c r="H227" i="1"/>
  <c r="G227" i="1"/>
  <c r="L226" i="1"/>
  <c r="K226" i="1"/>
  <c r="J226" i="1"/>
  <c r="I226" i="1"/>
  <c r="H226" i="1"/>
  <c r="G226" i="1"/>
  <c r="L225" i="1"/>
  <c r="L54" i="7944"/>
  <c r="J209" i="7945"/>
  <c r="K209" i="7945" s="1"/>
  <c r="K225" i="1"/>
  <c r="J225" i="1"/>
  <c r="I225" i="1"/>
  <c r="I54" i="7944"/>
  <c r="H225" i="1"/>
  <c r="I256" i="7944"/>
  <c r="I266" i="7944"/>
  <c r="G225" i="1"/>
  <c r="L224" i="1"/>
  <c r="K224" i="1"/>
  <c r="L246" i="7944"/>
  <c r="J224" i="1"/>
  <c r="I224" i="1"/>
  <c r="H224" i="1"/>
  <c r="G224" i="1"/>
  <c r="H21" i="7944"/>
  <c r="L223" i="1"/>
  <c r="L52" i="7944"/>
  <c r="K223" i="1"/>
  <c r="J223" i="1"/>
  <c r="I223" i="1"/>
  <c r="H223" i="1"/>
  <c r="G223" i="1"/>
  <c r="L222" i="1"/>
  <c r="K222" i="1"/>
  <c r="K51" i="7944"/>
  <c r="J222" i="1"/>
  <c r="K219" i="7944"/>
  <c r="I222" i="1"/>
  <c r="H222" i="1"/>
  <c r="G222" i="1"/>
  <c r="G290" i="1"/>
  <c r="L221" i="1"/>
  <c r="N208" i="7944"/>
  <c r="O208" i="7944"/>
  <c r="K221" i="1"/>
  <c r="J221" i="1"/>
  <c r="I221" i="1"/>
  <c r="H221" i="1"/>
  <c r="G221" i="1"/>
  <c r="L220" i="1"/>
  <c r="K220" i="1"/>
  <c r="J220" i="1"/>
  <c r="I220" i="1"/>
  <c r="H220" i="1"/>
  <c r="G220" i="1"/>
  <c r="G288" i="1"/>
  <c r="L219" i="1"/>
  <c r="L48" i="7944"/>
  <c r="J125" i="7945"/>
  <c r="K125" i="7945" s="1"/>
  <c r="K219" i="1"/>
  <c r="J219" i="1"/>
  <c r="I219" i="1"/>
  <c r="H219" i="1"/>
  <c r="G219" i="1"/>
  <c r="L197" i="1"/>
  <c r="K197" i="1"/>
  <c r="J197" i="1"/>
  <c r="I197" i="1"/>
  <c r="H197" i="1"/>
  <c r="G197" i="1"/>
  <c r="L196" i="1"/>
  <c r="K196" i="1"/>
  <c r="J196" i="1"/>
  <c r="I196" i="1"/>
  <c r="H196" i="1"/>
  <c r="G196" i="1"/>
  <c r="L195" i="1"/>
  <c r="K195" i="1"/>
  <c r="J195" i="1"/>
  <c r="I195" i="1"/>
  <c r="H195" i="1"/>
  <c r="G195" i="1"/>
  <c r="L194" i="1"/>
  <c r="K194" i="1"/>
  <c r="J194" i="1"/>
  <c r="I194" i="1"/>
  <c r="H194" i="1"/>
  <c r="G194" i="1"/>
  <c r="L193" i="1"/>
  <c r="K193" i="1"/>
  <c r="J193" i="1"/>
  <c r="I193" i="1"/>
  <c r="H193" i="1"/>
  <c r="G193" i="1"/>
  <c r="L192" i="1"/>
  <c r="K192" i="1"/>
  <c r="J192" i="1"/>
  <c r="I192" i="1"/>
  <c r="H192" i="1"/>
  <c r="G192" i="1"/>
  <c r="L191" i="1"/>
  <c r="K191" i="1"/>
  <c r="J191" i="1"/>
  <c r="I191" i="1"/>
  <c r="H191" i="1"/>
  <c r="G191" i="1"/>
  <c r="L190" i="1"/>
  <c r="K190" i="1"/>
  <c r="J190" i="1"/>
  <c r="I190" i="1"/>
  <c r="H190" i="1"/>
  <c r="G190" i="1"/>
  <c r="L189" i="1"/>
  <c r="K189" i="1"/>
  <c r="J189" i="1"/>
  <c r="I189" i="1"/>
  <c r="H189" i="1"/>
  <c r="G189" i="1"/>
  <c r="L188" i="1"/>
  <c r="K188" i="1"/>
  <c r="J188" i="1"/>
  <c r="I188" i="1"/>
  <c r="H188" i="1"/>
  <c r="G188" i="1"/>
  <c r="G187" i="1"/>
  <c r="G186" i="1"/>
  <c r="L185" i="1"/>
  <c r="K185" i="1"/>
  <c r="J185" i="1"/>
  <c r="I185" i="1"/>
  <c r="H185" i="1"/>
  <c r="G185" i="1"/>
  <c r="G688" i="7942"/>
  <c r="G656" i="7942"/>
  <c r="G689" i="7942"/>
  <c r="G657" i="7942"/>
  <c r="G631" i="18" s="1"/>
  <c r="G169" i="7941" s="1"/>
  <c r="G690" i="7942"/>
  <c r="G658" i="7942"/>
  <c r="G632" i="18" s="1"/>
  <c r="G170" i="7941" s="1"/>
  <c r="G691" i="7942"/>
  <c r="G659" i="7942"/>
  <c r="G633" i="18" s="1"/>
  <c r="G692" i="7942"/>
  <c r="G660" i="7942"/>
  <c r="G634" i="18" s="1"/>
  <c r="G172" i="7941" s="1"/>
  <c r="G693" i="7942"/>
  <c r="G661" i="7942"/>
  <c r="G635" i="18" s="1"/>
  <c r="G173" i="7941" s="1"/>
  <c r="G694" i="7942"/>
  <c r="G662" i="7942"/>
  <c r="G636" i="18" s="1"/>
  <c r="G174" i="7941" s="1"/>
  <c r="G7" i="7946"/>
  <c r="G8" i="7946"/>
  <c r="G9" i="7946"/>
  <c r="G10" i="7946"/>
  <c r="G11" i="7946"/>
  <c r="G12" i="7946"/>
  <c r="G13" i="7946"/>
  <c r="G662" i="18"/>
  <c r="G504" i="7942"/>
  <c r="G536" i="7942"/>
  <c r="G510" i="18" s="1"/>
  <c r="G48" i="7941" s="1"/>
  <c r="G568" i="7942"/>
  <c r="G542" i="18" s="1"/>
  <c r="G80" i="7941" s="1"/>
  <c r="G600" i="7942"/>
  <c r="G574" i="18" s="1"/>
  <c r="G112" i="7941" s="1"/>
  <c r="G632" i="7942"/>
  <c r="G606" i="18" s="1"/>
  <c r="G144" i="7941" s="1"/>
  <c r="G664" i="7942"/>
  <c r="G638" i="18" s="1"/>
  <c r="G696" i="7942"/>
  <c r="G601" i="7942"/>
  <c r="G633" i="7942"/>
  <c r="G899" i="18" s="1"/>
  <c r="G629" i="7941" s="1"/>
  <c r="G665" i="7942"/>
  <c r="G639" i="18" s="1"/>
  <c r="G177" i="7941" s="1"/>
  <c r="G602" i="7942"/>
  <c r="G576" i="18" s="1"/>
  <c r="G114" i="7941" s="1"/>
  <c r="G634" i="7942"/>
  <c r="G900" i="18" s="1"/>
  <c r="G630" i="7941" s="1"/>
  <c r="G666" i="7942"/>
  <c r="G640" i="18" s="1"/>
  <c r="G178" i="7941" s="1"/>
  <c r="G507" i="7942"/>
  <c r="G539" i="7942"/>
  <c r="G513" i="18" s="1"/>
  <c r="G51" i="7941" s="1"/>
  <c r="G571" i="7942"/>
  <c r="G837" i="18" s="1"/>
  <c r="G567" i="7941" s="1"/>
  <c r="G603" i="7942"/>
  <c r="G869" i="18" s="1"/>
  <c r="G599" i="7941" s="1"/>
  <c r="G635" i="7942"/>
  <c r="G609" i="18" s="1"/>
  <c r="G147" i="7941" s="1"/>
  <c r="G667" i="7942"/>
  <c r="G641" i="18" s="1"/>
  <c r="G179" i="7941" s="1"/>
  <c r="G699" i="7942"/>
  <c r="G508" i="7942"/>
  <c r="G540" i="7942"/>
  <c r="G806" i="18" s="1"/>
  <c r="G536" i="7941" s="1"/>
  <c r="G572" i="7942"/>
  <c r="G604" i="7942"/>
  <c r="G578" i="18" s="1"/>
  <c r="G116" i="7941" s="1"/>
  <c r="G636" i="7942"/>
  <c r="G610" i="18" s="1"/>
  <c r="G148" i="7941" s="1"/>
  <c r="G668" i="7942"/>
  <c r="G642" i="18" s="1"/>
  <c r="G180" i="7941" s="1"/>
  <c r="G700" i="7942"/>
  <c r="G509" i="7942"/>
  <c r="G541" i="7942"/>
  <c r="G807" i="18" s="1"/>
  <c r="G573" i="7942"/>
  <c r="G547" i="18" s="1"/>
  <c r="G85" i="7941" s="1"/>
  <c r="G605" i="7942"/>
  <c r="G579" i="18" s="1"/>
  <c r="G117" i="7941" s="1"/>
  <c r="G637" i="7942"/>
  <c r="G903" i="18" s="1"/>
  <c r="G633" i="7941" s="1"/>
  <c r="G669" i="7942"/>
  <c r="G643" i="18" s="1"/>
  <c r="G181" i="7941" s="1"/>
  <c r="G701" i="7942"/>
  <c r="G510" i="7942"/>
  <c r="G542" i="7942"/>
  <c r="G516" i="18" s="1"/>
  <c r="G574" i="7942"/>
  <c r="G548" i="18" s="1"/>
  <c r="G86" i="7941" s="1"/>
  <c r="G606" i="7942"/>
  <c r="G872" i="18" s="1"/>
  <c r="G602" i="7941" s="1"/>
  <c r="G638" i="7942"/>
  <c r="G670" i="7942"/>
  <c r="G644" i="18" s="1"/>
  <c r="G511" i="7942"/>
  <c r="G543" i="7942"/>
  <c r="G517" i="18" s="1"/>
  <c r="G55" i="7941" s="1"/>
  <c r="G575" i="7942"/>
  <c r="G841" i="18" s="1"/>
  <c r="G571" i="7941" s="1"/>
  <c r="G607" i="7942"/>
  <c r="G639" i="7942"/>
  <c r="G613" i="18" s="1"/>
  <c r="G151" i="7941" s="1"/>
  <c r="G671" i="7942"/>
  <c r="G512" i="7942"/>
  <c r="G544" i="7942"/>
  <c r="G810" i="18" s="1"/>
  <c r="G540" i="7941" s="1"/>
  <c r="G576" i="7942"/>
  <c r="G842" i="18" s="1"/>
  <c r="G572" i="7941" s="1"/>
  <c r="G608" i="7942"/>
  <c r="G582" i="18" s="1"/>
  <c r="G120" i="7941" s="1"/>
  <c r="G640" i="7942"/>
  <c r="G614" i="18" s="1"/>
  <c r="G152" i="7941" s="1"/>
  <c r="G672" i="7942"/>
  <c r="G646" i="18" s="1"/>
  <c r="G513" i="7942"/>
  <c r="G545" i="7942"/>
  <c r="G811" i="18" s="1"/>
  <c r="G541" i="7941" s="1"/>
  <c r="G577" i="7942"/>
  <c r="G551" i="18" s="1"/>
  <c r="G89" i="7941" s="1"/>
  <c r="G609" i="7942"/>
  <c r="G583" i="18" s="1"/>
  <c r="G121" i="7941" s="1"/>
  <c r="G641" i="7942"/>
  <c r="G907" i="18" s="1"/>
  <c r="G673" i="7942"/>
  <c r="G647" i="18" s="1"/>
  <c r="G185" i="7941" s="1"/>
  <c r="G514" i="7942"/>
  <c r="G546" i="7942"/>
  <c r="G520" i="18" s="1"/>
  <c r="G58" i="7941" s="1"/>
  <c r="G578" i="7942"/>
  <c r="G552" i="18" s="1"/>
  <c r="G90" i="7941" s="1"/>
  <c r="G610" i="7942"/>
  <c r="G876" i="18" s="1"/>
  <c r="G606" i="7941" s="1"/>
  <c r="G642" i="7942"/>
  <c r="G674" i="7942"/>
  <c r="G648" i="18" s="1"/>
  <c r="G186" i="7941" s="1"/>
  <c r="G515" i="7942"/>
  <c r="G547" i="7942"/>
  <c r="G813" i="18" s="1"/>
  <c r="G579" i="7942"/>
  <c r="G845" i="18" s="1"/>
  <c r="G575" i="7941" s="1"/>
  <c r="G611" i="7942"/>
  <c r="G643" i="7942"/>
  <c r="G617" i="18" s="1"/>
  <c r="G155" i="7941" s="1"/>
  <c r="G675" i="7942"/>
  <c r="G649" i="18" s="1"/>
  <c r="G187" i="7941" s="1"/>
  <c r="G516" i="7942"/>
  <c r="G548" i="7942"/>
  <c r="G814" i="18" s="1"/>
  <c r="G580" i="7942"/>
  <c r="G846" i="18" s="1"/>
  <c r="G576" i="7941" s="1"/>
  <c r="G612" i="7942"/>
  <c r="G586" i="18" s="1"/>
  <c r="G124" i="7941" s="1"/>
  <c r="G644" i="7942"/>
  <c r="G618" i="18" s="1"/>
  <c r="G156" i="7941" s="1"/>
  <c r="G676" i="7942"/>
  <c r="G650" i="18" s="1"/>
  <c r="G188" i="7941" s="1"/>
  <c r="G517" i="7942"/>
  <c r="G549" i="7942"/>
  <c r="G815" i="18" s="1"/>
  <c r="G581" i="7942"/>
  <c r="G555" i="18" s="1"/>
  <c r="G93" i="7941" s="1"/>
  <c r="G613" i="7942"/>
  <c r="G587" i="18" s="1"/>
  <c r="G125" i="7941" s="1"/>
  <c r="G645" i="7942"/>
  <c r="G911" i="18" s="1"/>
  <c r="G641" i="7941" s="1"/>
  <c r="G677" i="7942"/>
  <c r="G651" i="18" s="1"/>
  <c r="G189" i="7941" s="1"/>
  <c r="G518" i="7942"/>
  <c r="G550" i="7942"/>
  <c r="G524" i="18" s="1"/>
  <c r="G582" i="7942"/>
  <c r="G556" i="18" s="1"/>
  <c r="G94" i="7941" s="1"/>
  <c r="G614" i="7942"/>
  <c r="G880" i="18" s="1"/>
  <c r="G610" i="7941" s="1"/>
  <c r="G646" i="7942"/>
  <c r="G678" i="7942"/>
  <c r="G652" i="18" s="1"/>
  <c r="G190" i="7941" s="1"/>
  <c r="G519" i="7942"/>
  <c r="G551" i="7942"/>
  <c r="G525" i="18" s="1"/>
  <c r="G63" i="7941" s="1"/>
  <c r="G583" i="7942"/>
  <c r="G849" i="18" s="1"/>
  <c r="G579" i="7941" s="1"/>
  <c r="G615" i="7942"/>
  <c r="G647" i="7942"/>
  <c r="G621" i="18" s="1"/>
  <c r="G159" i="7941" s="1"/>
  <c r="G679" i="7942"/>
  <c r="G653" i="18" s="1"/>
  <c r="G191" i="7941" s="1"/>
  <c r="G520" i="7942"/>
  <c r="G552" i="7942"/>
  <c r="G818" i="18" s="1"/>
  <c r="G584" i="7942"/>
  <c r="G850" i="18" s="1"/>
  <c r="G580" i="7941" s="1"/>
  <c r="G616" i="7942"/>
  <c r="G590" i="18" s="1"/>
  <c r="G128" i="7941" s="1"/>
  <c r="G648" i="7942"/>
  <c r="G622" i="18" s="1"/>
  <c r="G160" i="7941" s="1"/>
  <c r="G680" i="7942"/>
  <c r="G654" i="18" s="1"/>
  <c r="G521" i="7942"/>
  <c r="G553" i="7942"/>
  <c r="G819" i="18" s="1"/>
  <c r="G585" i="7942"/>
  <c r="G559" i="18" s="1"/>
  <c r="G97" i="7941" s="1"/>
  <c r="G617" i="7942"/>
  <c r="G591" i="18" s="1"/>
  <c r="G129" i="7941" s="1"/>
  <c r="G649" i="7942"/>
  <c r="G915" i="18" s="1"/>
  <c r="G645" i="7941" s="1"/>
  <c r="G681" i="7942"/>
  <c r="G655" i="18" s="1"/>
  <c r="G193" i="7941" s="1"/>
  <c r="G522" i="7942"/>
  <c r="G554" i="7942"/>
  <c r="G528" i="18" s="1"/>
  <c r="G66" i="7941" s="1"/>
  <c r="G586" i="7942"/>
  <c r="G560" i="18" s="1"/>
  <c r="G98" i="7941" s="1"/>
  <c r="G618" i="7942"/>
  <c r="G884" i="18" s="1"/>
  <c r="G614" i="7941" s="1"/>
  <c r="G650" i="7942"/>
  <c r="G682" i="7942"/>
  <c r="G656" i="18" s="1"/>
  <c r="G194" i="7941" s="1"/>
  <c r="G523" i="7942"/>
  <c r="G555" i="7942"/>
  <c r="G529" i="18" s="1"/>
  <c r="G67" i="7941" s="1"/>
  <c r="G587" i="7942"/>
  <c r="G853" i="18" s="1"/>
  <c r="G619" i="7942"/>
  <c r="G651" i="7942"/>
  <c r="G625" i="18" s="1"/>
  <c r="G163" i="7941" s="1"/>
  <c r="G683" i="7942"/>
  <c r="G657" i="18" s="1"/>
  <c r="G195" i="7941" s="1"/>
  <c r="G524" i="7942"/>
  <c r="G556" i="7942"/>
  <c r="G822" i="18" s="1"/>
  <c r="G588" i="7942"/>
  <c r="G854" i="18" s="1"/>
  <c r="G584" i="7941" s="1"/>
  <c r="G620" i="7942"/>
  <c r="G594" i="18" s="1"/>
  <c r="G132" i="7941" s="1"/>
  <c r="G652" i="7942"/>
  <c r="G626" i="18" s="1"/>
  <c r="G684" i="7942"/>
  <c r="G658" i="18" s="1"/>
  <c r="G525" i="7942"/>
  <c r="G557" i="7942"/>
  <c r="G823" i="18" s="1"/>
  <c r="G589" i="7942"/>
  <c r="G563" i="18" s="1"/>
  <c r="G101" i="7941" s="1"/>
  <c r="G621" i="7942"/>
  <c r="G595" i="18" s="1"/>
  <c r="G133" i="7941" s="1"/>
  <c r="G653" i="7942"/>
  <c r="G919" i="18" s="1"/>
  <c r="G649" i="7941" s="1"/>
  <c r="G685" i="7942"/>
  <c r="G659" i="18" s="1"/>
  <c r="G200" i="7941"/>
  <c r="G201" i="7941"/>
  <c r="G663" i="18"/>
  <c r="G664" i="18"/>
  <c r="G202" i="7941"/>
  <c r="G665" i="18"/>
  <c r="G203" i="7941"/>
  <c r="G666" i="18"/>
  <c r="G204" i="7941"/>
  <c r="G205" i="7941"/>
  <c r="G667" i="18"/>
  <c r="G668" i="18"/>
  <c r="G206" i="7941"/>
  <c r="G477" i="18"/>
  <c r="G15" i="7941" s="1"/>
  <c r="G535" i="7942"/>
  <c r="G509" i="18" s="1"/>
  <c r="G567" i="7942"/>
  <c r="G541" i="18" s="1"/>
  <c r="G79" i="7941" s="1"/>
  <c r="G599" i="7942"/>
  <c r="G631" i="7942"/>
  <c r="G605" i="18" s="1"/>
  <c r="G143" i="7941" s="1"/>
  <c r="G663" i="7942"/>
  <c r="G637" i="18" s="1"/>
  <c r="G175" i="7941" s="1"/>
  <c r="G669" i="18"/>
  <c r="K184" i="1"/>
  <c r="K252" i="1"/>
  <c r="G207" i="7941"/>
  <c r="G478" i="18"/>
  <c r="G16" i="7941" s="1"/>
  <c r="G670" i="18"/>
  <c r="G208" i="7941"/>
  <c r="G481" i="18"/>
  <c r="G19" i="7941" s="1"/>
  <c r="G673" i="18"/>
  <c r="G211" i="7941"/>
  <c r="G482" i="18"/>
  <c r="G20" i="7941" s="1"/>
  <c r="G674" i="18"/>
  <c r="G212" i="7941"/>
  <c r="G483" i="18"/>
  <c r="G21" i="7941" s="1"/>
  <c r="G675" i="18"/>
  <c r="G213" i="7941"/>
  <c r="G484" i="18"/>
  <c r="G485" i="18"/>
  <c r="G486" i="18"/>
  <c r="G487" i="18"/>
  <c r="G488" i="18"/>
  <c r="G489" i="18"/>
  <c r="G490" i="18"/>
  <c r="G491" i="18"/>
  <c r="G492" i="18"/>
  <c r="G493" i="18"/>
  <c r="G494" i="18"/>
  <c r="G495" i="18"/>
  <c r="G496" i="18"/>
  <c r="G497" i="18"/>
  <c r="G498" i="18"/>
  <c r="G499" i="18"/>
  <c r="G205" i="7942"/>
  <c r="G173" i="7942"/>
  <c r="G206" i="7942"/>
  <c r="G174" i="7942"/>
  <c r="G209" i="7942"/>
  <c r="G177" i="7942"/>
  <c r="G210" i="7942"/>
  <c r="G178" i="7942"/>
  <c r="G211" i="7942"/>
  <c r="G179" i="7942"/>
  <c r="G207" i="7942"/>
  <c r="G175" i="7942"/>
  <c r="G208" i="7942"/>
  <c r="G176" i="7942"/>
  <c r="F5" i="1"/>
  <c r="M71" i="1"/>
  <c r="N71" i="1"/>
  <c r="O71" i="1"/>
  <c r="P71" i="1"/>
  <c r="Q71" i="1"/>
  <c r="I177" i="7947"/>
  <c r="I172" i="7947"/>
  <c r="I167" i="7947"/>
  <c r="I162" i="7947"/>
  <c r="I157" i="7947"/>
  <c r="I152" i="7947"/>
  <c r="I147" i="7947"/>
  <c r="H3" i="7944"/>
  <c r="I3" i="7944"/>
  <c r="J3" i="7944"/>
  <c r="K3" i="7944"/>
  <c r="H163" i="7944"/>
  <c r="I163" i="7944"/>
  <c r="M117" i="18"/>
  <c r="N117" i="18"/>
  <c r="L3" i="7944"/>
  <c r="M3" i="7944"/>
  <c r="G261" i="7947"/>
  <c r="I261" i="7947" s="1"/>
  <c r="F277" i="7947"/>
  <c r="E277" i="7947"/>
  <c r="B261" i="7947"/>
  <c r="D261" i="7947"/>
  <c r="C219" i="7947"/>
  <c r="N177" i="7947"/>
  <c r="O177" i="7947"/>
  <c r="P177" i="7947"/>
  <c r="Q177" i="7947"/>
  <c r="R177" i="7947"/>
  <c r="S177" i="7947"/>
  <c r="T177" i="7947"/>
  <c r="U177" i="7947"/>
  <c r="V177" i="7947"/>
  <c r="W177" i="7947"/>
  <c r="X177" i="7947"/>
  <c r="Y177" i="7947"/>
  <c r="Z177" i="7947"/>
  <c r="AA177" i="7947"/>
  <c r="AB177" i="7947"/>
  <c r="AC177" i="7947"/>
  <c r="AD177" i="7947"/>
  <c r="AE177" i="7947"/>
  <c r="AF177" i="7947"/>
  <c r="AG177" i="7947"/>
  <c r="AH177" i="7947"/>
  <c r="AI177" i="7947"/>
  <c r="AJ177" i="7947"/>
  <c r="AK177" i="7947"/>
  <c r="AL177" i="7947"/>
  <c r="AM177" i="7947"/>
  <c r="AN177" i="7947"/>
  <c r="AO177" i="7947"/>
  <c r="AP177" i="7947"/>
  <c r="AQ177" i="7947"/>
  <c r="AR177" i="7947"/>
  <c r="AS177" i="7947"/>
  <c r="AT177" i="7947"/>
  <c r="AU177" i="7947"/>
  <c r="AV177" i="7947"/>
  <c r="AW177" i="7947"/>
  <c r="AX177" i="7947"/>
  <c r="AY177" i="7947"/>
  <c r="AZ177" i="7947"/>
  <c r="BA177" i="7947"/>
  <c r="BB177" i="7947"/>
  <c r="BC177" i="7947"/>
  <c r="BD177" i="7947"/>
  <c r="BE177" i="7947"/>
  <c r="N172" i="7947"/>
  <c r="O172" i="7947"/>
  <c r="P172" i="7947"/>
  <c r="Q172" i="7947"/>
  <c r="R172" i="7947"/>
  <c r="S172" i="7947"/>
  <c r="T172" i="7947"/>
  <c r="U172" i="7947"/>
  <c r="V172" i="7947"/>
  <c r="W172" i="7947"/>
  <c r="X172" i="7947"/>
  <c r="Y172" i="7947"/>
  <c r="Z172" i="7947"/>
  <c r="AA172" i="7947"/>
  <c r="AB172" i="7947"/>
  <c r="AC172" i="7947"/>
  <c r="AD172" i="7947"/>
  <c r="AE172" i="7947"/>
  <c r="AF172" i="7947"/>
  <c r="AG172" i="7947"/>
  <c r="AH172" i="7947"/>
  <c r="AI172" i="7947"/>
  <c r="AJ172" i="7947"/>
  <c r="AK172" i="7947"/>
  <c r="AL172" i="7947"/>
  <c r="AM172" i="7947"/>
  <c r="AN172" i="7947"/>
  <c r="AO172" i="7947"/>
  <c r="AP172" i="7947"/>
  <c r="AQ172" i="7947"/>
  <c r="AR172" i="7947"/>
  <c r="AS172" i="7947"/>
  <c r="AT172" i="7947"/>
  <c r="AU172" i="7947"/>
  <c r="AV172" i="7947"/>
  <c r="AW172" i="7947"/>
  <c r="AX172" i="7947"/>
  <c r="AY172" i="7947"/>
  <c r="AZ172" i="7947"/>
  <c r="BA172" i="7947"/>
  <c r="BB172" i="7947"/>
  <c r="BC172" i="7947"/>
  <c r="BD172" i="7947"/>
  <c r="BE172" i="7947"/>
  <c r="N167" i="7947"/>
  <c r="O167" i="7947"/>
  <c r="P167" i="7947"/>
  <c r="Q167" i="7947"/>
  <c r="R167" i="7947"/>
  <c r="S167" i="7947"/>
  <c r="T167" i="7947"/>
  <c r="U167" i="7947"/>
  <c r="V167" i="7947"/>
  <c r="W167" i="7947"/>
  <c r="X167" i="7947"/>
  <c r="Y167" i="7947"/>
  <c r="Z167" i="7947"/>
  <c r="AA167" i="7947"/>
  <c r="AB167" i="7947"/>
  <c r="AC167" i="7947"/>
  <c r="AD167" i="7947"/>
  <c r="AE167" i="7947"/>
  <c r="AF167" i="7947"/>
  <c r="AG167" i="7947"/>
  <c r="AH167" i="7947"/>
  <c r="AI167" i="7947"/>
  <c r="AJ167" i="7947"/>
  <c r="AK167" i="7947"/>
  <c r="AL167" i="7947"/>
  <c r="AM167" i="7947"/>
  <c r="AN167" i="7947"/>
  <c r="AO167" i="7947"/>
  <c r="AP167" i="7947"/>
  <c r="AQ167" i="7947"/>
  <c r="AR167" i="7947"/>
  <c r="AS167" i="7947"/>
  <c r="AT167" i="7947"/>
  <c r="AU167" i="7947"/>
  <c r="AV167" i="7947"/>
  <c r="AW167" i="7947"/>
  <c r="AX167" i="7947"/>
  <c r="AY167" i="7947"/>
  <c r="AZ167" i="7947"/>
  <c r="BA167" i="7947"/>
  <c r="BB167" i="7947"/>
  <c r="BC167" i="7947"/>
  <c r="BD167" i="7947"/>
  <c r="BE167" i="7947"/>
  <c r="N162" i="7947"/>
  <c r="O162" i="7947"/>
  <c r="P162" i="7947"/>
  <c r="Q162" i="7947"/>
  <c r="R162" i="7947"/>
  <c r="S162" i="7947"/>
  <c r="T162" i="7947"/>
  <c r="U162" i="7947"/>
  <c r="V162" i="7947"/>
  <c r="W162" i="7947"/>
  <c r="X162" i="7947"/>
  <c r="Y162" i="7947"/>
  <c r="Z162" i="7947"/>
  <c r="AA162" i="7947"/>
  <c r="AB162" i="7947"/>
  <c r="AC162" i="7947"/>
  <c r="AD162" i="7947"/>
  <c r="AE162" i="7947"/>
  <c r="AF162" i="7947"/>
  <c r="AG162" i="7947"/>
  <c r="AH162" i="7947"/>
  <c r="AI162" i="7947"/>
  <c r="AJ162" i="7947"/>
  <c r="AK162" i="7947"/>
  <c r="AL162" i="7947"/>
  <c r="AM162" i="7947"/>
  <c r="AN162" i="7947"/>
  <c r="AO162" i="7947"/>
  <c r="AP162" i="7947"/>
  <c r="AQ162" i="7947"/>
  <c r="AR162" i="7947"/>
  <c r="AS162" i="7947"/>
  <c r="AT162" i="7947"/>
  <c r="AU162" i="7947"/>
  <c r="AV162" i="7947"/>
  <c r="AW162" i="7947"/>
  <c r="AX162" i="7947"/>
  <c r="AY162" i="7947"/>
  <c r="AZ162" i="7947"/>
  <c r="BA162" i="7947"/>
  <c r="BB162" i="7947"/>
  <c r="BC162" i="7947"/>
  <c r="BD162" i="7947"/>
  <c r="BE162" i="7947"/>
  <c r="N157" i="7947"/>
  <c r="O157" i="7947"/>
  <c r="P157" i="7947"/>
  <c r="Q157" i="7947"/>
  <c r="R157" i="7947"/>
  <c r="S157" i="7947"/>
  <c r="T157" i="7947"/>
  <c r="U157" i="7947"/>
  <c r="V157" i="7947"/>
  <c r="W157" i="7947"/>
  <c r="X157" i="7947"/>
  <c r="Y157" i="7947"/>
  <c r="Z157" i="7947"/>
  <c r="AA157" i="7947"/>
  <c r="AB157" i="7947"/>
  <c r="AC157" i="7947"/>
  <c r="AD157" i="7947"/>
  <c r="AE157" i="7947"/>
  <c r="AF157" i="7947"/>
  <c r="AG157" i="7947"/>
  <c r="AH157" i="7947"/>
  <c r="AI157" i="7947"/>
  <c r="AJ157" i="7947"/>
  <c r="AK157" i="7947"/>
  <c r="AL157" i="7947"/>
  <c r="AM157" i="7947"/>
  <c r="AN157" i="7947"/>
  <c r="AO157" i="7947"/>
  <c r="AP157" i="7947"/>
  <c r="AQ157" i="7947"/>
  <c r="AR157" i="7947"/>
  <c r="AS157" i="7947"/>
  <c r="AT157" i="7947"/>
  <c r="AU157" i="7947"/>
  <c r="AV157" i="7947"/>
  <c r="AW157" i="7947"/>
  <c r="AX157" i="7947"/>
  <c r="AY157" i="7947"/>
  <c r="AZ157" i="7947"/>
  <c r="BA157" i="7947"/>
  <c r="BB157" i="7947"/>
  <c r="BC157" i="7947"/>
  <c r="BD157" i="7947"/>
  <c r="BE157" i="7947"/>
  <c r="N152" i="7947"/>
  <c r="O152" i="7947"/>
  <c r="P152" i="7947"/>
  <c r="Q152" i="7947"/>
  <c r="R152" i="7947"/>
  <c r="S152" i="7947"/>
  <c r="T152" i="7947"/>
  <c r="U152" i="7947"/>
  <c r="V152" i="7947"/>
  <c r="W152" i="7947"/>
  <c r="X152" i="7947"/>
  <c r="Y152" i="7947"/>
  <c r="Z152" i="7947"/>
  <c r="AA152" i="7947"/>
  <c r="AB152" i="7947"/>
  <c r="AC152" i="7947"/>
  <c r="AD152" i="7947"/>
  <c r="AE152" i="7947"/>
  <c r="AF152" i="7947"/>
  <c r="AG152" i="7947"/>
  <c r="AH152" i="7947"/>
  <c r="AI152" i="7947"/>
  <c r="AJ152" i="7947"/>
  <c r="AK152" i="7947"/>
  <c r="AL152" i="7947"/>
  <c r="AM152" i="7947"/>
  <c r="AN152" i="7947"/>
  <c r="AO152" i="7947"/>
  <c r="AP152" i="7947"/>
  <c r="AQ152" i="7947"/>
  <c r="AR152" i="7947"/>
  <c r="AS152" i="7947"/>
  <c r="AT152" i="7947"/>
  <c r="AU152" i="7947"/>
  <c r="AV152" i="7947"/>
  <c r="AW152" i="7947"/>
  <c r="AX152" i="7947"/>
  <c r="AY152" i="7947"/>
  <c r="AZ152" i="7947"/>
  <c r="BA152" i="7947"/>
  <c r="BB152" i="7947"/>
  <c r="BC152" i="7947"/>
  <c r="BD152" i="7947"/>
  <c r="BE152" i="7947"/>
  <c r="N147" i="7947"/>
  <c r="O147" i="7947"/>
  <c r="P147" i="7947"/>
  <c r="Q147" i="7947"/>
  <c r="R147" i="7947"/>
  <c r="S147" i="7947"/>
  <c r="T147" i="7947"/>
  <c r="U147" i="7947"/>
  <c r="V147" i="7947"/>
  <c r="W147" i="7947"/>
  <c r="X147" i="7947"/>
  <c r="Y147" i="7947"/>
  <c r="Z147" i="7947"/>
  <c r="AA147" i="7947"/>
  <c r="AB147" i="7947"/>
  <c r="AC147" i="7947"/>
  <c r="AD147" i="7947"/>
  <c r="AE147" i="7947"/>
  <c r="AF147" i="7947"/>
  <c r="AG147" i="7947"/>
  <c r="AH147" i="7947"/>
  <c r="AH182" i="7947"/>
  <c r="AH226" i="7947"/>
  <c r="AI147" i="7947"/>
  <c r="AI182" i="7947"/>
  <c r="AI226" i="7947"/>
  <c r="AJ147" i="7947"/>
  <c r="AK147" i="7947"/>
  <c r="AL147" i="7947"/>
  <c r="AL146" i="7947"/>
  <c r="AM147" i="7947"/>
  <c r="AM182" i="7947"/>
  <c r="AM226" i="7947"/>
  <c r="AN147" i="7947"/>
  <c r="AO147" i="7947"/>
  <c r="AP147" i="7947"/>
  <c r="AQ147" i="7947"/>
  <c r="AQ182" i="7947"/>
  <c r="AQ226" i="7947"/>
  <c r="AR147" i="7947"/>
  <c r="AS147" i="7947"/>
  <c r="AT147" i="7947"/>
  <c r="AU147" i="7947"/>
  <c r="AV147" i="7947"/>
  <c r="AW147" i="7947"/>
  <c r="AX147" i="7947"/>
  <c r="AX182" i="7947"/>
  <c r="AX226" i="7947"/>
  <c r="AY147" i="7947"/>
  <c r="AZ147" i="7947"/>
  <c r="BA147" i="7947"/>
  <c r="BB147" i="7947"/>
  <c r="BC147" i="7947"/>
  <c r="BC182" i="7947"/>
  <c r="BC226" i="7947"/>
  <c r="BD147" i="7947"/>
  <c r="BE147" i="7947"/>
  <c r="N142" i="7947"/>
  <c r="N182" i="7947"/>
  <c r="N226" i="7947"/>
  <c r="O142" i="7947"/>
  <c r="P142" i="7947"/>
  <c r="P182" i="7947"/>
  <c r="P226" i="7947"/>
  <c r="Q142" i="7947"/>
  <c r="Q182" i="7947"/>
  <c r="Q226" i="7947"/>
  <c r="R142" i="7947"/>
  <c r="R182" i="7947"/>
  <c r="R226" i="7947"/>
  <c r="S142" i="7947"/>
  <c r="T142" i="7947"/>
  <c r="U142" i="7947"/>
  <c r="V142" i="7947"/>
  <c r="V182" i="7947"/>
  <c r="V226" i="7947"/>
  <c r="W142" i="7947"/>
  <c r="X142" i="7947"/>
  <c r="X182" i="7947"/>
  <c r="X226" i="7947"/>
  <c r="Y142" i="7947"/>
  <c r="Y182" i="7947"/>
  <c r="Y226" i="7947"/>
  <c r="Z142" i="7947"/>
  <c r="AA142" i="7947"/>
  <c r="AB142" i="7947"/>
  <c r="AC142" i="7947"/>
  <c r="AD142" i="7947"/>
  <c r="AD182" i="7947"/>
  <c r="AD226" i="7947"/>
  <c r="AE142" i="7947"/>
  <c r="AE182" i="7947"/>
  <c r="AE226" i="7947"/>
  <c r="AF142" i="7947"/>
  <c r="AG142" i="7947"/>
  <c r="AG182" i="7947"/>
  <c r="AG226" i="7947"/>
  <c r="AH142" i="7947"/>
  <c r="AI142" i="7947"/>
  <c r="AJ142" i="7947"/>
  <c r="AJ182" i="7947"/>
  <c r="AJ226" i="7947"/>
  <c r="AK142" i="7947"/>
  <c r="AK182" i="7947"/>
  <c r="AK226" i="7947"/>
  <c r="AL142" i="7947"/>
  <c r="AL182" i="7947"/>
  <c r="AL226" i="7947"/>
  <c r="AM142" i="7947"/>
  <c r="AN142" i="7947"/>
  <c r="AN182" i="7947"/>
  <c r="AN226" i="7947"/>
  <c r="AO142" i="7947"/>
  <c r="AP142" i="7947"/>
  <c r="AQ142" i="7947"/>
  <c r="AR142" i="7947"/>
  <c r="AS142" i="7947"/>
  <c r="AS182" i="7947"/>
  <c r="AS226" i="7947"/>
  <c r="AT142" i="7947"/>
  <c r="AT182" i="7947"/>
  <c r="AT226" i="7947"/>
  <c r="AU142" i="7947"/>
  <c r="AV142" i="7947"/>
  <c r="AW142" i="7947"/>
  <c r="AW182" i="7947"/>
  <c r="AW226" i="7947"/>
  <c r="AX142" i="7947"/>
  <c r="AY142" i="7947"/>
  <c r="AZ142" i="7947"/>
  <c r="AZ182" i="7947"/>
  <c r="AZ226" i="7947"/>
  <c r="BA142" i="7947"/>
  <c r="BA182" i="7947"/>
  <c r="BA226" i="7947"/>
  <c r="BB142" i="7947"/>
  <c r="BB182" i="7947"/>
  <c r="BB226" i="7947"/>
  <c r="BC142" i="7947"/>
  <c r="BD142" i="7947"/>
  <c r="BE142" i="7947"/>
  <c r="BE182" i="7947"/>
  <c r="BE226" i="7947"/>
  <c r="BE219" i="7947"/>
  <c r="BD219" i="7947"/>
  <c r="BC219" i="7947"/>
  <c r="BB219" i="7947"/>
  <c r="BA219" i="7947"/>
  <c r="AZ219" i="7947"/>
  <c r="AY219" i="7947"/>
  <c r="AX219" i="7947"/>
  <c r="AW219" i="7947"/>
  <c r="AV219" i="7947"/>
  <c r="AU219" i="7947"/>
  <c r="AT219" i="7947"/>
  <c r="AS219" i="7947"/>
  <c r="AR219" i="7947"/>
  <c r="AQ219" i="7947"/>
  <c r="AP219" i="7947"/>
  <c r="AO219" i="7947"/>
  <c r="AN219" i="7947"/>
  <c r="AM219" i="7947"/>
  <c r="AL219" i="7947"/>
  <c r="AK219" i="7947"/>
  <c r="AJ219" i="7947"/>
  <c r="AI219" i="7947"/>
  <c r="AH219" i="7947"/>
  <c r="AG219" i="7947"/>
  <c r="AF219" i="7947"/>
  <c r="AE219" i="7947"/>
  <c r="AD219" i="7947"/>
  <c r="AC219" i="7947"/>
  <c r="AB219" i="7947"/>
  <c r="AA219" i="7947"/>
  <c r="Z219" i="7947"/>
  <c r="Y219" i="7947"/>
  <c r="X219" i="7947"/>
  <c r="W219" i="7947"/>
  <c r="V219" i="7947"/>
  <c r="U219" i="7947"/>
  <c r="T219" i="7947"/>
  <c r="S219" i="7947"/>
  <c r="R219" i="7947"/>
  <c r="Q219" i="7947"/>
  <c r="P219" i="7947"/>
  <c r="O219" i="7947"/>
  <c r="N219" i="7947"/>
  <c r="M219" i="7947"/>
  <c r="BD20" i="7947"/>
  <c r="BC20" i="7947"/>
  <c r="AZ20" i="7947"/>
  <c r="AY20" i="7947"/>
  <c r="AV20" i="7947"/>
  <c r="AU20" i="7947"/>
  <c r="AR20" i="7947"/>
  <c r="AQ20" i="7947"/>
  <c r="AN20" i="7947"/>
  <c r="AM20" i="7947"/>
  <c r="AJ20" i="7947"/>
  <c r="AI20" i="7947"/>
  <c r="AF20" i="7947"/>
  <c r="AE20" i="7947"/>
  <c r="AB20" i="7947"/>
  <c r="AA20" i="7947"/>
  <c r="X20" i="7947"/>
  <c r="W20" i="7947"/>
  <c r="T20" i="7947"/>
  <c r="S20" i="7947"/>
  <c r="P20" i="7947"/>
  <c r="O20" i="7947"/>
  <c r="L20" i="7947"/>
  <c r="K20" i="7947"/>
  <c r="H20" i="7947"/>
  <c r="G20" i="7947"/>
  <c r="D20" i="7947"/>
  <c r="C20" i="7947"/>
  <c r="E223" i="7947"/>
  <c r="E196" i="7947"/>
  <c r="E191" i="7947"/>
  <c r="E126" i="7947"/>
  <c r="E121" i="7947"/>
  <c r="E138" i="7947"/>
  <c r="E61" i="7947"/>
  <c r="I223" i="7947"/>
  <c r="I196" i="7947"/>
  <c r="I191" i="7947"/>
  <c r="I126" i="7947"/>
  <c r="I121" i="7947"/>
  <c r="I138" i="7947"/>
  <c r="I61" i="7947"/>
  <c r="M223" i="7947"/>
  <c r="M196" i="7947"/>
  <c r="M191" i="7947"/>
  <c r="M126" i="7947"/>
  <c r="M121" i="7947"/>
  <c r="M138" i="7947"/>
  <c r="M61" i="7947"/>
  <c r="Q223" i="7947"/>
  <c r="Q196" i="7947"/>
  <c r="Q191" i="7947"/>
  <c r="Q126" i="7947"/>
  <c r="Q121" i="7947"/>
  <c r="Q138" i="7947"/>
  <c r="Q61" i="7947"/>
  <c r="U223" i="7947"/>
  <c r="U196" i="7947"/>
  <c r="U191" i="7947"/>
  <c r="U126" i="7947"/>
  <c r="U121" i="7947"/>
  <c r="U138" i="7947"/>
  <c r="U61" i="7947"/>
  <c r="Y223" i="7947"/>
  <c r="Y196" i="7947"/>
  <c r="Y191" i="7947"/>
  <c r="Y126" i="7947"/>
  <c r="Y121" i="7947"/>
  <c r="Y138" i="7947"/>
  <c r="Y61" i="7947"/>
  <c r="AC223" i="7947"/>
  <c r="AC196" i="7947"/>
  <c r="AC191" i="7947"/>
  <c r="AC126" i="7947"/>
  <c r="AC121" i="7947"/>
  <c r="AC138" i="7947"/>
  <c r="AC61" i="7947"/>
  <c r="AG223" i="7947"/>
  <c r="AG196" i="7947"/>
  <c r="AG191" i="7947"/>
  <c r="AG126" i="7947"/>
  <c r="AG121" i="7947"/>
  <c r="AG138" i="7947"/>
  <c r="AG61" i="7947"/>
  <c r="AK223" i="7947"/>
  <c r="AK196" i="7947"/>
  <c r="AK191" i="7947"/>
  <c r="AK126" i="7947"/>
  <c r="AK121" i="7947"/>
  <c r="AK138" i="7947"/>
  <c r="AK61" i="7947"/>
  <c r="AO223" i="7947"/>
  <c r="AO196" i="7947"/>
  <c r="AO191" i="7947"/>
  <c r="AO126" i="7947"/>
  <c r="AO121" i="7947"/>
  <c r="AO138" i="7947"/>
  <c r="AO61" i="7947"/>
  <c r="AS223" i="7947"/>
  <c r="AS196" i="7947"/>
  <c r="AS191" i="7947"/>
  <c r="AS126" i="7947"/>
  <c r="AS121" i="7947"/>
  <c r="AS138" i="7947"/>
  <c r="AS61" i="7947"/>
  <c r="AW223" i="7947"/>
  <c r="AW196" i="7947"/>
  <c r="AW191" i="7947"/>
  <c r="AW126" i="7947"/>
  <c r="AW121" i="7947"/>
  <c r="AW138" i="7947"/>
  <c r="AW61" i="7947"/>
  <c r="BA223" i="7947"/>
  <c r="BA196" i="7947"/>
  <c r="BA191" i="7947"/>
  <c r="BA126" i="7947"/>
  <c r="BA121" i="7947"/>
  <c r="BA138" i="7947"/>
  <c r="BA61" i="7947"/>
  <c r="BE223" i="7947"/>
  <c r="BE196" i="7947"/>
  <c r="BE191" i="7947"/>
  <c r="BE126" i="7947"/>
  <c r="BE121" i="7947"/>
  <c r="BE138" i="7947"/>
  <c r="BE61" i="7947"/>
  <c r="B223" i="7947"/>
  <c r="B196" i="7947"/>
  <c r="B191" i="7947"/>
  <c r="B126" i="7947"/>
  <c r="B121" i="7947"/>
  <c r="B138" i="7947"/>
  <c r="B61" i="7947"/>
  <c r="F223" i="7947"/>
  <c r="F196" i="7947"/>
  <c r="F191" i="7947"/>
  <c r="F126" i="7947"/>
  <c r="F121" i="7947"/>
  <c r="F138" i="7947"/>
  <c r="F61" i="7947"/>
  <c r="J223" i="7947"/>
  <c r="J196" i="7947"/>
  <c r="J191" i="7947"/>
  <c r="J126" i="7947"/>
  <c r="J121" i="7947"/>
  <c r="J138" i="7947"/>
  <c r="J61" i="7947"/>
  <c r="N223" i="7947"/>
  <c r="N196" i="7947"/>
  <c r="N191" i="7947"/>
  <c r="N126" i="7947"/>
  <c r="N121" i="7947"/>
  <c r="N138" i="7947"/>
  <c r="N61" i="7947"/>
  <c r="R223" i="7947"/>
  <c r="R196" i="7947"/>
  <c r="R191" i="7947"/>
  <c r="R126" i="7947"/>
  <c r="R121" i="7947"/>
  <c r="R138" i="7947"/>
  <c r="R61" i="7947"/>
  <c r="V223" i="7947"/>
  <c r="V196" i="7947"/>
  <c r="V191" i="7947"/>
  <c r="V126" i="7947"/>
  <c r="V121" i="7947"/>
  <c r="V138" i="7947"/>
  <c r="V61" i="7947"/>
  <c r="Z223" i="7947"/>
  <c r="Z196" i="7947"/>
  <c r="Z191" i="7947"/>
  <c r="Z126" i="7947"/>
  <c r="Z121" i="7947"/>
  <c r="Z138" i="7947"/>
  <c r="Z61" i="7947"/>
  <c r="AD223" i="7947"/>
  <c r="AD196" i="7947"/>
  <c r="AD191" i="7947"/>
  <c r="AD126" i="7947"/>
  <c r="AD121" i="7947"/>
  <c r="AD138" i="7947"/>
  <c r="AD61" i="7947"/>
  <c r="AH223" i="7947"/>
  <c r="AH196" i="7947"/>
  <c r="AH191" i="7947"/>
  <c r="AH126" i="7947"/>
  <c r="AH121" i="7947"/>
  <c r="AH138" i="7947"/>
  <c r="AH61" i="7947"/>
  <c r="AL223" i="7947"/>
  <c r="AL196" i="7947"/>
  <c r="AL191" i="7947"/>
  <c r="AL126" i="7947"/>
  <c r="AL121" i="7947"/>
  <c r="AL138" i="7947"/>
  <c r="AL61" i="7947"/>
  <c r="AP223" i="7947"/>
  <c r="AP196" i="7947"/>
  <c r="AP191" i="7947"/>
  <c r="AP126" i="7947"/>
  <c r="AP121" i="7947"/>
  <c r="AP138" i="7947"/>
  <c r="AP61" i="7947"/>
  <c r="AT223" i="7947"/>
  <c r="AT196" i="7947"/>
  <c r="AT191" i="7947"/>
  <c r="AT126" i="7947"/>
  <c r="AT121" i="7947"/>
  <c r="AT138" i="7947"/>
  <c r="AT61" i="7947"/>
  <c r="AX223" i="7947"/>
  <c r="AX196" i="7947"/>
  <c r="AX191" i="7947"/>
  <c r="AX126" i="7947"/>
  <c r="AX121" i="7947"/>
  <c r="AX138" i="7947"/>
  <c r="AX61" i="7947"/>
  <c r="BB223" i="7947"/>
  <c r="BB196" i="7947"/>
  <c r="BB191" i="7947"/>
  <c r="BB126" i="7947"/>
  <c r="BB121" i="7947"/>
  <c r="BB138" i="7947"/>
  <c r="BB61" i="7947"/>
  <c r="C223" i="7947"/>
  <c r="C196" i="7947"/>
  <c r="C191" i="7947"/>
  <c r="C138" i="7947"/>
  <c r="C126" i="7947"/>
  <c r="C121" i="7947"/>
  <c r="C61" i="7947"/>
  <c r="G223" i="7947"/>
  <c r="G191" i="7947"/>
  <c r="G196" i="7947"/>
  <c r="G138" i="7947"/>
  <c r="G126" i="7947"/>
  <c r="G121" i="7947"/>
  <c r="G61" i="7947"/>
  <c r="K223" i="7947"/>
  <c r="K196" i="7947"/>
  <c r="K191" i="7947"/>
  <c r="K138" i="7947"/>
  <c r="K126" i="7947"/>
  <c r="K121" i="7947"/>
  <c r="K61" i="7947"/>
  <c r="O223" i="7947"/>
  <c r="O191" i="7947"/>
  <c r="O196" i="7947"/>
  <c r="O138" i="7947"/>
  <c r="O126" i="7947"/>
  <c r="O121" i="7947"/>
  <c r="O61" i="7947"/>
  <c r="S223" i="7947"/>
  <c r="S196" i="7947"/>
  <c r="S191" i="7947"/>
  <c r="S138" i="7947"/>
  <c r="S126" i="7947"/>
  <c r="S121" i="7947"/>
  <c r="S61" i="7947"/>
  <c r="W191" i="7947"/>
  <c r="W223" i="7947"/>
  <c r="W196" i="7947"/>
  <c r="W138" i="7947"/>
  <c r="W126" i="7947"/>
  <c r="W121" i="7947"/>
  <c r="W61" i="7947"/>
  <c r="AA223" i="7947"/>
  <c r="AA196" i="7947"/>
  <c r="AA191" i="7947"/>
  <c r="AA138" i="7947"/>
  <c r="AA126" i="7947"/>
  <c r="AA121" i="7947"/>
  <c r="AA61" i="7947"/>
  <c r="AE223" i="7947"/>
  <c r="AE196" i="7947"/>
  <c r="AE191" i="7947"/>
  <c r="AE138" i="7947"/>
  <c r="AE126" i="7947"/>
  <c r="AE121" i="7947"/>
  <c r="AE61" i="7947"/>
  <c r="AI223" i="7947"/>
  <c r="AI196" i="7947"/>
  <c r="AI191" i="7947"/>
  <c r="AI138" i="7947"/>
  <c r="AI126" i="7947"/>
  <c r="AI121" i="7947"/>
  <c r="AI61" i="7947"/>
  <c r="AM223" i="7947"/>
  <c r="AM191" i="7947"/>
  <c r="AM196" i="7947"/>
  <c r="AM138" i="7947"/>
  <c r="AM126" i="7947"/>
  <c r="AM121" i="7947"/>
  <c r="AM61" i="7947"/>
  <c r="AQ223" i="7947"/>
  <c r="AQ196" i="7947"/>
  <c r="AQ191" i="7947"/>
  <c r="AQ138" i="7947"/>
  <c r="AQ126" i="7947"/>
  <c r="AQ121" i="7947"/>
  <c r="AQ61" i="7947"/>
  <c r="AU223" i="7947"/>
  <c r="AU191" i="7947"/>
  <c r="AU196" i="7947"/>
  <c r="AU138" i="7947"/>
  <c r="AU126" i="7947"/>
  <c r="AU121" i="7947"/>
  <c r="AU61" i="7947"/>
  <c r="AY223" i="7947"/>
  <c r="AY196" i="7947"/>
  <c r="AY191" i="7947"/>
  <c r="AY138" i="7947"/>
  <c r="AY126" i="7947"/>
  <c r="AY121" i="7947"/>
  <c r="AY61" i="7947"/>
  <c r="BC223" i="7947"/>
  <c r="BC191" i="7947"/>
  <c r="BC196" i="7947"/>
  <c r="BC138" i="7947"/>
  <c r="BC126" i="7947"/>
  <c r="BC121" i="7947"/>
  <c r="BC61" i="7947"/>
  <c r="E20" i="7947"/>
  <c r="I20" i="7947"/>
  <c r="M20" i="7947"/>
  <c r="Q20" i="7947"/>
  <c r="U20" i="7947"/>
  <c r="Y20" i="7947"/>
  <c r="AC20" i="7947"/>
  <c r="AG20" i="7947"/>
  <c r="AK20" i="7947"/>
  <c r="AO20" i="7947"/>
  <c r="AS20" i="7947"/>
  <c r="AW20" i="7947"/>
  <c r="BA20" i="7947"/>
  <c r="BE20" i="7947"/>
  <c r="D223" i="7947"/>
  <c r="D196" i="7947"/>
  <c r="D191" i="7947"/>
  <c r="D138" i="7947"/>
  <c r="D126" i="7947"/>
  <c r="D121" i="7947"/>
  <c r="D61" i="7947"/>
  <c r="H223" i="7947"/>
  <c r="H196" i="7947"/>
  <c r="H191" i="7947"/>
  <c r="H138" i="7947"/>
  <c r="H126" i="7947"/>
  <c r="H121" i="7947"/>
  <c r="H61" i="7947"/>
  <c r="L223" i="7947"/>
  <c r="L196" i="7947"/>
  <c r="L191" i="7947"/>
  <c r="L138" i="7947"/>
  <c r="L126" i="7947"/>
  <c r="L121" i="7947"/>
  <c r="L61" i="7947"/>
  <c r="P223" i="7947"/>
  <c r="P196" i="7947"/>
  <c r="P191" i="7947"/>
  <c r="P138" i="7947"/>
  <c r="P126" i="7947"/>
  <c r="P121" i="7947"/>
  <c r="P61" i="7947"/>
  <c r="T223" i="7947"/>
  <c r="T196" i="7947"/>
  <c r="T191" i="7947"/>
  <c r="T138" i="7947"/>
  <c r="T126" i="7947"/>
  <c r="T121" i="7947"/>
  <c r="T61" i="7947"/>
  <c r="X223" i="7947"/>
  <c r="X196" i="7947"/>
  <c r="X191" i="7947"/>
  <c r="X138" i="7947"/>
  <c r="X126" i="7947"/>
  <c r="X121" i="7947"/>
  <c r="X61" i="7947"/>
  <c r="AB223" i="7947"/>
  <c r="AB196" i="7947"/>
  <c r="AB191" i="7947"/>
  <c r="AB138" i="7947"/>
  <c r="AB126" i="7947"/>
  <c r="AB121" i="7947"/>
  <c r="AB61" i="7947"/>
  <c r="AF223" i="7947"/>
  <c r="AF196" i="7947"/>
  <c r="AF191" i="7947"/>
  <c r="AF138" i="7947"/>
  <c r="AF126" i="7947"/>
  <c r="AF121" i="7947"/>
  <c r="AF61" i="7947"/>
  <c r="AJ223" i="7947"/>
  <c r="AJ196" i="7947"/>
  <c r="AJ191" i="7947"/>
  <c r="AJ138" i="7947"/>
  <c r="AJ126" i="7947"/>
  <c r="AJ121" i="7947"/>
  <c r="AJ61" i="7947"/>
  <c r="AN223" i="7947"/>
  <c r="AN196" i="7947"/>
  <c r="AN191" i="7947"/>
  <c r="AN138" i="7947"/>
  <c r="AN126" i="7947"/>
  <c r="AN121" i="7947"/>
  <c r="AN61" i="7947"/>
  <c r="AR223" i="7947"/>
  <c r="AR196" i="7947"/>
  <c r="AR191" i="7947"/>
  <c r="AR138" i="7947"/>
  <c r="AR126" i="7947"/>
  <c r="AR121" i="7947"/>
  <c r="AR61" i="7947"/>
  <c r="AV223" i="7947"/>
  <c r="AV196" i="7947"/>
  <c r="AV191" i="7947"/>
  <c r="AV138" i="7947"/>
  <c r="AV126" i="7947"/>
  <c r="AV121" i="7947"/>
  <c r="AV61" i="7947"/>
  <c r="AZ223" i="7947"/>
  <c r="AZ196" i="7947"/>
  <c r="AZ191" i="7947"/>
  <c r="AZ138" i="7947"/>
  <c r="AZ126" i="7947"/>
  <c r="AZ121" i="7947"/>
  <c r="AZ61" i="7947"/>
  <c r="BD223" i="7947"/>
  <c r="BD196" i="7947"/>
  <c r="BD191" i="7947"/>
  <c r="BD138" i="7947"/>
  <c r="BD126" i="7947"/>
  <c r="BD121" i="7947"/>
  <c r="BD61" i="7947"/>
  <c r="B20" i="7947"/>
  <c r="F20" i="7947"/>
  <c r="J20" i="7947"/>
  <c r="N20" i="7947"/>
  <c r="R20" i="7947"/>
  <c r="V20" i="7947"/>
  <c r="Z20" i="7947"/>
  <c r="AD20" i="7947"/>
  <c r="AH20" i="7947"/>
  <c r="AL20" i="7947"/>
  <c r="AP20" i="7947"/>
  <c r="AT20" i="7947"/>
  <c r="AX20" i="7947"/>
  <c r="BB20" i="7947"/>
  <c r="Q275" i="1"/>
  <c r="P275" i="1"/>
  <c r="O275" i="1"/>
  <c r="N275" i="1"/>
  <c r="M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77" i="1"/>
  <c r="G40" i="1"/>
  <c r="H40" i="1"/>
  <c r="I40" i="1"/>
  <c r="J40" i="1"/>
  <c r="J278" i="1"/>
  <c r="F279" i="1"/>
  <c r="F280" i="1"/>
  <c r="F281" i="1"/>
  <c r="F282" i="1"/>
  <c r="F283" i="1"/>
  <c r="F284" i="1"/>
  <c r="F285" i="1"/>
  <c r="F286" i="1"/>
  <c r="F287" i="1"/>
  <c r="G287" i="1"/>
  <c r="F288" i="1"/>
  <c r="F289" i="1"/>
  <c r="G289" i="1"/>
  <c r="F290" i="1"/>
  <c r="F141" i="1"/>
  <c r="G172" i="1"/>
  <c r="G171" i="1"/>
  <c r="G170" i="1"/>
  <c r="G169" i="1"/>
  <c r="G168" i="1"/>
  <c r="G167" i="1"/>
  <c r="G166" i="1"/>
  <c r="G165" i="1"/>
  <c r="G164" i="1"/>
  <c r="G163" i="1"/>
  <c r="G162" i="1"/>
  <c r="G161" i="1"/>
  <c r="G160" i="1"/>
  <c r="G159" i="1"/>
  <c r="G158" i="1"/>
  <c r="G157" i="1"/>
  <c r="G156" i="1"/>
  <c r="G155" i="1"/>
  <c r="G154" i="1"/>
  <c r="G151" i="1"/>
  <c r="Q139" i="1"/>
  <c r="P139" i="1"/>
  <c r="O139" i="1"/>
  <c r="N139" i="1"/>
  <c r="M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K40" i="1"/>
  <c r="L40" i="1"/>
  <c r="M40" i="1"/>
  <c r="N40" i="1"/>
  <c r="O40" i="1"/>
  <c r="P40" i="1"/>
  <c r="Q40" i="1"/>
  <c r="Q278" i="1"/>
  <c r="N278" i="1"/>
  <c r="K278" i="1"/>
  <c r="O278" i="1"/>
  <c r="G278" i="1"/>
  <c r="M278" i="1"/>
  <c r="I278" i="1"/>
  <c r="P278" i="1"/>
  <c r="L278" i="1"/>
  <c r="H278" i="1"/>
  <c r="G663" i="7941"/>
  <c r="G664" i="7941"/>
  <c r="G665" i="7941"/>
  <c r="G666" i="7941"/>
  <c r="G776" i="18"/>
  <c r="G506" i="7941" s="1"/>
  <c r="G777" i="18"/>
  <c r="G507" i="7941" s="1"/>
  <c r="G778" i="18"/>
  <c r="G508" i="7941" s="1"/>
  <c r="G779" i="18"/>
  <c r="G509" i="7941" s="1"/>
  <c r="G780" i="18"/>
  <c r="G510" i="7941" s="1"/>
  <c r="G781" i="18"/>
  <c r="G511" i="7941" s="1"/>
  <c r="G782" i="18"/>
  <c r="G512" i="7941" s="1"/>
  <c r="G783" i="18"/>
  <c r="G513" i="7941" s="1"/>
  <c r="G784" i="18"/>
  <c r="G514" i="7941" s="1"/>
  <c r="G785" i="18"/>
  <c r="G515" i="7941" s="1"/>
  <c r="G786" i="18"/>
  <c r="G516" i="7941" s="1"/>
  <c r="G787" i="18"/>
  <c r="G517" i="7941" s="1"/>
  <c r="G788" i="18"/>
  <c r="G518" i="7941" s="1"/>
  <c r="G789" i="18"/>
  <c r="G519" i="7941" s="1"/>
  <c r="G790" i="18"/>
  <c r="G520" i="7941" s="1"/>
  <c r="G791" i="18"/>
  <c r="G521" i="7941" s="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1" i="7941"/>
  <c r="D790" i="7941"/>
  <c r="D789" i="7941"/>
  <c r="D788" i="7941"/>
  <c r="D787" i="7941"/>
  <c r="D786" i="7941"/>
  <c r="D785" i="7941"/>
  <c r="D784" i="7941"/>
  <c r="D783" i="7941"/>
  <c r="D782" i="7941"/>
  <c r="D781" i="7941"/>
  <c r="D780" i="7941"/>
  <c r="D779" i="7941"/>
  <c r="D778" i="7941"/>
  <c r="D777" i="7941"/>
  <c r="D776" i="7941"/>
  <c r="D775" i="7941"/>
  <c r="D774" i="7941"/>
  <c r="D773" i="7941"/>
  <c r="D772" i="7941"/>
  <c r="G667" i="7941"/>
  <c r="G668" i="7941"/>
  <c r="G669" i="7941"/>
  <c r="G670" i="7941"/>
  <c r="G671"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941" i="18"/>
  <c r="D940" i="18"/>
  <c r="D939" i="18"/>
  <c r="D938" i="18"/>
  <c r="D937" i="18"/>
  <c r="D936" i="18"/>
  <c r="D935" i="18"/>
  <c r="D934" i="18"/>
  <c r="D933" i="18"/>
  <c r="D932" i="18"/>
  <c r="D931" i="18"/>
  <c r="D930" i="18"/>
  <c r="D929" i="18"/>
  <c r="D928" i="18"/>
  <c r="D927" i="18"/>
  <c r="D926" i="18"/>
  <c r="D925" i="18"/>
  <c r="D924" i="18"/>
  <c r="D923" i="18"/>
  <c r="D922" i="18"/>
  <c r="G367" i="7942"/>
  <c r="G923" i="18"/>
  <c r="G925" i="18"/>
  <c r="G927" i="18"/>
  <c r="G769" i="18"/>
  <c r="G499" i="7941" s="1"/>
  <c r="G929" i="18"/>
  <c r="G773" i="18"/>
  <c r="G503" i="7941" s="1"/>
  <c r="G774" i="18"/>
  <c r="G504" i="7941" s="1"/>
  <c r="G775" i="18"/>
  <c r="G505" i="7941" s="1"/>
  <c r="G336" i="7942"/>
  <c r="G368" i="7942"/>
  <c r="G337" i="7942"/>
  <c r="G369" i="7942"/>
  <c r="G401" i="7942" s="1"/>
  <c r="G370" i="7942"/>
  <c r="G339" i="7942"/>
  <c r="G371" i="7942"/>
  <c r="G340" i="7942"/>
  <c r="G372" i="7942"/>
  <c r="G404" i="7942" s="1"/>
  <c r="G19" i="7942"/>
  <c r="G212" i="7942"/>
  <c r="G341" i="7942"/>
  <c r="G373" i="7942"/>
  <c r="G405" i="7942" s="1"/>
  <c r="G20" i="7942"/>
  <c r="G213" i="7942"/>
  <c r="G181" i="7942"/>
  <c r="G245" i="7942" s="1"/>
  <c r="G342" i="7942"/>
  <c r="G374" i="7942"/>
  <c r="G214" i="7942"/>
  <c r="G343" i="7942"/>
  <c r="G375" i="7942"/>
  <c r="G407" i="7942" s="1"/>
  <c r="G215" i="7942"/>
  <c r="G376" i="7942"/>
  <c r="G23" i="7942"/>
  <c r="G216" i="7942"/>
  <c r="G377" i="7942"/>
  <c r="G24" i="7942"/>
  <c r="G217" i="7942"/>
  <c r="G378" i="7942"/>
  <c r="G25" i="7942"/>
  <c r="G218" i="7942"/>
  <c r="G379" i="7942"/>
  <c r="G334" i="7942"/>
  <c r="G366" i="7942"/>
  <c r="G503" i="7942"/>
  <c r="G695" i="7942"/>
  <c r="L49" i="7944"/>
  <c r="L50" i="7944"/>
  <c r="J153" i="7945"/>
  <c r="K153" i="7945" s="1"/>
  <c r="L51" i="7944"/>
  <c r="M41" i="7944"/>
  <c r="J28" i="7945"/>
  <c r="K28" i="7945" s="1"/>
  <c r="M45" i="7944"/>
  <c r="J84" i="7945"/>
  <c r="K84" i="7945" s="1"/>
  <c r="M46" i="7944"/>
  <c r="J98" i="7945"/>
  <c r="K98" i="7945" s="1"/>
  <c r="M47" i="7944"/>
  <c r="J112" i="7945"/>
  <c r="K112" i="7945" s="1"/>
  <c r="M48" i="7944"/>
  <c r="J126" i="7945"/>
  <c r="K126" i="7945" s="1"/>
  <c r="M49" i="7944"/>
  <c r="J140" i="7945"/>
  <c r="K140" i="7945" s="1"/>
  <c r="M51" i="7944"/>
  <c r="J168" i="7945"/>
  <c r="K168" i="7945" s="1"/>
  <c r="M52" i="7944"/>
  <c r="J182" i="7945"/>
  <c r="K182" i="7945" s="1"/>
  <c r="L53" i="7944"/>
  <c r="H19" i="7944"/>
  <c r="H17" i="7944"/>
  <c r="I17" i="7944"/>
  <c r="I53" i="7944"/>
  <c r="U37" i="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N394" i="7941"/>
  <c r="O394" i="7941"/>
  <c r="P394" i="7941"/>
  <c r="P395" i="7941"/>
  <c r="P396" i="7941"/>
  <c r="P397" i="7941"/>
  <c r="P398" i="7941"/>
  <c r="P399" i="7941"/>
  <c r="P400" i="7941"/>
  <c r="P401" i="7941"/>
  <c r="P402" i="7941"/>
  <c r="P403" i="7941"/>
  <c r="P404" i="7941"/>
  <c r="P405" i="7941"/>
  <c r="P406" i="7941"/>
  <c r="P407" i="7941"/>
  <c r="P408" i="7941"/>
  <c r="P409" i="7941"/>
  <c r="P410" i="7941"/>
  <c r="P411" i="7941"/>
  <c r="P412" i="7941"/>
  <c r="P413" i="7941"/>
  <c r="Q394" i="7941"/>
  <c r="N395" i="7941"/>
  <c r="O395" i="7941"/>
  <c r="Q395" i="7941"/>
  <c r="N396" i="7941"/>
  <c r="O396" i="7941"/>
  <c r="Q396" i="7941"/>
  <c r="N397" i="7941"/>
  <c r="O397" i="7941"/>
  <c r="Q397" i="7941"/>
  <c r="N398" i="7941"/>
  <c r="O398" i="7941"/>
  <c r="Q398" i="7941"/>
  <c r="N399" i="7941"/>
  <c r="O399" i="7941"/>
  <c r="Q399" i="7941"/>
  <c r="N400" i="7941"/>
  <c r="O400" i="7941"/>
  <c r="Q400" i="7941"/>
  <c r="N401" i="7941"/>
  <c r="O401" i="7941"/>
  <c r="Q401" i="7941"/>
  <c r="N402" i="7941"/>
  <c r="O402" i="7941"/>
  <c r="Q402" i="7941"/>
  <c r="N403" i="7941"/>
  <c r="O403" i="7941"/>
  <c r="Q403" i="7941"/>
  <c r="N404" i="7941"/>
  <c r="O404" i="7941"/>
  <c r="Q404" i="7941"/>
  <c r="N405" i="7941"/>
  <c r="O405" i="7941"/>
  <c r="Q405" i="7941"/>
  <c r="N406" i="7941"/>
  <c r="O406" i="7941"/>
  <c r="Q406" i="7941"/>
  <c r="N407" i="7941"/>
  <c r="O407" i="7941"/>
  <c r="Q407" i="7941"/>
  <c r="N408" i="7941"/>
  <c r="O408" i="7941"/>
  <c r="Q408" i="7941"/>
  <c r="N409" i="7941"/>
  <c r="O409" i="7941"/>
  <c r="Q409" i="7941"/>
  <c r="N410" i="7941"/>
  <c r="O410" i="7941"/>
  <c r="Q410" i="7941"/>
  <c r="N411" i="7941"/>
  <c r="O411" i="7941"/>
  <c r="Q411" i="7941"/>
  <c r="N412" i="7941"/>
  <c r="O412" i="7941"/>
  <c r="Q412" i="7941"/>
  <c r="N413" i="7941"/>
  <c r="O413" i="7941"/>
  <c r="Q413"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G215" i="7941"/>
  <c r="G216" i="7941"/>
  <c r="G217" i="7941"/>
  <c r="G218" i="7941"/>
  <c r="G219" i="7941"/>
  <c r="G214"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G676" i="18"/>
  <c r="G677" i="18"/>
  <c r="G678" i="18"/>
  <c r="G679" i="18"/>
  <c r="G680" i="18"/>
  <c r="G681" i="18"/>
  <c r="D681" i="18"/>
  <c r="D680" i="18"/>
  <c r="D679" i="18"/>
  <c r="D678" i="18"/>
  <c r="D677" i="18"/>
  <c r="D676" i="18"/>
  <c r="D675" i="18"/>
  <c r="D674" i="18"/>
  <c r="D673" i="18"/>
  <c r="D672" i="18"/>
  <c r="D671" i="18"/>
  <c r="D670" i="18"/>
  <c r="D669" i="18"/>
  <c r="D668" i="18"/>
  <c r="D667" i="18"/>
  <c r="D666" i="18"/>
  <c r="D665" i="18"/>
  <c r="D664" i="18"/>
  <c r="D663" i="18"/>
  <c r="D662" i="18"/>
  <c r="G702" i="7942"/>
  <c r="G703" i="7942"/>
  <c r="G704" i="7942"/>
  <c r="G705" i="7942"/>
  <c r="G706" i="7942"/>
  <c r="G707" i="7942"/>
  <c r="C707" i="7942"/>
  <c r="C706" i="7942"/>
  <c r="C705" i="7942"/>
  <c r="C704" i="7942"/>
  <c r="C703" i="7942"/>
  <c r="C702" i="7942"/>
  <c r="C701" i="7942"/>
  <c r="C700" i="7942"/>
  <c r="C699" i="7942"/>
  <c r="C698" i="7942"/>
  <c r="C697" i="7942"/>
  <c r="C696" i="7942"/>
  <c r="C695" i="7942"/>
  <c r="C694" i="7942"/>
  <c r="C693" i="7942"/>
  <c r="C692" i="7942"/>
  <c r="C691" i="7942"/>
  <c r="C690" i="7942"/>
  <c r="C689" i="7942"/>
  <c r="C688" i="7942"/>
  <c r="G380" i="7942"/>
  <c r="G412" i="7942" s="1"/>
  <c r="G381" i="7942"/>
  <c r="G382" i="7942"/>
  <c r="G383" i="7942"/>
  <c r="G384" i="7942"/>
  <c r="G416" i="7942" s="1"/>
  <c r="G385" i="7942"/>
  <c r="G344" i="7942"/>
  <c r="G345" i="7942"/>
  <c r="G346" i="7942"/>
  <c r="G347" i="7942"/>
  <c r="G348" i="7942"/>
  <c r="G349" i="7942"/>
  <c r="G350" i="7942"/>
  <c r="G414" i="7942" s="1"/>
  <c r="G351" i="7942"/>
  <c r="G352" i="7942"/>
  <c r="G353" i="7942"/>
  <c r="C468" i="7942"/>
  <c r="C466" i="7942"/>
  <c r="C464" i="7942"/>
  <c r="C462" i="7942"/>
  <c r="C460" i="7942"/>
  <c r="C458" i="7942"/>
  <c r="C456" i="7942"/>
  <c r="C454" i="7942"/>
  <c r="C452" i="7942"/>
  <c r="C450" i="7942"/>
  <c r="C448" i="7942"/>
  <c r="C446" i="7942"/>
  <c r="C444" i="7942"/>
  <c r="C442" i="7942"/>
  <c r="C440" i="7942"/>
  <c r="C438" i="7942"/>
  <c r="C436" i="7942"/>
  <c r="C434" i="7942"/>
  <c r="C432"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C520" i="7942"/>
  <c r="C521" i="7942"/>
  <c r="C522" i="7942"/>
  <c r="C523" i="7942"/>
  <c r="C524" i="7942"/>
  <c r="C525" i="7942"/>
  <c r="C528" i="7942"/>
  <c r="C529" i="7942"/>
  <c r="C530" i="7942"/>
  <c r="C531" i="7942"/>
  <c r="C532" i="7942"/>
  <c r="C533" i="7942"/>
  <c r="C534" i="7942"/>
  <c r="C535" i="7942"/>
  <c r="C536" i="7942"/>
  <c r="C537" i="7942"/>
  <c r="C538" i="7942"/>
  <c r="C539" i="7942"/>
  <c r="C540" i="7942"/>
  <c r="C541" i="7942"/>
  <c r="C542" i="7942"/>
  <c r="C543" i="7942"/>
  <c r="C544" i="7942"/>
  <c r="C545" i="7942"/>
  <c r="C546" i="7942"/>
  <c r="C547" i="7942"/>
  <c r="C548" i="7942"/>
  <c r="C549" i="7942"/>
  <c r="C550" i="7942"/>
  <c r="C551" i="7942"/>
  <c r="C552" i="7942"/>
  <c r="C553" i="7942"/>
  <c r="C554" i="7942"/>
  <c r="C555" i="7942"/>
  <c r="C556" i="7942"/>
  <c r="C557" i="7942"/>
  <c r="C560" i="7942"/>
  <c r="C561" i="7942"/>
  <c r="C562" i="7942"/>
  <c r="C563" i="7942"/>
  <c r="C564" i="7942"/>
  <c r="C565" i="7942"/>
  <c r="C566" i="7942"/>
  <c r="C567" i="7942"/>
  <c r="C568" i="7942"/>
  <c r="C569" i="7942"/>
  <c r="C570" i="7942"/>
  <c r="C571" i="7942"/>
  <c r="C572" i="7942"/>
  <c r="C573" i="7942"/>
  <c r="C574" i="7942"/>
  <c r="C575" i="7942"/>
  <c r="C576" i="7942"/>
  <c r="C577" i="7942"/>
  <c r="C578" i="7942"/>
  <c r="C579" i="7942"/>
  <c r="C580" i="7942"/>
  <c r="C581" i="7942"/>
  <c r="C582" i="7942"/>
  <c r="C583" i="7942"/>
  <c r="C584" i="7942"/>
  <c r="C585" i="7942"/>
  <c r="C586" i="7942"/>
  <c r="C587" i="7942"/>
  <c r="C588" i="7942"/>
  <c r="C589" i="7942"/>
  <c r="C592" i="7942"/>
  <c r="C593" i="7942"/>
  <c r="C594" i="7942"/>
  <c r="C595" i="7942"/>
  <c r="C596" i="7942"/>
  <c r="C597" i="7942"/>
  <c r="C598" i="7942"/>
  <c r="C599" i="7942"/>
  <c r="C600" i="7942"/>
  <c r="C601" i="7942"/>
  <c r="C602" i="7942"/>
  <c r="C603" i="7942"/>
  <c r="K36" i="7945"/>
  <c r="K22" i="7945"/>
  <c r="K8" i="7945"/>
  <c r="C167" i="18"/>
  <c r="H22" i="7944"/>
  <c r="H23" i="7944"/>
  <c r="H55" i="7944"/>
  <c r="H24" i="7944"/>
  <c r="H25" i="7944"/>
  <c r="I25" i="7944"/>
  <c r="H57" i="7944"/>
  <c r="H26" i="7944"/>
  <c r="H27" i="7944"/>
  <c r="H59" i="7944"/>
  <c r="H28" i="7944"/>
  <c r="H29" i="7944"/>
  <c r="H61" i="7944"/>
  <c r="H30" i="7944"/>
  <c r="H62" i="7944"/>
  <c r="H31" i="7944"/>
  <c r="H63" i="7944"/>
  <c r="H32" i="7944"/>
  <c r="H64" i="7944"/>
  <c r="H33" i="7944"/>
  <c r="H65" i="7944"/>
  <c r="H34" i="7944"/>
  <c r="H66" i="7944"/>
  <c r="H35" i="7944"/>
  <c r="H67" i="7944"/>
  <c r="H36" i="7944"/>
  <c r="H68" i="7944"/>
  <c r="H37" i="7944"/>
  <c r="H69" i="7944"/>
  <c r="L55" i="7944"/>
  <c r="L57" i="7944"/>
  <c r="J251" i="7945"/>
  <c r="K251" i="7945" s="1"/>
  <c r="L59" i="7944"/>
  <c r="L60" i="7944"/>
  <c r="J293" i="7945"/>
  <c r="K293" i="7945" s="1"/>
  <c r="L61" i="7944"/>
  <c r="J307" i="7945"/>
  <c r="K307" i="7945" s="1"/>
  <c r="L62" i="7944"/>
  <c r="L63" i="7944"/>
  <c r="L64" i="7944"/>
  <c r="L65" i="7944"/>
  <c r="L66" i="7944"/>
  <c r="L67" i="7944"/>
  <c r="L68" i="7944"/>
  <c r="L69" i="7944"/>
  <c r="I55" i="7944"/>
  <c r="I56" i="7944"/>
  <c r="I57" i="7944"/>
  <c r="J248" i="7945"/>
  <c r="K248" i="7945" s="1"/>
  <c r="I59" i="7944"/>
  <c r="I60" i="7944"/>
  <c r="I61" i="7944"/>
  <c r="I62" i="7944"/>
  <c r="I63" i="7944"/>
  <c r="I64" i="7944"/>
  <c r="I65" i="7944"/>
  <c r="I66" i="7944"/>
  <c r="I67" i="7944"/>
  <c r="I68" i="7944"/>
  <c r="I69" i="7944"/>
  <c r="J54" i="7944"/>
  <c r="J56" i="7944"/>
  <c r="J57" i="7944"/>
  <c r="J58" i="7944"/>
  <c r="J60" i="7944"/>
  <c r="J62" i="7944"/>
  <c r="J63" i="7944"/>
  <c r="J64" i="7944"/>
  <c r="J65" i="7944"/>
  <c r="J66" i="7944"/>
  <c r="J67" i="7944"/>
  <c r="J68" i="7944"/>
  <c r="J69" i="7944"/>
  <c r="K54" i="7944"/>
  <c r="K56" i="7944"/>
  <c r="K57" i="7944"/>
  <c r="K58" i="7944"/>
  <c r="K60" i="7944"/>
  <c r="J292" i="7945"/>
  <c r="K292" i="7945" s="1"/>
  <c r="K61" i="7944"/>
  <c r="J306" i="7945"/>
  <c r="K306" i="7945" s="1"/>
  <c r="K62" i="7944"/>
  <c r="K63" i="7944"/>
  <c r="K64" i="7944"/>
  <c r="K65" i="7944"/>
  <c r="K66" i="7944"/>
  <c r="K67" i="7944"/>
  <c r="K68" i="7944"/>
  <c r="K69" i="7944"/>
  <c r="M54" i="7944"/>
  <c r="J210" i="7945"/>
  <c r="K210" i="7945" s="1"/>
  <c r="M55" i="7944"/>
  <c r="J224" i="7945"/>
  <c r="K224" i="7945" s="1"/>
  <c r="M56" i="7944"/>
  <c r="J238" i="7945"/>
  <c r="K238" i="7945" s="1"/>
  <c r="M57" i="7944"/>
  <c r="J252" i="7945"/>
  <c r="K252" i="7945" s="1"/>
  <c r="M58" i="7944"/>
  <c r="J266" i="7945"/>
  <c r="K266" i="7945" s="1"/>
  <c r="M59" i="7944"/>
  <c r="J280" i="7945"/>
  <c r="K280" i="7945" s="1"/>
  <c r="M60" i="7944"/>
  <c r="J294" i="7945"/>
  <c r="K294" i="7945" s="1"/>
  <c r="M61" i="7944"/>
  <c r="J308" i="7945"/>
  <c r="K308" i="7945" s="1"/>
  <c r="M62" i="7944"/>
  <c r="J322" i="7945"/>
  <c r="K322" i="7945" s="1"/>
  <c r="M63" i="7944"/>
  <c r="J336" i="7945"/>
  <c r="K336" i="7945" s="1"/>
  <c r="M64" i="7944"/>
  <c r="J350" i="7945"/>
  <c r="K350" i="7945" s="1"/>
  <c r="M65" i="7944"/>
  <c r="J364" i="7945"/>
  <c r="K364" i="7945" s="1"/>
  <c r="M66" i="7944"/>
  <c r="J378" i="7945"/>
  <c r="K378" i="7945" s="1"/>
  <c r="M67" i="7944"/>
  <c r="J392" i="7945"/>
  <c r="K392" i="7945" s="1"/>
  <c r="M68" i="7944"/>
  <c r="J406" i="7945"/>
  <c r="K406" i="7945" s="1"/>
  <c r="M69" i="7944"/>
  <c r="J420" i="7945"/>
  <c r="N40" i="7944"/>
  <c r="N41" i="7944"/>
  <c r="J29" i="7945"/>
  <c r="K29" i="7945" s="1"/>
  <c r="N42" i="7944"/>
  <c r="J43" i="7945"/>
  <c r="K43" i="7945" s="1"/>
  <c r="N43" i="7944"/>
  <c r="J57" i="7945"/>
  <c r="K57" i="7945" s="1"/>
  <c r="N44" i="7944"/>
  <c r="J71" i="7945"/>
  <c r="K71" i="7945" s="1"/>
  <c r="N45" i="7944"/>
  <c r="J85" i="7945"/>
  <c r="N46" i="7944"/>
  <c r="J99" i="7945"/>
  <c r="K99" i="7945" s="1"/>
  <c r="N47" i="7944"/>
  <c r="J113" i="7945"/>
  <c r="K113" i="7945" s="1"/>
  <c r="N48" i="7944"/>
  <c r="J127" i="7945"/>
  <c r="K127" i="7945" s="1"/>
  <c r="N49" i="7944"/>
  <c r="J141" i="7945"/>
  <c r="K141" i="7945" s="1"/>
  <c r="N50" i="7944"/>
  <c r="J155" i="7945"/>
  <c r="K155" i="7945" s="1"/>
  <c r="N51" i="7944"/>
  <c r="J169" i="7945"/>
  <c r="K169" i="7945" s="1"/>
  <c r="N52" i="7944"/>
  <c r="J183" i="7945"/>
  <c r="K183" i="7945" s="1"/>
  <c r="N53" i="7944"/>
  <c r="J197" i="7945"/>
  <c r="K197" i="7945" s="1"/>
  <c r="N54" i="7944"/>
  <c r="J211" i="7945"/>
  <c r="K211" i="7945" s="1"/>
  <c r="N55" i="7944"/>
  <c r="J225" i="7945"/>
  <c r="K225" i="7945" s="1"/>
  <c r="N56" i="7944"/>
  <c r="J239" i="7945"/>
  <c r="K239" i="7945" s="1"/>
  <c r="N57" i="7944"/>
  <c r="J253" i="7945"/>
  <c r="K253" i="7945" s="1"/>
  <c r="N58" i="7944"/>
  <c r="J267" i="7945"/>
  <c r="K267" i="7945" s="1"/>
  <c r="N59" i="7944"/>
  <c r="J281" i="7945"/>
  <c r="K281" i="7945" s="1"/>
  <c r="N60" i="7944"/>
  <c r="J295" i="7945"/>
  <c r="K295" i="7945" s="1"/>
  <c r="N61" i="7944"/>
  <c r="J309" i="7945"/>
  <c r="K309" i="7945" s="1"/>
  <c r="N62" i="7944"/>
  <c r="J323" i="7945"/>
  <c r="K323" i="7945" s="1"/>
  <c r="N63" i="7944"/>
  <c r="J337" i="7945"/>
  <c r="K337" i="7945" s="1"/>
  <c r="N64" i="7944"/>
  <c r="J351" i="7945"/>
  <c r="K351" i="7945" s="1"/>
  <c r="N65" i="7944"/>
  <c r="J365" i="7945"/>
  <c r="K365" i="7945" s="1"/>
  <c r="N66" i="7944"/>
  <c r="J379" i="7945"/>
  <c r="K379" i="7945" s="1"/>
  <c r="N67" i="7944"/>
  <c r="J393" i="7945"/>
  <c r="K393" i="7945" s="1"/>
  <c r="N68" i="7944"/>
  <c r="J407" i="7945"/>
  <c r="K407" i="7945" s="1"/>
  <c r="N69" i="7944"/>
  <c r="J421" i="7945"/>
  <c r="K421" i="7945" s="1"/>
  <c r="O40" i="7944"/>
  <c r="J16" i="7945"/>
  <c r="K16" i="7945" s="1"/>
  <c r="O41" i="7944"/>
  <c r="J30" i="7945"/>
  <c r="K30" i="7945" s="1"/>
  <c r="O42" i="7944"/>
  <c r="O43" i="7944"/>
  <c r="J58" i="7945"/>
  <c r="K58" i="7945" s="1"/>
  <c r="O44" i="7944"/>
  <c r="J72" i="7945"/>
  <c r="K72" i="7945" s="1"/>
  <c r="O45" i="7944"/>
  <c r="J86" i="7945"/>
  <c r="K86" i="7945" s="1"/>
  <c r="O46" i="7944"/>
  <c r="J100" i="7945"/>
  <c r="K100" i="7945" s="1"/>
  <c r="O47" i="7944"/>
  <c r="J114" i="7945"/>
  <c r="K114" i="7945" s="1"/>
  <c r="O48" i="7944"/>
  <c r="J128" i="7945"/>
  <c r="K128" i="7945" s="1"/>
  <c r="O49" i="7944"/>
  <c r="J142" i="7945"/>
  <c r="K142" i="7945" s="1"/>
  <c r="O50" i="7944"/>
  <c r="J156" i="7945"/>
  <c r="K156" i="7945" s="1"/>
  <c r="O51" i="7944"/>
  <c r="J170" i="7945"/>
  <c r="K170" i="7945" s="1"/>
  <c r="O52" i="7944"/>
  <c r="J184" i="7945"/>
  <c r="K184" i="7945" s="1"/>
  <c r="O53" i="7944"/>
  <c r="J198" i="7945"/>
  <c r="K198" i="7945" s="1"/>
  <c r="O54" i="7944"/>
  <c r="J212" i="7945"/>
  <c r="K212" i="7945" s="1"/>
  <c r="O55" i="7944"/>
  <c r="J226" i="7945"/>
  <c r="K226" i="7945" s="1"/>
  <c r="O56" i="7944"/>
  <c r="J240" i="7945"/>
  <c r="K240" i="7945" s="1"/>
  <c r="O57" i="7944"/>
  <c r="J254" i="7945"/>
  <c r="K254" i="7945" s="1"/>
  <c r="O58" i="7944"/>
  <c r="J268" i="7945"/>
  <c r="K268" i="7945" s="1"/>
  <c r="O59" i="7944"/>
  <c r="J282" i="7945"/>
  <c r="K282" i="7945" s="1"/>
  <c r="O60" i="7944"/>
  <c r="J296" i="7945"/>
  <c r="K296" i="7945" s="1"/>
  <c r="O61" i="7944"/>
  <c r="J310" i="7945"/>
  <c r="K310" i="7945" s="1"/>
  <c r="O62" i="7944"/>
  <c r="J324" i="7945"/>
  <c r="K324" i="7945" s="1"/>
  <c r="O63" i="7944"/>
  <c r="J338" i="7945"/>
  <c r="K338" i="7945" s="1"/>
  <c r="O64" i="7944"/>
  <c r="J352" i="7945"/>
  <c r="K352" i="7945" s="1"/>
  <c r="O65" i="7944"/>
  <c r="J366" i="7945"/>
  <c r="O66" i="7944"/>
  <c r="J380" i="7945"/>
  <c r="K380" i="7945" s="1"/>
  <c r="O67" i="7944"/>
  <c r="J394" i="7945"/>
  <c r="K394" i="7945" s="1"/>
  <c r="O68" i="7944"/>
  <c r="J408" i="7945"/>
  <c r="K408" i="7945" s="1"/>
  <c r="O69" i="7944"/>
  <c r="J422" i="7945"/>
  <c r="K422" i="7945" s="1"/>
  <c r="P40" i="7944"/>
  <c r="J17" i="7945"/>
  <c r="K17" i="7945" s="1"/>
  <c r="P41" i="7944"/>
  <c r="J31" i="7945"/>
  <c r="K31" i="7945" s="1"/>
  <c r="P42" i="7944"/>
  <c r="J45" i="7945"/>
  <c r="K45" i="7945" s="1"/>
  <c r="P43" i="7944"/>
  <c r="J59" i="7945"/>
  <c r="K59" i="7945" s="1"/>
  <c r="P44" i="7944"/>
  <c r="J73" i="7945"/>
  <c r="K73" i="7945" s="1"/>
  <c r="P45" i="7944"/>
  <c r="J87" i="7945"/>
  <c r="K87" i="7945" s="1"/>
  <c r="P46" i="7944"/>
  <c r="J101" i="7945"/>
  <c r="K101" i="7945" s="1"/>
  <c r="P47" i="7944"/>
  <c r="J115" i="7945"/>
  <c r="K115" i="7945" s="1"/>
  <c r="P48" i="7944"/>
  <c r="J129" i="7945"/>
  <c r="K129" i="7945" s="1"/>
  <c r="P49" i="7944"/>
  <c r="J143" i="7945"/>
  <c r="K143" i="7945" s="1"/>
  <c r="P50" i="7944"/>
  <c r="J157" i="7945"/>
  <c r="K157" i="7945" s="1"/>
  <c r="P51" i="7944"/>
  <c r="J171" i="7945"/>
  <c r="K171" i="7945" s="1"/>
  <c r="P52" i="7944"/>
  <c r="J185" i="7945"/>
  <c r="K185" i="7945" s="1"/>
  <c r="P53" i="7944"/>
  <c r="J199" i="7945"/>
  <c r="K199" i="7945" s="1"/>
  <c r="P54" i="7944"/>
  <c r="J213" i="7945"/>
  <c r="K213" i="7945" s="1"/>
  <c r="P55" i="7944"/>
  <c r="J227" i="7945"/>
  <c r="K227" i="7945" s="1"/>
  <c r="P56" i="7944"/>
  <c r="J241" i="7945"/>
  <c r="K241" i="7945" s="1"/>
  <c r="P57" i="7944"/>
  <c r="J255" i="7945"/>
  <c r="K255" i="7945" s="1"/>
  <c r="P58" i="7944"/>
  <c r="J269" i="7945"/>
  <c r="K269" i="7945" s="1"/>
  <c r="P59" i="7944"/>
  <c r="J283" i="7945"/>
  <c r="K283" i="7945" s="1"/>
  <c r="P60" i="7944"/>
  <c r="J297" i="7945"/>
  <c r="K297" i="7945" s="1"/>
  <c r="P61" i="7944"/>
  <c r="J311" i="7945"/>
  <c r="K311" i="7945" s="1"/>
  <c r="P62" i="7944"/>
  <c r="J325" i="7945"/>
  <c r="K325" i="7945" s="1"/>
  <c r="P63" i="7944"/>
  <c r="J339" i="7945"/>
  <c r="K339" i="7945" s="1"/>
  <c r="P64" i="7944"/>
  <c r="J353" i="7945"/>
  <c r="K353" i="7945" s="1"/>
  <c r="P65" i="7944"/>
  <c r="J367" i="7945"/>
  <c r="K367" i="7945" s="1"/>
  <c r="P66" i="7944"/>
  <c r="J381" i="7945"/>
  <c r="K381" i="7945" s="1"/>
  <c r="P67" i="7944"/>
  <c r="J395" i="7945"/>
  <c r="K395" i="7945" s="1"/>
  <c r="P68" i="7944"/>
  <c r="J409" i="7945"/>
  <c r="K409" i="7945" s="1"/>
  <c r="P69" i="7944"/>
  <c r="J423" i="7945"/>
  <c r="K423" i="7945" s="1"/>
  <c r="Q40" i="7944"/>
  <c r="Q41" i="7944"/>
  <c r="J32" i="7945"/>
  <c r="K32" i="7945" s="1"/>
  <c r="Q42" i="7944"/>
  <c r="J46" i="7945"/>
  <c r="K46" i="7945" s="1"/>
  <c r="Q43" i="7944"/>
  <c r="J60" i="7945"/>
  <c r="K60" i="7945" s="1"/>
  <c r="Q44" i="7944"/>
  <c r="J74" i="7945"/>
  <c r="K74" i="7945" s="1"/>
  <c r="Q45" i="7944"/>
  <c r="J88" i="7945"/>
  <c r="K88" i="7945" s="1"/>
  <c r="Q46" i="7944"/>
  <c r="J102" i="7945"/>
  <c r="K102" i="7945" s="1"/>
  <c r="Q47" i="7944"/>
  <c r="J116" i="7945"/>
  <c r="K116" i="7945" s="1"/>
  <c r="Q48" i="7944"/>
  <c r="J130" i="7945"/>
  <c r="K130" i="7945" s="1"/>
  <c r="Q49" i="7944"/>
  <c r="J144" i="7945"/>
  <c r="K144" i="7945" s="1"/>
  <c r="Q50" i="7944"/>
  <c r="J158" i="7945"/>
  <c r="K158" i="7945" s="1"/>
  <c r="Q51" i="7944"/>
  <c r="J172" i="7945"/>
  <c r="K172" i="7945" s="1"/>
  <c r="Q52" i="7944"/>
  <c r="J186" i="7945"/>
  <c r="K186" i="7945" s="1"/>
  <c r="Q53" i="7944"/>
  <c r="J200" i="7945"/>
  <c r="K200" i="7945" s="1"/>
  <c r="Q54" i="7944"/>
  <c r="J214" i="7945"/>
  <c r="K214" i="7945" s="1"/>
  <c r="Q55" i="7944"/>
  <c r="J228" i="7945"/>
  <c r="K228" i="7945" s="1"/>
  <c r="Q56" i="7944"/>
  <c r="J242" i="7945"/>
  <c r="K242" i="7945" s="1"/>
  <c r="Q57" i="7944"/>
  <c r="J256" i="7945"/>
  <c r="K256" i="7945" s="1"/>
  <c r="Q58" i="7944"/>
  <c r="J270" i="7945"/>
  <c r="K270" i="7945" s="1"/>
  <c r="Q59" i="7944"/>
  <c r="J284" i="7945"/>
  <c r="K284" i="7945" s="1"/>
  <c r="Q60" i="7944"/>
  <c r="J298" i="7945"/>
  <c r="K298" i="7945" s="1"/>
  <c r="Q61" i="7944"/>
  <c r="J312" i="7945"/>
  <c r="K312" i="7945" s="1"/>
  <c r="Q62" i="7944"/>
  <c r="J326" i="7945"/>
  <c r="K326" i="7945" s="1"/>
  <c r="Q63" i="7944"/>
  <c r="J340" i="7945"/>
  <c r="K340" i="7945" s="1"/>
  <c r="Q64" i="7944"/>
  <c r="J354" i="7945"/>
  <c r="K354" i="7945" s="1"/>
  <c r="Q65" i="7944"/>
  <c r="J368" i="7945"/>
  <c r="K368" i="7945" s="1"/>
  <c r="Q66" i="7944"/>
  <c r="J382" i="7945"/>
  <c r="K382" i="7945" s="1"/>
  <c r="Q67" i="7944"/>
  <c r="J396" i="7945"/>
  <c r="K396" i="7945" s="1"/>
  <c r="Q68" i="7944"/>
  <c r="J410" i="7945"/>
  <c r="K410" i="7945" s="1"/>
  <c r="Q69" i="7944"/>
  <c r="J424" i="7945"/>
  <c r="K424" i="7945" s="1"/>
  <c r="B413" i="7945"/>
  <c r="B399" i="7945"/>
  <c r="B385" i="7945"/>
  <c r="B371" i="7945"/>
  <c r="B357" i="7945"/>
  <c r="B343" i="7945"/>
  <c r="B329" i="7945"/>
  <c r="B315" i="7945"/>
  <c r="B301" i="7945"/>
  <c r="B287" i="7945"/>
  <c r="G36" i="7946"/>
  <c r="G35" i="7946"/>
  <c r="G34" i="7946"/>
  <c r="G28" i="7946"/>
  <c r="G33" i="7946"/>
  <c r="G32" i="7946"/>
  <c r="G31" i="7946"/>
  <c r="G30" i="7946"/>
  <c r="G29" i="7946"/>
  <c r="G27" i="7946"/>
  <c r="E27" i="7946"/>
  <c r="E28" i="7946"/>
  <c r="E29" i="7946"/>
  <c r="E30" i="7946"/>
  <c r="E31" i="7946"/>
  <c r="E32" i="7946"/>
  <c r="E33" i="7946"/>
  <c r="E34" i="7946"/>
  <c r="E35" i="7946"/>
  <c r="E36" i="7946"/>
  <c r="K414" i="7945"/>
  <c r="K400" i="7945"/>
  <c r="K386" i="7945"/>
  <c r="K372" i="7945"/>
  <c r="K358" i="7945"/>
  <c r="K344" i="7945"/>
  <c r="K316" i="7945"/>
  <c r="K330" i="7945"/>
  <c r="K302" i="7945"/>
  <c r="K288"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C461" i="7944"/>
  <c r="B449" i="7944"/>
  <c r="C448" i="7944"/>
  <c r="B436" i="7944"/>
  <c r="C435" i="7944"/>
  <c r="B423" i="7944"/>
  <c r="C422" i="7944"/>
  <c r="B410" i="7944"/>
  <c r="C409" i="7944"/>
  <c r="B397" i="7944"/>
  <c r="C396" i="7944"/>
  <c r="B384" i="7944"/>
  <c r="C383" i="7944"/>
  <c r="B371" i="7944"/>
  <c r="C370" i="7944"/>
  <c r="B358" i="7944"/>
  <c r="C357" i="7944"/>
  <c r="B345" i="7944"/>
  <c r="H371"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846" i="7941"/>
  <c r="D845" i="7941"/>
  <c r="D844" i="7941"/>
  <c r="D843" i="7941"/>
  <c r="D842" i="7941"/>
  <c r="D841" i="7941"/>
  <c r="D840" i="7941"/>
  <c r="D839" i="7941"/>
  <c r="D838" i="7941"/>
  <c r="D837" i="7941"/>
  <c r="D769" i="7941"/>
  <c r="D768" i="7941"/>
  <c r="D767" i="7941"/>
  <c r="D766" i="7941"/>
  <c r="D765" i="7941"/>
  <c r="D764" i="7941"/>
  <c r="D763" i="7941"/>
  <c r="D762" i="7941"/>
  <c r="D761" i="7941"/>
  <c r="D760" i="7941"/>
  <c r="D737" i="7941"/>
  <c r="D736" i="7941"/>
  <c r="D735" i="7941"/>
  <c r="D734" i="7941"/>
  <c r="D733" i="7941"/>
  <c r="D732" i="7941"/>
  <c r="D731" i="7941"/>
  <c r="D730" i="7941"/>
  <c r="D729" i="7941"/>
  <c r="D728" i="7941"/>
  <c r="D705" i="7941"/>
  <c r="D704" i="7941"/>
  <c r="D703" i="7941"/>
  <c r="D702" i="7941"/>
  <c r="D701" i="7941"/>
  <c r="D700" i="7941"/>
  <c r="D699" i="7941"/>
  <c r="D698" i="7941"/>
  <c r="D697" i="7941"/>
  <c r="D696" i="7941"/>
  <c r="D649" i="7941"/>
  <c r="D648" i="7941"/>
  <c r="D647" i="7941"/>
  <c r="D646" i="7941"/>
  <c r="D645" i="7941"/>
  <c r="D644" i="7941"/>
  <c r="D643" i="7941"/>
  <c r="D642" i="7941"/>
  <c r="D641" i="7941"/>
  <c r="D640" i="7941"/>
  <c r="D617" i="7941"/>
  <c r="D616" i="7941"/>
  <c r="D615" i="7941"/>
  <c r="D614" i="7941"/>
  <c r="D613" i="7941"/>
  <c r="D612" i="7941"/>
  <c r="D611" i="7941"/>
  <c r="D610" i="7941"/>
  <c r="D609" i="7941"/>
  <c r="D608" i="7941"/>
  <c r="D585" i="7941"/>
  <c r="D584" i="7941"/>
  <c r="D583" i="7941"/>
  <c r="D582" i="7941"/>
  <c r="D581" i="7941"/>
  <c r="D580" i="7941"/>
  <c r="D579" i="7941"/>
  <c r="D578" i="7941"/>
  <c r="D577" i="7941"/>
  <c r="D576"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7" i="7941"/>
  <c r="D486" i="7941"/>
  <c r="D485" i="7941"/>
  <c r="D484" i="7941"/>
  <c r="D483" i="7941"/>
  <c r="D482" i="7941"/>
  <c r="D481" i="7941"/>
  <c r="D480" i="7941"/>
  <c r="D479" i="7941"/>
  <c r="D478"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1017" i="18"/>
  <c r="D1016" i="18"/>
  <c r="D1015" i="18"/>
  <c r="D1014" i="18"/>
  <c r="D1013" i="18"/>
  <c r="D1012" i="18"/>
  <c r="D1011" i="18"/>
  <c r="D1010" i="18"/>
  <c r="D1009" i="18"/>
  <c r="D1008" i="18"/>
  <c r="D985" i="18"/>
  <c r="D984" i="18"/>
  <c r="D983" i="18"/>
  <c r="D982" i="18"/>
  <c r="D981" i="18"/>
  <c r="D980" i="18"/>
  <c r="D979" i="18"/>
  <c r="D978" i="18"/>
  <c r="D977" i="18"/>
  <c r="D976" i="18"/>
  <c r="D919" i="18"/>
  <c r="D918" i="18"/>
  <c r="D917" i="18"/>
  <c r="D916" i="18"/>
  <c r="D915" i="18"/>
  <c r="D914" i="18"/>
  <c r="D913" i="18"/>
  <c r="D912" i="18"/>
  <c r="D911" i="18"/>
  <c r="D910"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D791" i="18"/>
  <c r="D790" i="18"/>
  <c r="D789" i="18"/>
  <c r="D788" i="18"/>
  <c r="D787" i="18"/>
  <c r="D786" i="18"/>
  <c r="D785" i="18"/>
  <c r="D784" i="18"/>
  <c r="D783" i="18"/>
  <c r="D782" i="18"/>
  <c r="D757" i="18"/>
  <c r="D756" i="18"/>
  <c r="D755" i="18"/>
  <c r="D754" i="18"/>
  <c r="D753" i="18"/>
  <c r="D752" i="18"/>
  <c r="D751" i="18"/>
  <c r="D750" i="18"/>
  <c r="D749" i="18"/>
  <c r="D748"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C453" i="18"/>
  <c r="C440" i="18"/>
  <c r="C427" i="18"/>
  <c r="C414" i="18"/>
  <c r="C401" i="18"/>
  <c r="C388" i="18"/>
  <c r="C375" i="18"/>
  <c r="C362" i="18"/>
  <c r="C349" i="18"/>
  <c r="C336" i="18"/>
  <c r="D73" i="18"/>
  <c r="D72" i="18"/>
  <c r="D71" i="18"/>
  <c r="D70" i="18"/>
  <c r="D69" i="18"/>
  <c r="D68" i="18"/>
  <c r="D67" i="18"/>
  <c r="D66" i="18"/>
  <c r="D65" i="18"/>
  <c r="D64" i="18"/>
  <c r="D41" i="18"/>
  <c r="D40" i="18"/>
  <c r="D39" i="18"/>
  <c r="D38" i="18"/>
  <c r="D37" i="18"/>
  <c r="D36" i="18"/>
  <c r="D35" i="18"/>
  <c r="D34" i="18"/>
  <c r="D33" i="18"/>
  <c r="D32" i="18"/>
  <c r="C685" i="7942"/>
  <c r="C684" i="7942"/>
  <c r="C683" i="7942"/>
  <c r="C682" i="7942"/>
  <c r="C681" i="7942"/>
  <c r="C680" i="7942"/>
  <c r="C679" i="7942"/>
  <c r="C678" i="7942"/>
  <c r="C677" i="7942"/>
  <c r="C676" i="7942"/>
  <c r="C675" i="7942"/>
  <c r="C653" i="7942"/>
  <c r="C652" i="7942"/>
  <c r="C651" i="7942"/>
  <c r="C650" i="7942"/>
  <c r="C649" i="7942"/>
  <c r="C648" i="7942"/>
  <c r="C647" i="7942"/>
  <c r="C646" i="7942"/>
  <c r="C645" i="7942"/>
  <c r="C644" i="7942"/>
  <c r="C621" i="7942"/>
  <c r="C620" i="7942"/>
  <c r="C619" i="7942"/>
  <c r="C618" i="7942"/>
  <c r="C617" i="7942"/>
  <c r="C616" i="7942"/>
  <c r="C615" i="7942"/>
  <c r="C614" i="7942"/>
  <c r="C613" i="7942"/>
  <c r="C612" i="7942"/>
  <c r="G180" i="7942"/>
  <c r="G182" i="7942"/>
  <c r="G246" i="7942" s="1"/>
  <c r="G183" i="7942"/>
  <c r="G184" i="7942"/>
  <c r="G185" i="7942"/>
  <c r="G186" i="7942"/>
  <c r="G187" i="7942"/>
  <c r="G219" i="7942"/>
  <c r="G188" i="7942"/>
  <c r="G189" i="7942"/>
  <c r="G190" i="7942"/>
  <c r="G254" i="7942" s="1"/>
  <c r="G191" i="7942"/>
  <c r="G192" i="7942"/>
  <c r="G193" i="7942"/>
  <c r="G194" i="7942"/>
  <c r="G258" i="7942" s="1"/>
  <c r="G195" i="7942"/>
  <c r="G196" i="7942"/>
  <c r="G197" i="7942"/>
  <c r="G198" i="7942"/>
  <c r="G262" i="7942" s="1"/>
  <c r="G199" i="7942"/>
  <c r="G200" i="7942"/>
  <c r="G201" i="7942"/>
  <c r="G202" i="7942"/>
  <c r="G266" i="7942" s="1"/>
  <c r="G220" i="7942"/>
  <c r="G221" i="7942"/>
  <c r="G253" i="7942" s="1"/>
  <c r="G222" i="7942"/>
  <c r="G223" i="7942"/>
  <c r="G224" i="7942"/>
  <c r="G225" i="7942"/>
  <c r="G226" i="7942"/>
  <c r="G227" i="7942"/>
  <c r="G228" i="7942"/>
  <c r="G229" i="7942"/>
  <c r="G230" i="7942"/>
  <c r="G231" i="7942"/>
  <c r="G232" i="7942"/>
  <c r="G233" i="7942"/>
  <c r="G23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93" i="1"/>
  <c r="G294" i="1"/>
  <c r="G295" i="1"/>
  <c r="G297" i="1"/>
  <c r="G298" i="1"/>
  <c r="G299" i="1"/>
  <c r="G301" i="1"/>
  <c r="G302" i="1"/>
  <c r="G303" i="1"/>
  <c r="G304" i="1"/>
  <c r="G305" i="1"/>
  <c r="G306" i="1"/>
  <c r="G307" i="1"/>
  <c r="G308" i="1"/>
  <c r="F308" i="1"/>
  <c r="F307" i="1"/>
  <c r="F306" i="1"/>
  <c r="F305" i="1"/>
  <c r="F302" i="1"/>
  <c r="F303" i="1"/>
  <c r="F304" i="1"/>
  <c r="F301" i="1"/>
  <c r="F300" i="1"/>
  <c r="F299" i="1"/>
  <c r="N241" i="1"/>
  <c r="O241" i="1"/>
  <c r="P241" i="1"/>
  <c r="Q241" i="1"/>
  <c r="F240" i="1"/>
  <c r="F239" i="1"/>
  <c r="F238" i="1"/>
  <c r="F237" i="1"/>
  <c r="F236" i="1"/>
  <c r="F235" i="1"/>
  <c r="F234" i="1"/>
  <c r="F233" i="1"/>
  <c r="F232" i="1"/>
  <c r="F231" i="1"/>
  <c r="N207" i="1"/>
  <c r="M207" i="1"/>
  <c r="O207" i="1"/>
  <c r="P207" i="1"/>
  <c r="Q207" i="1"/>
  <c r="F206" i="1"/>
  <c r="F205" i="1"/>
  <c r="F204" i="1"/>
  <c r="F203" i="1"/>
  <c r="F202" i="1"/>
  <c r="F201" i="1"/>
  <c r="F200" i="1"/>
  <c r="F199" i="1"/>
  <c r="F198" i="1"/>
  <c r="F197" i="1"/>
  <c r="F172" i="1"/>
  <c r="F171" i="1"/>
  <c r="F170" i="1"/>
  <c r="F169" i="1"/>
  <c r="F168" i="1"/>
  <c r="F167" i="1"/>
  <c r="F166" i="1"/>
  <c r="F165" i="1"/>
  <c r="F164" i="1"/>
  <c r="F163" i="1"/>
  <c r="M105" i="1"/>
  <c r="N105" i="1"/>
  <c r="O105" i="1"/>
  <c r="P105" i="1"/>
  <c r="Q105" i="1"/>
  <c r="F104" i="1"/>
  <c r="F103" i="1"/>
  <c r="F102" i="1"/>
  <c r="F101" i="1"/>
  <c r="F100" i="1"/>
  <c r="F99" i="1"/>
  <c r="F98" i="1"/>
  <c r="F97" i="1"/>
  <c r="F96" i="1"/>
  <c r="F95" i="1"/>
  <c r="F70" i="1"/>
  <c r="F69" i="1"/>
  <c r="F68" i="1"/>
  <c r="F67" i="1"/>
  <c r="F66" i="1"/>
  <c r="F65" i="1"/>
  <c r="F64" i="1"/>
  <c r="F63" i="1"/>
  <c r="F62" i="1"/>
  <c r="F61" i="1"/>
  <c r="F60" i="1"/>
  <c r="S37" i="1"/>
  <c r="E2" i="7946"/>
  <c r="B2" i="7945"/>
  <c r="B2" i="7944"/>
  <c r="C2" i="7941"/>
  <c r="C2" i="18"/>
  <c r="B2" i="7942"/>
  <c r="F2" i="1"/>
  <c r="I142" i="1"/>
  <c r="K274" i="7945"/>
  <c r="K260" i="7945"/>
  <c r="K246" i="7945"/>
  <c r="K232" i="7945"/>
  <c r="K218" i="7945"/>
  <c r="K204" i="7945"/>
  <c r="K190" i="7945"/>
  <c r="K176" i="7945"/>
  <c r="K162" i="7945"/>
  <c r="K148" i="7945"/>
  <c r="K134" i="7945"/>
  <c r="K120" i="7945"/>
  <c r="K106" i="7945"/>
  <c r="K92" i="7945"/>
  <c r="K78"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E7" i="7946"/>
  <c r="F274" i="7945"/>
  <c r="F260" i="7945"/>
  <c r="F246" i="7945"/>
  <c r="F232" i="7945"/>
  <c r="F218" i="7945"/>
  <c r="F204" i="7945"/>
  <c r="F190" i="7945"/>
  <c r="F176" i="7945"/>
  <c r="F162" i="7945"/>
  <c r="F12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695" i="7941"/>
  <c r="D694" i="7941"/>
  <c r="D693" i="7941"/>
  <c r="D692" i="7941"/>
  <c r="D691" i="7941"/>
  <c r="D690" i="7941"/>
  <c r="D689" i="7941"/>
  <c r="D688" i="7941"/>
  <c r="D687" i="7941"/>
  <c r="D686" i="7941"/>
  <c r="D685" i="7941"/>
  <c r="D684" i="7941"/>
  <c r="D683" i="7941"/>
  <c r="D682" i="7941"/>
  <c r="D681" i="7941"/>
  <c r="D680" i="7941"/>
  <c r="D679" i="7941"/>
  <c r="D678" i="7941"/>
  <c r="D677" i="7941"/>
  <c r="D676" i="7941"/>
  <c r="D639" i="7941"/>
  <c r="D638" i="7941"/>
  <c r="D637" i="7941"/>
  <c r="D636" i="7941"/>
  <c r="D635" i="7941"/>
  <c r="D634" i="7941"/>
  <c r="D633" i="7941"/>
  <c r="D632" i="7941"/>
  <c r="D631" i="7941"/>
  <c r="D630" i="7941"/>
  <c r="D629" i="7941"/>
  <c r="D628" i="7941"/>
  <c r="D627" i="7941"/>
  <c r="D626" i="7941"/>
  <c r="D625" i="7941"/>
  <c r="D624" i="7941"/>
  <c r="D623" i="7941"/>
  <c r="D622" i="7941"/>
  <c r="D621" i="7941"/>
  <c r="D620"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75" i="7941"/>
  <c r="D574" i="7941"/>
  <c r="D573" i="7941"/>
  <c r="D572" i="7941"/>
  <c r="D571" i="7941"/>
  <c r="D570" i="7941"/>
  <c r="D569" i="7941"/>
  <c r="D568" i="7941"/>
  <c r="D567" i="7941"/>
  <c r="D566" i="7941"/>
  <c r="D565" i="7941"/>
  <c r="D564" i="7941"/>
  <c r="D563" i="7941"/>
  <c r="D562" i="7941"/>
  <c r="D561" i="7941"/>
  <c r="D560" i="7941"/>
  <c r="D559" i="7941"/>
  <c r="D558" i="7941"/>
  <c r="D557" i="7941"/>
  <c r="D556"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975" i="18"/>
  <c r="D974" i="18"/>
  <c r="D973" i="18"/>
  <c r="D972" i="18"/>
  <c r="D971" i="18"/>
  <c r="D970" i="18"/>
  <c r="D969" i="18"/>
  <c r="D968" i="18"/>
  <c r="D967" i="18"/>
  <c r="D966" i="18"/>
  <c r="D965" i="18"/>
  <c r="D964" i="18"/>
  <c r="D963" i="18"/>
  <c r="D962" i="18"/>
  <c r="D961" i="18"/>
  <c r="D960" i="18"/>
  <c r="D959" i="18"/>
  <c r="D958" i="18"/>
  <c r="D957" i="18"/>
  <c r="D956" i="18"/>
  <c r="D1007" i="18"/>
  <c r="D1006" i="18"/>
  <c r="D1005" i="18"/>
  <c r="D1004" i="18"/>
  <c r="D1003" i="18"/>
  <c r="D1002" i="18"/>
  <c r="D1001" i="18"/>
  <c r="D1000" i="18"/>
  <c r="D999" i="18"/>
  <c r="D998" i="18"/>
  <c r="D997" i="18"/>
  <c r="D996" i="18"/>
  <c r="D995" i="18"/>
  <c r="D994" i="18"/>
  <c r="D993" i="18"/>
  <c r="D992" i="18"/>
  <c r="D991" i="18"/>
  <c r="D990" i="18"/>
  <c r="D989" i="18"/>
  <c r="D988" i="18"/>
  <c r="D909" i="18"/>
  <c r="D908" i="18"/>
  <c r="D907" i="18"/>
  <c r="D906" i="18"/>
  <c r="D905" i="18"/>
  <c r="D904" i="18"/>
  <c r="D903" i="18"/>
  <c r="D902" i="18"/>
  <c r="D901" i="18"/>
  <c r="D900" i="18"/>
  <c r="D899" i="18"/>
  <c r="D898" i="18"/>
  <c r="D897" i="18"/>
  <c r="D896" i="18"/>
  <c r="D895" i="18"/>
  <c r="D894" i="18"/>
  <c r="D893" i="18"/>
  <c r="D892" i="18"/>
  <c r="D891" i="18"/>
  <c r="D890"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63" i="18"/>
  <c r="D62" i="18"/>
  <c r="D61" i="18"/>
  <c r="D60" i="18"/>
  <c r="D59" i="18"/>
  <c r="D58" i="18"/>
  <c r="D57" i="18"/>
  <c r="D56" i="18"/>
  <c r="D55" i="18"/>
  <c r="D54" i="18"/>
  <c r="D53" i="18"/>
  <c r="D52" i="18"/>
  <c r="D51" i="18"/>
  <c r="D50" i="18"/>
  <c r="D49" i="18"/>
  <c r="D48" i="18"/>
  <c r="D47" i="18"/>
  <c r="D46" i="18"/>
  <c r="D45" i="18"/>
  <c r="D44" i="18"/>
  <c r="H4" i="7944"/>
  <c r="E5" i="7945"/>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H210" i="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643" i="7942"/>
  <c r="C642" i="7942"/>
  <c r="C641" i="7942"/>
  <c r="C640" i="7942"/>
  <c r="C639" i="7942"/>
  <c r="C638" i="7942"/>
  <c r="C637" i="7942"/>
  <c r="C636" i="7942"/>
  <c r="C635" i="7942"/>
  <c r="C634" i="7942"/>
  <c r="C633" i="7942"/>
  <c r="C632" i="7942"/>
  <c r="C631" i="7942"/>
  <c r="C630" i="7942"/>
  <c r="C629" i="7942"/>
  <c r="C628" i="7942"/>
  <c r="C627" i="7942"/>
  <c r="C626" i="7942"/>
  <c r="C625" i="7942"/>
  <c r="C624" i="7942"/>
  <c r="C656" i="7942"/>
  <c r="C657" i="7942"/>
  <c r="C658" i="7942"/>
  <c r="C659" i="7942"/>
  <c r="C660" i="7942"/>
  <c r="C661" i="7942"/>
  <c r="C662" i="7942"/>
  <c r="C663" i="7942"/>
  <c r="C664" i="7942"/>
  <c r="C665" i="7942"/>
  <c r="C666" i="7942"/>
  <c r="C667" i="7942"/>
  <c r="C668" i="7942"/>
  <c r="C669" i="7942"/>
  <c r="C670" i="7942"/>
  <c r="C671" i="7942"/>
  <c r="C672" i="7942"/>
  <c r="C673" i="7942"/>
  <c r="C67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611" i="7942"/>
  <c r="C610" i="7942"/>
  <c r="C609" i="7942"/>
  <c r="C608" i="7942"/>
  <c r="C607" i="7942"/>
  <c r="C606" i="7942"/>
  <c r="C605" i="7942"/>
  <c r="C604" i="7942"/>
  <c r="F298" i="1"/>
  <c r="F297" i="1"/>
  <c r="F296" i="1"/>
  <c r="F295" i="1"/>
  <c r="F294" i="1"/>
  <c r="F293" i="1"/>
  <c r="F292" i="1"/>
  <c r="F291" i="1"/>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77" i="7941"/>
  <c r="D476" i="7941"/>
  <c r="D475" i="7941"/>
  <c r="D474" i="7941"/>
  <c r="D473" i="7941"/>
  <c r="D472" i="7941"/>
  <c r="D471" i="7941"/>
  <c r="D470" i="7941"/>
  <c r="D469" i="7941"/>
  <c r="D468" i="7941"/>
  <c r="D467" i="7941"/>
  <c r="D466" i="7941"/>
  <c r="D465" i="7941"/>
  <c r="D464" i="7941"/>
  <c r="D463" i="7941"/>
  <c r="D462" i="7941"/>
  <c r="D461" i="7941"/>
  <c r="D460" i="7941"/>
  <c r="D459" i="7941"/>
  <c r="D458" i="7941"/>
  <c r="D253" i="7941"/>
  <c r="D252" i="7941"/>
  <c r="D251" i="7941"/>
  <c r="D250" i="7941"/>
  <c r="D249" i="7941"/>
  <c r="D248" i="7941"/>
  <c r="D247" i="7941"/>
  <c r="D246" i="7941"/>
  <c r="D245" i="7941"/>
  <c r="D244" i="7941"/>
  <c r="D243" i="7941"/>
  <c r="D242" i="7941"/>
  <c r="D241" i="7941"/>
  <c r="D240" i="7941"/>
  <c r="D239" i="7941"/>
  <c r="D238" i="7941"/>
  <c r="D237" i="7941"/>
  <c r="D236" i="7941"/>
  <c r="D235" i="7941"/>
  <c r="H3" i="7941"/>
  <c r="I3" i="7941" s="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747" i="18"/>
  <c r="D746" i="18"/>
  <c r="D745" i="18"/>
  <c r="D744" i="18"/>
  <c r="D743" i="18"/>
  <c r="D742" i="18"/>
  <c r="D741" i="18"/>
  <c r="D740" i="18"/>
  <c r="D739" i="18"/>
  <c r="D738" i="18"/>
  <c r="D737" i="18"/>
  <c r="D736" i="18"/>
  <c r="D735" i="18"/>
  <c r="D734" i="18"/>
  <c r="D733" i="18"/>
  <c r="D732" i="18"/>
  <c r="D731" i="18"/>
  <c r="D730" i="18"/>
  <c r="D729" i="18"/>
  <c r="D72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F143" i="1"/>
  <c r="F144" i="1"/>
  <c r="F145" i="1"/>
  <c r="F146" i="1"/>
  <c r="F147" i="1"/>
  <c r="F148" i="1"/>
  <c r="F149" i="1"/>
  <c r="F150" i="1"/>
  <c r="F151" i="1"/>
  <c r="F152" i="1"/>
  <c r="F153" i="1"/>
  <c r="F154" i="1"/>
  <c r="F155" i="1"/>
  <c r="F156" i="1"/>
  <c r="F157" i="1"/>
  <c r="F158" i="1"/>
  <c r="F159" i="1"/>
  <c r="F160" i="1"/>
  <c r="F161" i="1"/>
  <c r="F162"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H4" i="7941"/>
  <c r="H4" i="18"/>
  <c r="H74" i="1"/>
  <c r="H176" i="1"/>
  <c r="H4" i="7942"/>
  <c r="H142" i="1"/>
  <c r="I312" i="1"/>
  <c r="G4" i="18"/>
  <c r="C9" i="18" s="1"/>
  <c r="I4" i="7941"/>
  <c r="I176" i="1"/>
  <c r="H449" i="7944"/>
  <c r="H241" i="7944"/>
  <c r="H384" i="7944"/>
  <c r="H396" i="7944"/>
  <c r="H176" i="7944"/>
  <c r="H188" i="7944"/>
  <c r="I210" i="1"/>
  <c r="T37" i="1"/>
  <c r="N37" i="1"/>
  <c r="O37" i="1"/>
  <c r="H261" i="7947"/>
  <c r="C261" i="7947"/>
  <c r="E261" i="7947" s="1"/>
  <c r="H410" i="7944"/>
  <c r="H85" i="7944"/>
  <c r="H97" i="7944"/>
  <c r="H280" i="7944"/>
  <c r="H137" i="7944"/>
  <c r="H149" i="7944"/>
  <c r="H345" i="7944"/>
  <c r="H357" i="7944"/>
  <c r="I29" i="7944"/>
  <c r="H202" i="7944"/>
  <c r="H214" i="7944"/>
  <c r="H267" i="7944"/>
  <c r="H98" i="7944"/>
  <c r="H110" i="7944"/>
  <c r="H306" i="7944"/>
  <c r="H175" i="7944"/>
  <c r="H423" i="7944"/>
  <c r="H435" i="7944"/>
  <c r="H319" i="7944"/>
  <c r="I319" i="7944"/>
  <c r="H215" i="7944"/>
  <c r="H227" i="7944"/>
  <c r="H111" i="7944"/>
  <c r="H123" i="7944"/>
  <c r="H358" i="7944"/>
  <c r="I358" i="7944"/>
  <c r="H254" i="7944"/>
  <c r="H266" i="7944"/>
  <c r="H150" i="7944"/>
  <c r="H72" i="7944"/>
  <c r="H397" i="7944"/>
  <c r="I397" i="7944"/>
  <c r="H293" i="7944"/>
  <c r="H305" i="7944"/>
  <c r="H189" i="7944"/>
  <c r="H201" i="7944"/>
  <c r="H436" i="7944"/>
  <c r="H332" i="7944"/>
  <c r="I332" i="7944"/>
  <c r="H228" i="7944"/>
  <c r="H240" i="7944"/>
  <c r="H124" i="7944"/>
  <c r="H136" i="7944"/>
  <c r="H108" i="1"/>
  <c r="H244" i="1"/>
  <c r="J181" i="7945"/>
  <c r="K181" i="7945" s="1"/>
  <c r="H53" i="7944"/>
  <c r="M50" i="7944"/>
  <c r="J154" i="7945"/>
  <c r="K154" i="7945" s="1"/>
  <c r="G292" i="1"/>
  <c r="H20" i="7944"/>
  <c r="I51" i="7944"/>
  <c r="I217" i="7944"/>
  <c r="J50" i="7944"/>
  <c r="H16" i="7944"/>
  <c r="I52" i="7944"/>
  <c r="I35" i="7944"/>
  <c r="K50" i="7944"/>
  <c r="P39" i="7944"/>
  <c r="K52" i="7944"/>
  <c r="H18" i="7944"/>
  <c r="I111" i="7944"/>
  <c r="I32" i="7944"/>
  <c r="K53" i="7944"/>
  <c r="J49" i="7944"/>
  <c r="I202" i="7944"/>
  <c r="M43" i="7944"/>
  <c r="J56" i="7945"/>
  <c r="K56" i="7945" s="1"/>
  <c r="J48" i="7944"/>
  <c r="J123" i="7945"/>
  <c r="K123" i="7945" s="1"/>
  <c r="I178" i="7944"/>
  <c r="I188" i="7944"/>
  <c r="G291" i="1"/>
  <c r="I49" i="7944"/>
  <c r="H51" i="7944"/>
  <c r="I191" i="7944"/>
  <c r="I306" i="7944"/>
  <c r="H318" i="7944"/>
  <c r="J52" i="7944"/>
  <c r="M53" i="7944"/>
  <c r="J196" i="7945"/>
  <c r="K196" i="7945" s="1"/>
  <c r="M44" i="7944"/>
  <c r="J70" i="7945"/>
  <c r="K70" i="7945" s="1"/>
  <c r="M42" i="7944"/>
  <c r="J42" i="7945"/>
  <c r="K42" i="7945" s="1"/>
  <c r="M40" i="7944"/>
  <c r="J14" i="7945"/>
  <c r="K14" i="7945" s="1"/>
  <c r="M241" i="1"/>
  <c r="K48" i="7944"/>
  <c r="I50" i="7944"/>
  <c r="J18" i="7945"/>
  <c r="K18" i="7945" s="1"/>
  <c r="Q39" i="7944"/>
  <c r="H49" i="7944"/>
  <c r="J4" i="18"/>
  <c r="I4" i="7944"/>
  <c r="G408" i="7942"/>
  <c r="J44" i="7945"/>
  <c r="K44" i="7945" s="1"/>
  <c r="O39" i="7944"/>
  <c r="J15" i="7945"/>
  <c r="K15" i="7945" s="1"/>
  <c r="N39" i="7944"/>
  <c r="I241" i="7944"/>
  <c r="H253" i="7944"/>
  <c r="I215" i="7944"/>
  <c r="G257" i="7942"/>
  <c r="J419" i="7945"/>
  <c r="K419" i="7945" s="1"/>
  <c r="J391" i="7945"/>
  <c r="K391" i="7945" s="1"/>
  <c r="J335" i="7945"/>
  <c r="K335" i="7945" s="1"/>
  <c r="J279" i="7945"/>
  <c r="K279" i="7945" s="1"/>
  <c r="J223" i="7945"/>
  <c r="K223" i="7945" s="1"/>
  <c r="J405" i="7945"/>
  <c r="K405" i="7945" s="1"/>
  <c r="J210" i="1"/>
  <c r="G176" i="1"/>
  <c r="G210" i="1"/>
  <c r="J4" i="7941"/>
  <c r="J4" i="7944"/>
  <c r="J176" i="1"/>
  <c r="I4" i="7942"/>
  <c r="G74" i="1"/>
  <c r="J312" i="1"/>
  <c r="G4" i="7941"/>
  <c r="G4" i="7942"/>
  <c r="F4" i="7942" s="1"/>
  <c r="J142" i="1"/>
  <c r="J74" i="1"/>
  <c r="G142" i="1"/>
  <c r="K312" i="1"/>
  <c r="J4" i="7942"/>
  <c r="I74" i="1"/>
  <c r="I4" i="18"/>
  <c r="H312" i="1"/>
  <c r="G312" i="1"/>
  <c r="H84" i="7944"/>
  <c r="I72" i="7944"/>
  <c r="H162" i="7944"/>
  <c r="I436" i="7944"/>
  <c r="H448" i="7944"/>
  <c r="I189" i="7944"/>
  <c r="H279" i="7944"/>
  <c r="I267" i="7944"/>
  <c r="H383" i="7944"/>
  <c r="I31" i="7944"/>
  <c r="I150" i="7944"/>
  <c r="H292" i="7944"/>
  <c r="I280" i="7944"/>
  <c r="I371" i="7944"/>
  <c r="I137" i="7944"/>
  <c r="H422" i="7944"/>
  <c r="I449" i="7944"/>
  <c r="H461" i="7944"/>
  <c r="I37" i="7944"/>
  <c r="J37" i="7944"/>
  <c r="I98" i="7944"/>
  <c r="I293" i="7944"/>
  <c r="I85" i="7944"/>
  <c r="I176" i="7944"/>
  <c r="I384" i="7944"/>
  <c r="I345" i="7944"/>
  <c r="I124" i="7944"/>
  <c r="I228" i="7944"/>
  <c r="G256" i="7942"/>
  <c r="G244" i="7942"/>
  <c r="J363" i="7945"/>
  <c r="K363" i="7945" s="1"/>
  <c r="J349" i="7945"/>
  <c r="K349" i="7945" s="1"/>
  <c r="G335" i="7942"/>
  <c r="G653" i="7941"/>
  <c r="J195" i="7945"/>
  <c r="K195" i="7945" s="1"/>
  <c r="J377" i="7945"/>
  <c r="K377" i="7945" s="1"/>
  <c r="J321" i="7945"/>
  <c r="K321" i="7945" s="1"/>
  <c r="G660" i="7941"/>
  <c r="G656" i="7941"/>
  <c r="G926" i="18"/>
  <c r="G338" i="7942"/>
  <c r="J167" i="7945"/>
  <c r="K167" i="7945" s="1"/>
  <c r="J139" i="7945"/>
  <c r="K139" i="7945" s="1"/>
  <c r="G659" i="7941"/>
  <c r="G657" i="7941"/>
  <c r="G655" i="7941"/>
  <c r="G928" i="18"/>
  <c r="G924" i="18"/>
  <c r="G922" i="18"/>
  <c r="G658" i="7941"/>
  <c r="G654" i="7941"/>
  <c r="G652" i="7941"/>
  <c r="G770" i="18"/>
  <c r="G500" i="7941" s="1"/>
  <c r="H409" i="7944"/>
  <c r="I33" i="7944"/>
  <c r="I423" i="7944"/>
  <c r="H344" i="7944"/>
  <c r="I28" i="7944"/>
  <c r="H370" i="7944"/>
  <c r="I30" i="7944"/>
  <c r="I254" i="7944"/>
  <c r="I230" i="7944"/>
  <c r="I240" i="7944"/>
  <c r="I243" i="7944"/>
  <c r="I253" i="7944"/>
  <c r="I451" i="7944"/>
  <c r="I461" i="7944"/>
  <c r="I399" i="7944"/>
  <c r="I409" i="7944"/>
  <c r="I347" i="7944"/>
  <c r="I295" i="7944"/>
  <c r="I438" i="7944"/>
  <c r="I448" i="7944"/>
  <c r="I386" i="7944"/>
  <c r="J150" i="7944"/>
  <c r="I425" i="7944"/>
  <c r="I373" i="7944"/>
  <c r="I321" i="7944"/>
  <c r="I331" i="7944"/>
  <c r="I269" i="7944"/>
  <c r="I412" i="7944"/>
  <c r="I360" i="7944"/>
  <c r="I370" i="7944"/>
  <c r="H331" i="7944"/>
  <c r="J436" i="7944"/>
  <c r="I410" i="7944"/>
  <c r="I108" i="1"/>
  <c r="I244" i="1"/>
  <c r="G108" i="1"/>
  <c r="G244" i="1"/>
  <c r="J108" i="1"/>
  <c r="J244" i="1"/>
  <c r="I227" i="7944"/>
  <c r="I21" i="7944"/>
  <c r="M39" i="7944"/>
  <c r="J280" i="7944"/>
  <c r="K176" i="1"/>
  <c r="K4" i="18"/>
  <c r="K4" i="7944"/>
  <c r="L312" i="1"/>
  <c r="K4" i="7941"/>
  <c r="K4" i="7942"/>
  <c r="K74" i="1"/>
  <c r="K210" i="1"/>
  <c r="K142" i="1"/>
  <c r="I27" i="7944"/>
  <c r="I383" i="7944"/>
  <c r="J31" i="7944"/>
  <c r="J345" i="7944"/>
  <c r="I201" i="7944"/>
  <c r="I36" i="7944"/>
  <c r="I396" i="7944"/>
  <c r="J384" i="7944"/>
  <c r="J72" i="7944"/>
  <c r="I34" i="7944"/>
  <c r="J319" i="7944"/>
  <c r="J30" i="7944"/>
  <c r="K30" i="7944"/>
  <c r="J33" i="7944"/>
  <c r="H71" i="7944"/>
  <c r="J397" i="7944"/>
  <c r="J217" i="7944"/>
  <c r="J124" i="7944"/>
  <c r="J228" i="7944"/>
  <c r="J449" i="7944"/>
  <c r="J371" i="7944"/>
  <c r="J215" i="7944"/>
  <c r="J111" i="7944"/>
  <c r="J267" i="7944"/>
  <c r="J254" i="7944"/>
  <c r="J137" i="7944"/>
  <c r="J176" i="7944"/>
  <c r="J98" i="7944"/>
  <c r="J293" i="7944"/>
  <c r="J85" i="7944"/>
  <c r="J202" i="7944"/>
  <c r="J241" i="7944"/>
  <c r="I435" i="7944"/>
  <c r="J35" i="7944"/>
  <c r="K35" i="7944"/>
  <c r="I422" i="7944"/>
  <c r="J452" i="7944"/>
  <c r="J439" i="7944"/>
  <c r="J426" i="7944"/>
  <c r="J413" i="7944"/>
  <c r="J400" i="7944"/>
  <c r="J387" i="7944"/>
  <c r="J374" i="7944"/>
  <c r="J361" i="7944"/>
  <c r="J348" i="7944"/>
  <c r="J322" i="7944"/>
  <c r="J309" i="7944"/>
  <c r="J296" i="7944"/>
  <c r="J270" i="7944"/>
  <c r="J257" i="7944"/>
  <c r="K257" i="7944"/>
  <c r="K293" i="7944"/>
  <c r="J425" i="7944"/>
  <c r="J386" i="7944"/>
  <c r="J396" i="7944"/>
  <c r="J399" i="7944"/>
  <c r="J412" i="7944"/>
  <c r="J244" i="7944"/>
  <c r="J438" i="7944"/>
  <c r="J410" i="7944"/>
  <c r="J422" i="7944"/>
  <c r="J373" i="7944"/>
  <c r="J451" i="7944"/>
  <c r="K451" i="7944"/>
  <c r="J231" i="7944"/>
  <c r="J360" i="7944"/>
  <c r="J358" i="7944"/>
  <c r="J321" i="7944"/>
  <c r="J218" i="7944"/>
  <c r="J192" i="7944"/>
  <c r="J332" i="7944"/>
  <c r="J243" i="7944"/>
  <c r="J178" i="7944"/>
  <c r="J191" i="7944"/>
  <c r="J163" i="7944"/>
  <c r="J383" i="7944"/>
  <c r="K31" i="7944"/>
  <c r="J306" i="7944"/>
  <c r="J189" i="7944"/>
  <c r="J34" i="7944"/>
  <c r="K34" i="7944"/>
  <c r="J423" i="7944"/>
  <c r="K108" i="1"/>
  <c r="K244" i="1"/>
  <c r="K85" i="7944"/>
  <c r="L4" i="18"/>
  <c r="L4" i="7941"/>
  <c r="L4" i="7944"/>
  <c r="L4" i="7942"/>
  <c r="L210" i="1"/>
  <c r="L176" i="1"/>
  <c r="L142" i="1"/>
  <c r="M312" i="1"/>
  <c r="L74" i="1"/>
  <c r="K384" i="7944"/>
  <c r="J36" i="7944"/>
  <c r="K36" i="7944"/>
  <c r="K254" i="7944"/>
  <c r="J32" i="7944"/>
  <c r="J409" i="7944"/>
  <c r="J227" i="7944"/>
  <c r="K228" i="7944"/>
  <c r="K176" i="7944"/>
  <c r="K215" i="7944"/>
  <c r="K449" i="7944"/>
  <c r="K453" i="7944"/>
  <c r="K440" i="7944"/>
  <c r="K427" i="7944"/>
  <c r="K414" i="7944"/>
  <c r="K401" i="7944"/>
  <c r="K388" i="7944"/>
  <c r="K375" i="7944"/>
  <c r="K362" i="7944"/>
  <c r="K336" i="7944"/>
  <c r="L336" i="7944"/>
  <c r="K310" i="7944"/>
  <c r="K297" i="7944"/>
  <c r="K284" i="7944"/>
  <c r="K258" i="7944"/>
  <c r="L451" i="7944"/>
  <c r="J415" i="7945"/>
  <c r="K415" i="7945" s="1"/>
  <c r="K180" i="7944"/>
  <c r="K206" i="7944"/>
  <c r="K322" i="7944"/>
  <c r="K296" i="7944"/>
  <c r="L296" i="7944"/>
  <c r="K400" i="7944"/>
  <c r="K426" i="7944"/>
  <c r="K232" i="7944"/>
  <c r="K348" i="7944"/>
  <c r="L348" i="7944"/>
  <c r="K452" i="7944"/>
  <c r="K374" i="7944"/>
  <c r="K360" i="7944"/>
  <c r="K410" i="7944"/>
  <c r="K423" i="7944"/>
  <c r="K358" i="7944"/>
  <c r="K332" i="7944"/>
  <c r="K191" i="7944"/>
  <c r="K111" i="7944"/>
  <c r="K306" i="7944"/>
  <c r="K399" i="7944"/>
  <c r="K163" i="7944"/>
  <c r="K137" i="7944"/>
  <c r="K241" i="7944"/>
  <c r="K436" i="7944"/>
  <c r="K217" i="7944"/>
  <c r="K150" i="7944"/>
  <c r="K267" i="7944"/>
  <c r="K72" i="7944"/>
  <c r="K345" i="7944"/>
  <c r="J461" i="7944"/>
  <c r="K98" i="7944"/>
  <c r="J370" i="7944"/>
  <c r="K373" i="7944"/>
  <c r="K438" i="7944"/>
  <c r="J448" i="7944"/>
  <c r="K412" i="7944"/>
  <c r="K425" i="7944"/>
  <c r="K309" i="7944"/>
  <c r="M309" i="7944"/>
  <c r="K361" i="7944"/>
  <c r="K413" i="7944"/>
  <c r="K189" i="7944"/>
  <c r="J201" i="7944"/>
  <c r="K243" i="7944"/>
  <c r="K192" i="7944"/>
  <c r="K202" i="7944"/>
  <c r="K397" i="7944"/>
  <c r="K319" i="7944"/>
  <c r="K124" i="7944"/>
  <c r="K371" i="7944"/>
  <c r="K280" i="7944"/>
  <c r="J435" i="7944"/>
  <c r="K218" i="7944"/>
  <c r="K386" i="7944"/>
  <c r="L386" i="7944"/>
  <c r="K387" i="7944"/>
  <c r="K439" i="7944"/>
  <c r="J253" i="7944"/>
  <c r="L108" i="1"/>
  <c r="L244" i="1"/>
  <c r="N312" i="1"/>
  <c r="M74" i="1"/>
  <c r="M4" i="7944"/>
  <c r="M4" i="7941"/>
  <c r="M4" i="7942"/>
  <c r="M210" i="1"/>
  <c r="M4" i="18"/>
  <c r="M142" i="1"/>
  <c r="M176" i="1"/>
  <c r="K32" i="7944"/>
  <c r="L32" i="7944"/>
  <c r="M32" i="7944"/>
  <c r="N31" i="7946"/>
  <c r="K33" i="7944"/>
  <c r="M104" i="18"/>
  <c r="K461" i="7944"/>
  <c r="L384" i="7944"/>
  <c r="L176" i="7944"/>
  <c r="L371" i="7944"/>
  <c r="J330" i="7945"/>
  <c r="L243" i="7944"/>
  <c r="L163" i="7944"/>
  <c r="L319" i="7944"/>
  <c r="M319" i="7944"/>
  <c r="L397" i="7944"/>
  <c r="L228" i="7944"/>
  <c r="L72" i="7944"/>
  <c r="L293" i="7944"/>
  <c r="L423" i="7944"/>
  <c r="K435" i="7944"/>
  <c r="L206" i="7944"/>
  <c r="L375" i="7944"/>
  <c r="J333" i="7945"/>
  <c r="K333" i="7945" s="1"/>
  <c r="L427" i="7944"/>
  <c r="K396" i="7944"/>
  <c r="L85" i="7944"/>
  <c r="J22" i="7945"/>
  <c r="L280" i="7944"/>
  <c r="L345" i="7944"/>
  <c r="L267" i="7944"/>
  <c r="K409" i="7944"/>
  <c r="L412" i="7944"/>
  <c r="J373" i="7945"/>
  <c r="L436" i="7944"/>
  <c r="K448" i="7944"/>
  <c r="L399" i="7944"/>
  <c r="J359" i="7945"/>
  <c r="K359" i="7945" s="1"/>
  <c r="L410" i="7944"/>
  <c r="K422" i="7944"/>
  <c r="L180" i="7944"/>
  <c r="K383" i="7944"/>
  <c r="L31" i="7944"/>
  <c r="L306" i="7944"/>
  <c r="J260" i="7945"/>
  <c r="L332" i="7944"/>
  <c r="L402" i="7944"/>
  <c r="L311" i="7944"/>
  <c r="J264" i="7945"/>
  <c r="K264" i="7945" s="1"/>
  <c r="J194" i="7945"/>
  <c r="K194" i="7945" s="1"/>
  <c r="L454" i="7944"/>
  <c r="J418" i="7945"/>
  <c r="K418" i="7945" s="1"/>
  <c r="L441" i="7944"/>
  <c r="L428" i="7944"/>
  <c r="J390" i="7945"/>
  <c r="K390" i="7945" s="1"/>
  <c r="L415" i="7944"/>
  <c r="L389" i="7944"/>
  <c r="J348" i="7945"/>
  <c r="K348" i="7945" s="1"/>
  <c r="L376" i="7944"/>
  <c r="J334" i="7945"/>
  <c r="K334" i="7945" s="1"/>
  <c r="L363" i="7944"/>
  <c r="L337" i="7944"/>
  <c r="L298" i="7944"/>
  <c r="L285" i="7944"/>
  <c r="L259" i="7944"/>
  <c r="M386" i="7944"/>
  <c r="L233" i="7944"/>
  <c r="L361" i="7944"/>
  <c r="L310" i="7944"/>
  <c r="J263" i="7945"/>
  <c r="K263" i="7945" s="1"/>
  <c r="L388" i="7944"/>
  <c r="J347" i="7945"/>
  <c r="K347" i="7945" s="1"/>
  <c r="L387" i="7944"/>
  <c r="L396" i="7944"/>
  <c r="L309" i="7944"/>
  <c r="L439" i="7944"/>
  <c r="L362" i="7944"/>
  <c r="J319" i="7945"/>
  <c r="K319" i="7945" s="1"/>
  <c r="L194" i="7944"/>
  <c r="L258" i="7944"/>
  <c r="L220" i="7944"/>
  <c r="L207" i="7944"/>
  <c r="L181" i="7944"/>
  <c r="L413" i="7944"/>
  <c r="L414" i="7944"/>
  <c r="M414" i="7944"/>
  <c r="L440" i="7944"/>
  <c r="L452" i="7944"/>
  <c r="M452" i="7944"/>
  <c r="L192" i="7944"/>
  <c r="M192" i="7944"/>
  <c r="N192" i="7944"/>
  <c r="O192" i="7944"/>
  <c r="L438" i="7944"/>
  <c r="J401" i="7945"/>
  <c r="K401" i="7945" s="1"/>
  <c r="L373" i="7944"/>
  <c r="J331" i="7945"/>
  <c r="K331" i="7945" s="1"/>
  <c r="L426" i="7944"/>
  <c r="J388" i="7945"/>
  <c r="K388" i="7945" s="1"/>
  <c r="L400" i="7944"/>
  <c r="J360" i="7945"/>
  <c r="K360" i="7945" s="1"/>
  <c r="L218" i="7944"/>
  <c r="M218" i="7944"/>
  <c r="L374" i="7944"/>
  <c r="M374" i="7944"/>
  <c r="L425" i="7944"/>
  <c r="M425" i="7944"/>
  <c r="L189" i="7944"/>
  <c r="L232" i="7944"/>
  <c r="M232" i="7944"/>
  <c r="N232" i="7944"/>
  <c r="O232" i="7944"/>
  <c r="L358" i="7944"/>
  <c r="L150" i="7944"/>
  <c r="L202" i="7944"/>
  <c r="L360" i="7944"/>
  <c r="J317" i="7945"/>
  <c r="K317" i="7945" s="1"/>
  <c r="L215" i="7944"/>
  <c r="L241" i="7944"/>
  <c r="L191" i="7944"/>
  <c r="L137" i="7944"/>
  <c r="J78" i="7945"/>
  <c r="L98" i="7944"/>
  <c r="J36" i="7945"/>
  <c r="L401" i="7944"/>
  <c r="J361" i="7945"/>
  <c r="K361" i="7945" s="1"/>
  <c r="L453" i="7944"/>
  <c r="J417" i="7945"/>
  <c r="K417" i="7945" s="1"/>
  <c r="J386" i="7945"/>
  <c r="L449" i="7944"/>
  <c r="J345" i="7945"/>
  <c r="K345" i="7945" s="1"/>
  <c r="L124" i="7944"/>
  <c r="J64" i="7945"/>
  <c r="L254" i="7944"/>
  <c r="J387" i="7945"/>
  <c r="K387" i="7945" s="1"/>
  <c r="L111" i="7944"/>
  <c r="J50" i="7945"/>
  <c r="K370" i="7944"/>
  <c r="J207" i="7945"/>
  <c r="K207" i="7945" s="1"/>
  <c r="J106" i="7945"/>
  <c r="M108" i="1"/>
  <c r="M244" i="1"/>
  <c r="J414" i="7945"/>
  <c r="M449" i="7944"/>
  <c r="M371" i="7944"/>
  <c r="M267" i="7944"/>
  <c r="M85" i="7944"/>
  <c r="J120" i="7945"/>
  <c r="M176" i="7944"/>
  <c r="N176" i="1"/>
  <c r="N4" i="7942"/>
  <c r="N74" i="1"/>
  <c r="N4" i="7944"/>
  <c r="Q7" i="7946"/>
  <c r="E5" i="7946"/>
  <c r="N142" i="1"/>
  <c r="N210" i="1"/>
  <c r="N4" i="7941"/>
  <c r="N4" i="18"/>
  <c r="O312" i="1"/>
  <c r="J218" i="7945"/>
  <c r="M397" i="7944"/>
  <c r="L33" i="7944"/>
  <c r="J246" i="7945"/>
  <c r="N104" i="18"/>
  <c r="M384" i="7944"/>
  <c r="M72" i="7944"/>
  <c r="J274" i="7945"/>
  <c r="J164" i="7945"/>
  <c r="K164" i="7945" s="1"/>
  <c r="M280" i="7944"/>
  <c r="J232" i="7945"/>
  <c r="J176" i="7945"/>
  <c r="M293" i="7944"/>
  <c r="J416" i="7945"/>
  <c r="K416" i="7945" s="1"/>
  <c r="M427" i="7944"/>
  <c r="M220" i="7944"/>
  <c r="J166" i="7945"/>
  <c r="K166" i="7945" s="1"/>
  <c r="L448" i="7944"/>
  <c r="M448" i="7944"/>
  <c r="N448" i="7944"/>
  <c r="O448" i="7944"/>
  <c r="P448" i="7944"/>
  <c r="Q448" i="7944"/>
  <c r="J302" i="7945"/>
  <c r="J148" i="7945"/>
  <c r="M413" i="7944"/>
  <c r="J374" i="7945"/>
  <c r="K374" i="7945" s="1"/>
  <c r="M363" i="7944"/>
  <c r="J320" i="7945"/>
  <c r="K320" i="7945" s="1"/>
  <c r="L34" i="7944"/>
  <c r="L435" i="7944"/>
  <c r="M435" i="7944"/>
  <c r="N435" i="7944"/>
  <c r="O435" i="7944"/>
  <c r="J288" i="7945"/>
  <c r="L461" i="7944"/>
  <c r="J190" i="7945"/>
  <c r="M189" i="7944"/>
  <c r="J134" i="7945"/>
  <c r="M181" i="7944"/>
  <c r="J124" i="7945"/>
  <c r="K124" i="7945" s="1"/>
  <c r="M336" i="7944"/>
  <c r="M310" i="7944"/>
  <c r="J250" i="7945"/>
  <c r="K250" i="7945" s="1"/>
  <c r="M441" i="7944"/>
  <c r="J404" i="7945"/>
  <c r="K404" i="7945" s="1"/>
  <c r="L422" i="7944"/>
  <c r="M422" i="7944"/>
  <c r="N422" i="7944"/>
  <c r="O422" i="7944"/>
  <c r="J400" i="7945"/>
  <c r="J204" i="7945"/>
  <c r="M358" i="7944"/>
  <c r="L370" i="7944"/>
  <c r="J316" i="7945"/>
  <c r="M259" i="7944"/>
  <c r="J208" i="7945"/>
  <c r="K208" i="7945" s="1"/>
  <c r="M402" i="7944"/>
  <c r="J362" i="7945"/>
  <c r="K362" i="7945" s="1"/>
  <c r="J375" i="7945"/>
  <c r="K375" i="7945" s="1"/>
  <c r="L409" i="7944"/>
  <c r="M345" i="7944"/>
  <c r="M215" i="7944"/>
  <c r="J162" i="7945"/>
  <c r="M207" i="7944"/>
  <c r="J152" i="7945"/>
  <c r="K152" i="7945" s="1"/>
  <c r="M361" i="7944"/>
  <c r="J318" i="7945"/>
  <c r="K318" i="7945" s="1"/>
  <c r="M247" i="7944"/>
  <c r="M273" i="7944"/>
  <c r="M299" i="7944"/>
  <c r="M325" i="7944"/>
  <c r="M351" i="7944"/>
  <c r="O351" i="7944"/>
  <c r="M377" i="7944"/>
  <c r="M403" i="7944"/>
  <c r="M429" i="7944"/>
  <c r="M455" i="7944"/>
  <c r="N3" i="7944"/>
  <c r="N397" i="7944"/>
  <c r="M338" i="7944"/>
  <c r="M390" i="7944"/>
  <c r="M286" i="7944"/>
  <c r="M312" i="7944"/>
  <c r="M364" i="7944"/>
  <c r="M416" i="7944"/>
  <c r="M442" i="7944"/>
  <c r="N442" i="7944"/>
  <c r="M221" i="7944"/>
  <c r="M401" i="7944"/>
  <c r="M376" i="7944"/>
  <c r="M454" i="7944"/>
  <c r="M195" i="7944"/>
  <c r="M453" i="7944"/>
  <c r="M208" i="7944"/>
  <c r="M311" i="7944"/>
  <c r="M375" i="7944"/>
  <c r="M415" i="7944"/>
  <c r="J376" i="7945"/>
  <c r="K376" i="7945" s="1"/>
  <c r="M285" i="7944"/>
  <c r="M389" i="7944"/>
  <c r="M350" i="7944"/>
  <c r="N350" i="7944"/>
  <c r="M246" i="7944"/>
  <c r="M428" i="7944"/>
  <c r="M233" i="7944"/>
  <c r="M440" i="7944"/>
  <c r="J403" i="7945"/>
  <c r="K403" i="7945" s="1"/>
  <c r="M362" i="7944"/>
  <c r="M388" i="7944"/>
  <c r="M180" i="7944"/>
  <c r="J304" i="7945"/>
  <c r="K304" i="7945" s="1"/>
  <c r="M451" i="7944"/>
  <c r="M206" i="7944"/>
  <c r="M258" i="7944"/>
  <c r="M439" i="7944"/>
  <c r="J402" i="7945"/>
  <c r="K402" i="7945" s="1"/>
  <c r="M296" i="7944"/>
  <c r="M412" i="7944"/>
  <c r="M243" i="7944"/>
  <c r="M387" i="7944"/>
  <c r="J346" i="7945"/>
  <c r="K346" i="7945" s="1"/>
  <c r="M111" i="7944"/>
  <c r="M373" i="7944"/>
  <c r="N373" i="7944"/>
  <c r="M306" i="7944"/>
  <c r="M399" i="7944"/>
  <c r="M438" i="7944"/>
  <c r="M423" i="7944"/>
  <c r="N423" i="7944"/>
  <c r="M332" i="7944"/>
  <c r="M426" i="7944"/>
  <c r="M410" i="7944"/>
  <c r="J372" i="7945"/>
  <c r="M436" i="7944"/>
  <c r="N436" i="7944"/>
  <c r="M400" i="7944"/>
  <c r="M163" i="7944"/>
  <c r="M360" i="7944"/>
  <c r="M150" i="7944"/>
  <c r="J92" i="7945"/>
  <c r="M98" i="7944"/>
  <c r="N98" i="7944"/>
  <c r="M137" i="7944"/>
  <c r="M228" i="7944"/>
  <c r="M191" i="7944"/>
  <c r="M202" i="7944"/>
  <c r="M254" i="7944"/>
  <c r="M241" i="7944"/>
  <c r="M124" i="7944"/>
  <c r="J136" i="7945"/>
  <c r="K136" i="7945" s="1"/>
  <c r="L383" i="7944"/>
  <c r="J389" i="7945"/>
  <c r="K389" i="7945" s="1"/>
  <c r="J179" i="7945"/>
  <c r="K179" i="7945" s="1"/>
  <c r="J332" i="7945"/>
  <c r="N108" i="1"/>
  <c r="N244" i="1"/>
  <c r="M106" i="18"/>
  <c r="N106" i="18"/>
  <c r="M33" i="7944"/>
  <c r="O210" i="1"/>
  <c r="O4" i="7944"/>
  <c r="O142" i="1"/>
  <c r="P312" i="1"/>
  <c r="O176" i="1"/>
  <c r="O4" i="7941"/>
  <c r="O4" i="7942"/>
  <c r="O4" i="18"/>
  <c r="O74" i="1"/>
  <c r="M105" i="18"/>
  <c r="J358" i="7945"/>
  <c r="J344" i="7945"/>
  <c r="O104" i="18"/>
  <c r="P104" i="18"/>
  <c r="M396" i="7944"/>
  <c r="N396" i="7944"/>
  <c r="J8" i="7945"/>
  <c r="M409" i="7944"/>
  <c r="N409" i="7944"/>
  <c r="O409" i="7944"/>
  <c r="N241" i="7944"/>
  <c r="N228" i="7944"/>
  <c r="N399" i="7944"/>
  <c r="P422" i="7944"/>
  <c r="Q422" i="7944"/>
  <c r="O3" i="7944"/>
  <c r="O442" i="7944"/>
  <c r="N118" i="7944"/>
  <c r="N456" i="7944"/>
  <c r="N430" i="7944"/>
  <c r="N404" i="7944"/>
  <c r="N378" i="7944"/>
  <c r="N352" i="7944"/>
  <c r="N326" i="7944"/>
  <c r="N313" i="7944"/>
  <c r="N300" i="7944"/>
  <c r="N287" i="7944"/>
  <c r="N274" i="7944"/>
  <c r="N261" i="7944"/>
  <c r="N391" i="7944"/>
  <c r="N79" i="7944"/>
  <c r="O79" i="7944"/>
  <c r="N209" i="7944"/>
  <c r="N443" i="7944"/>
  <c r="N417" i="7944"/>
  <c r="O417" i="7944"/>
  <c r="N365" i="7944"/>
  <c r="O365" i="7944"/>
  <c r="N339" i="7944"/>
  <c r="N222" i="7944"/>
  <c r="N235" i="7944"/>
  <c r="N170" i="7944"/>
  <c r="O170" i="7944"/>
  <c r="N157" i="7944"/>
  <c r="N196" i="7944"/>
  <c r="N92" i="7944"/>
  <c r="O92" i="7944"/>
  <c r="N248" i="7944"/>
  <c r="O248" i="7944"/>
  <c r="N259" i="7944"/>
  <c r="N427" i="7944"/>
  <c r="O427" i="7944"/>
  <c r="N183" i="7944"/>
  <c r="O183" i="7944"/>
  <c r="N105" i="7944"/>
  <c r="N441" i="7944"/>
  <c r="N402" i="7944"/>
  <c r="N363" i="7944"/>
  <c r="N144" i="7944"/>
  <c r="O144" i="7944"/>
  <c r="N131" i="7944"/>
  <c r="O131" i="7944"/>
  <c r="N181" i="7944"/>
  <c r="N389" i="7944"/>
  <c r="N361" i="7944"/>
  <c r="N454" i="7944"/>
  <c r="O454" i="7944"/>
  <c r="N207" i="7944"/>
  <c r="O207" i="7944"/>
  <c r="N413" i="7944"/>
  <c r="O413" i="7944"/>
  <c r="N415" i="7944"/>
  <c r="O415" i="7944"/>
  <c r="N414" i="7944"/>
  <c r="N285" i="7944"/>
  <c r="N428" i="7944"/>
  <c r="O428" i="7944"/>
  <c r="N310" i="7944"/>
  <c r="N439" i="7944"/>
  <c r="N258" i="7944"/>
  <c r="N425" i="7944"/>
  <c r="O425" i="7944"/>
  <c r="N362" i="7944"/>
  <c r="N412" i="7944"/>
  <c r="N189" i="7944"/>
  <c r="N387" i="7944"/>
  <c r="N452" i="7944"/>
  <c r="N451" i="7944"/>
  <c r="O451" i="7944"/>
  <c r="N440" i="7944"/>
  <c r="N400" i="7944"/>
  <c r="N332" i="7944"/>
  <c r="O332" i="7944"/>
  <c r="N410" i="7944"/>
  <c r="O410" i="7944"/>
  <c r="N163" i="7944"/>
  <c r="N426" i="7944"/>
  <c r="N215" i="7944"/>
  <c r="O215" i="7944"/>
  <c r="N137" i="7944"/>
  <c r="N124" i="7944"/>
  <c r="N150" i="7944"/>
  <c r="O150" i="7944"/>
  <c r="N202" i="7944"/>
  <c r="N377" i="7944"/>
  <c r="N273" i="7944"/>
  <c r="O273" i="7944"/>
  <c r="M370" i="7944"/>
  <c r="N370" i="7944"/>
  <c r="N293" i="7944"/>
  <c r="N374" i="7944"/>
  <c r="N384" i="7944"/>
  <c r="O384" i="7944"/>
  <c r="N85" i="7944"/>
  <c r="N280" i="7944"/>
  <c r="O280" i="7944"/>
  <c r="N438" i="7944"/>
  <c r="N111" i="7944"/>
  <c r="N296" i="7944"/>
  <c r="N453" i="7944"/>
  <c r="O453" i="7944"/>
  <c r="N376" i="7944"/>
  <c r="N416" i="7944"/>
  <c r="N390" i="7944"/>
  <c r="N455" i="7944"/>
  <c r="O455" i="7944"/>
  <c r="N351" i="7944"/>
  <c r="N247" i="7944"/>
  <c r="O247" i="7944"/>
  <c r="N371" i="7944"/>
  <c r="N358" i="7944"/>
  <c r="M34" i="7944"/>
  <c r="N33" i="7946"/>
  <c r="M383" i="7944"/>
  <c r="N383" i="7944"/>
  <c r="N180" i="7944"/>
  <c r="N246" i="7944"/>
  <c r="N375" i="7944"/>
  <c r="O375" i="7944"/>
  <c r="N401" i="7944"/>
  <c r="N364" i="7944"/>
  <c r="N429" i="7944"/>
  <c r="O429" i="7944"/>
  <c r="N325" i="7944"/>
  <c r="P325" i="7944"/>
  <c r="N345" i="7944"/>
  <c r="N319" i="7944"/>
  <c r="M461" i="7944"/>
  <c r="N461" i="7944"/>
  <c r="O461" i="7944"/>
  <c r="N72" i="7944"/>
  <c r="N267" i="7944"/>
  <c r="O267" i="7944"/>
  <c r="P435" i="7944"/>
  <c r="Q435" i="7944"/>
  <c r="N254" i="7944"/>
  <c r="N360" i="7944"/>
  <c r="O360" i="7944"/>
  <c r="N306" i="7944"/>
  <c r="N388" i="7944"/>
  <c r="N233" i="7944"/>
  <c r="P233" i="7944"/>
  <c r="N221" i="7944"/>
  <c r="N312" i="7944"/>
  <c r="O312" i="7944"/>
  <c r="N403" i="7944"/>
  <c r="N299" i="7944"/>
  <c r="O299" i="7944"/>
  <c r="N176" i="7944"/>
  <c r="N449" i="7944"/>
  <c r="N220" i="7944"/>
  <c r="N386" i="7944"/>
  <c r="O108" i="1"/>
  <c r="O244" i="1"/>
  <c r="O106" i="18"/>
  <c r="M107" i="18"/>
  <c r="Q104" i="18"/>
  <c r="P4" i="7941"/>
  <c r="P142" i="1"/>
  <c r="P4" i="7942"/>
  <c r="P4" i="18"/>
  <c r="P176" i="1"/>
  <c r="Q312" i="1"/>
  <c r="P210" i="1"/>
  <c r="P74" i="1"/>
  <c r="P4" i="7944"/>
  <c r="N107" i="18"/>
  <c r="P409" i="7944"/>
  <c r="Q409" i="7944"/>
  <c r="N32" i="7946"/>
  <c r="O396" i="7944"/>
  <c r="P396" i="7944"/>
  <c r="Q396" i="7944"/>
  <c r="N32" i="7944"/>
  <c r="O397" i="7944"/>
  <c r="N105" i="18"/>
  <c r="O105" i="18"/>
  <c r="M108" i="18"/>
  <c r="F53" i="7945"/>
  <c r="O326" i="7944"/>
  <c r="O370" i="7944"/>
  <c r="P370" i="7944"/>
  <c r="Q370" i="7944"/>
  <c r="O184" i="7944"/>
  <c r="O132" i="7944"/>
  <c r="O93" i="7944"/>
  <c r="O444" i="7944"/>
  <c r="O418" i="7944"/>
  <c r="O392" i="7944"/>
  <c r="O366" i="7944"/>
  <c r="O340" i="7944"/>
  <c r="O197" i="7944"/>
  <c r="O145" i="7944"/>
  <c r="O301" i="7944"/>
  <c r="O249" i="7944"/>
  <c r="O119" i="7944"/>
  <c r="P3" i="7944"/>
  <c r="P351" i="7944"/>
  <c r="O262" i="7944"/>
  <c r="O80" i="7944"/>
  <c r="O457" i="7944"/>
  <c r="O405" i="7944"/>
  <c r="O353" i="7944"/>
  <c r="O288" i="7944"/>
  <c r="O236" i="7944"/>
  <c r="O210" i="7944"/>
  <c r="O106" i="7944"/>
  <c r="O327" i="7944"/>
  <c r="O275" i="7944"/>
  <c r="O171" i="7944"/>
  <c r="O431" i="7944"/>
  <c r="O379" i="7944"/>
  <c r="O314" i="7944"/>
  <c r="O223" i="7944"/>
  <c r="O158" i="7944"/>
  <c r="O300" i="7944"/>
  <c r="O274" i="7944"/>
  <c r="O443" i="7944"/>
  <c r="P443" i="7944"/>
  <c r="O235" i="7944"/>
  <c r="O339" i="7944"/>
  <c r="O325" i="7944"/>
  <c r="O364" i="7944"/>
  <c r="P364" i="7944"/>
  <c r="O416" i="7944"/>
  <c r="O391" i="7944"/>
  <c r="O287" i="7944"/>
  <c r="P312" i="7944"/>
  <c r="O456" i="7944"/>
  <c r="O430" i="7944"/>
  <c r="O377" i="7944"/>
  <c r="P377" i="7944"/>
  <c r="O352" i="7944"/>
  <c r="O209" i="7944"/>
  <c r="O403" i="7944"/>
  <c r="O378" i="7944"/>
  <c r="P378" i="7944"/>
  <c r="O376" i="7944"/>
  <c r="O246" i="7944"/>
  <c r="P246" i="7944"/>
  <c r="O220" i="7944"/>
  <c r="O259" i="7944"/>
  <c r="P259" i="7944"/>
  <c r="O401" i="7944"/>
  <c r="O363" i="7944"/>
  <c r="O402" i="7944"/>
  <c r="O386" i="7944"/>
  <c r="O180" i="7944"/>
  <c r="P180" i="7944"/>
  <c r="O388" i="7944"/>
  <c r="P388" i="7944"/>
  <c r="O389" i="7944"/>
  <c r="O310" i="7944"/>
  <c r="P310" i="7944"/>
  <c r="O350" i="7944"/>
  <c r="P350" i="7944"/>
  <c r="Q350" i="7944"/>
  <c r="O374" i="7944"/>
  <c r="O233" i="7944"/>
  <c r="O438" i="7944"/>
  <c r="O399" i="7944"/>
  <c r="P399" i="7944"/>
  <c r="O387" i="7944"/>
  <c r="O373" i="7944"/>
  <c r="O358" i="7944"/>
  <c r="O111" i="7944"/>
  <c r="O362" i="7944"/>
  <c r="P362" i="7944"/>
  <c r="O306" i="7944"/>
  <c r="O440" i="7944"/>
  <c r="O412" i="7944"/>
  <c r="P412" i="7944"/>
  <c r="O163" i="7944"/>
  <c r="O426" i="7944"/>
  <c r="O254" i="7944"/>
  <c r="P254" i="7944"/>
  <c r="O241" i="7944"/>
  <c r="O228" i="7944"/>
  <c r="O345" i="7944"/>
  <c r="O176" i="7944"/>
  <c r="P176" i="7944"/>
  <c r="O371" i="7944"/>
  <c r="O124" i="7944"/>
  <c r="O319" i="7944"/>
  <c r="O293" i="7944"/>
  <c r="P293" i="7944"/>
  <c r="O72" i="7944"/>
  <c r="O449" i="7944"/>
  <c r="P449" i="7944"/>
  <c r="O423" i="7944"/>
  <c r="O390" i="7944"/>
  <c r="O85" i="7944"/>
  <c r="O137" i="7944"/>
  <c r="O400" i="7944"/>
  <c r="P400" i="7944"/>
  <c r="O452" i="7944"/>
  <c r="O189" i="7944"/>
  <c r="O258" i="7944"/>
  <c r="O361" i="7944"/>
  <c r="O181" i="7944"/>
  <c r="O441" i="7944"/>
  <c r="O196" i="7944"/>
  <c r="O222" i="7944"/>
  <c r="O118" i="7944"/>
  <c r="O436" i="7944"/>
  <c r="P150" i="7944"/>
  <c r="P461" i="7944"/>
  <c r="Q461" i="7944"/>
  <c r="O383" i="7944"/>
  <c r="P383" i="7944"/>
  <c r="Q383" i="7944"/>
  <c r="O296" i="7944"/>
  <c r="P296" i="7944"/>
  <c r="Q296" i="7944"/>
  <c r="O202" i="7944"/>
  <c r="O439" i="7944"/>
  <c r="O414" i="7944"/>
  <c r="O105" i="7944"/>
  <c r="O157" i="7944"/>
  <c r="O261" i="7944"/>
  <c r="O313" i="7944"/>
  <c r="O404" i="7944"/>
  <c r="O98" i="7944"/>
  <c r="P108" i="1"/>
  <c r="P244" i="1"/>
  <c r="O32" i="7944"/>
  <c r="P106" i="18"/>
  <c r="Q106" i="18"/>
  <c r="Q4" i="7944"/>
  <c r="R4" i="7944"/>
  <c r="Q4" i="7942"/>
  <c r="Q142" i="1"/>
  <c r="Q4" i="7941"/>
  <c r="Q176" i="1"/>
  <c r="Q210" i="1"/>
  <c r="R312" i="1"/>
  <c r="Q74" i="1"/>
  <c r="Q4" i="18"/>
  <c r="R4" i="18" s="1"/>
  <c r="O107" i="18"/>
  <c r="N108" i="18"/>
  <c r="P105" i="18"/>
  <c r="Q105" i="18"/>
  <c r="N109" i="18"/>
  <c r="P360" i="7944"/>
  <c r="P361" i="7944"/>
  <c r="P258" i="7944"/>
  <c r="P79" i="7944"/>
  <c r="P207" i="7944"/>
  <c r="P439" i="7944"/>
  <c r="P72" i="7944"/>
  <c r="P371" i="7944"/>
  <c r="P241" i="7944"/>
  <c r="P163" i="7944"/>
  <c r="P373" i="7944"/>
  <c r="P374" i="7944"/>
  <c r="P401" i="7944"/>
  <c r="P456" i="7944"/>
  <c r="P235" i="7944"/>
  <c r="P158" i="7944"/>
  <c r="P431" i="7944"/>
  <c r="P106" i="7944"/>
  <c r="P353" i="7944"/>
  <c r="P262" i="7944"/>
  <c r="P301" i="7944"/>
  <c r="P280" i="7944"/>
  <c r="P445" i="7944"/>
  <c r="P419" i="7944"/>
  <c r="P393" i="7944"/>
  <c r="P367" i="7944"/>
  <c r="P341" i="7944"/>
  <c r="P198" i="7944"/>
  <c r="P146" i="7944"/>
  <c r="P94" i="7944"/>
  <c r="P432" i="7944"/>
  <c r="P354" i="7944"/>
  <c r="P328" i="7944"/>
  <c r="P289" i="7944"/>
  <c r="P250" i="7944"/>
  <c r="P237" i="7944"/>
  <c r="P224" i="7944"/>
  <c r="P211" i="7944"/>
  <c r="P159" i="7944"/>
  <c r="P107" i="7944"/>
  <c r="P458" i="7944"/>
  <c r="P406" i="7944"/>
  <c r="P380" i="7944"/>
  <c r="P315" i="7944"/>
  <c r="P302" i="7944"/>
  <c r="P276" i="7944"/>
  <c r="P263" i="7944"/>
  <c r="P185" i="7944"/>
  <c r="P120" i="7944"/>
  <c r="P172" i="7944"/>
  <c r="P133" i="7944"/>
  <c r="P81" i="7944"/>
  <c r="Q3" i="7944"/>
  <c r="Q400" i="7944"/>
  <c r="P171" i="7944"/>
  <c r="P93" i="7944"/>
  <c r="P429" i="7944"/>
  <c r="P417" i="7944"/>
  <c r="Q417" i="7944"/>
  <c r="P273" i="7944"/>
  <c r="Q273" i="7944"/>
  <c r="P326" i="7944"/>
  <c r="P197" i="7944"/>
  <c r="P313" i="7944"/>
  <c r="P210" i="7944"/>
  <c r="P118" i="7944"/>
  <c r="P223" i="7944"/>
  <c r="Q223" i="7944"/>
  <c r="P288" i="7944"/>
  <c r="P392" i="7944"/>
  <c r="P365" i="7944"/>
  <c r="P404" i="7944"/>
  <c r="Q404" i="7944"/>
  <c r="P405" i="7944"/>
  <c r="P249" i="7944"/>
  <c r="P379" i="7944"/>
  <c r="P261" i="7944"/>
  <c r="Q261" i="7944"/>
  <c r="P390" i="7944"/>
  <c r="P145" i="7944"/>
  <c r="P366" i="7944"/>
  <c r="P222" i="7944"/>
  <c r="Q222" i="7944"/>
  <c r="P441" i="7944"/>
  <c r="P300" i="7944"/>
  <c r="P131" i="7944"/>
  <c r="P427" i="7944"/>
  <c r="Q427" i="7944"/>
  <c r="P453" i="7944"/>
  <c r="P196" i="7944"/>
  <c r="P391" i="7944"/>
  <c r="P92" i="7944"/>
  <c r="P144" i="7944"/>
  <c r="Q144" i="7944"/>
  <c r="P157" i="7944"/>
  <c r="P248" i="7944"/>
  <c r="P339" i="7944"/>
  <c r="P209" i="7944"/>
  <c r="Q209" i="7944"/>
  <c r="P416" i="7944"/>
  <c r="P428" i="7944"/>
  <c r="P454" i="7944"/>
  <c r="P386" i="7944"/>
  <c r="Q386" i="7944"/>
  <c r="P414" i="7944"/>
  <c r="P181" i="7944"/>
  <c r="Q181" i="7944"/>
  <c r="P413" i="7944"/>
  <c r="Q413" i="7944"/>
  <c r="P415" i="7944"/>
  <c r="P402" i="7944"/>
  <c r="P425" i="7944"/>
  <c r="Q425" i="7944"/>
  <c r="P436" i="7944"/>
  <c r="P189" i="7944"/>
  <c r="Q189" i="7944"/>
  <c r="P111" i="7944"/>
  <c r="P423" i="7944"/>
  <c r="Q423" i="7944"/>
  <c r="P440" i="7944"/>
  <c r="P410" i="7944"/>
  <c r="P215" i="7944"/>
  <c r="Q215" i="7944"/>
  <c r="P98" i="7944"/>
  <c r="P358" i="7944"/>
  <c r="P202" i="7944"/>
  <c r="P137" i="7944"/>
  <c r="P384" i="7944"/>
  <c r="P124" i="7944"/>
  <c r="P132" i="7944"/>
  <c r="P451" i="7944"/>
  <c r="P455" i="7944"/>
  <c r="P375" i="7944"/>
  <c r="P170" i="7944"/>
  <c r="P105" i="7944"/>
  <c r="P397" i="7944"/>
  <c r="P299" i="7944"/>
  <c r="Q299" i="7944"/>
  <c r="P85" i="7944"/>
  <c r="P319" i="7944"/>
  <c r="P345" i="7944"/>
  <c r="P387" i="7944"/>
  <c r="Q387" i="7944"/>
  <c r="P438" i="7944"/>
  <c r="P232" i="7944"/>
  <c r="P220" i="7944"/>
  <c r="P403" i="7944"/>
  <c r="P287" i="7944"/>
  <c r="P274" i="7944"/>
  <c r="P314" i="7944"/>
  <c r="Q314" i="7944"/>
  <c r="P275" i="7944"/>
  <c r="P236" i="7944"/>
  <c r="P457" i="7944"/>
  <c r="P119" i="7944"/>
  <c r="P418" i="7944"/>
  <c r="P184" i="7944"/>
  <c r="P267" i="7944"/>
  <c r="P183" i="7944"/>
  <c r="Q373" i="7944"/>
  <c r="P452" i="7944"/>
  <c r="P228" i="7944"/>
  <c r="P426" i="7944"/>
  <c r="Q426" i="7944"/>
  <c r="P306" i="7944"/>
  <c r="P389" i="7944"/>
  <c r="P363" i="7944"/>
  <c r="P376" i="7944"/>
  <c r="Q376" i="7944"/>
  <c r="P247" i="7944"/>
  <c r="P352" i="7944"/>
  <c r="P430" i="7944"/>
  <c r="P327" i="7944"/>
  <c r="P80" i="7944"/>
  <c r="P340" i="7944"/>
  <c r="P444" i="7944"/>
  <c r="P332" i="7944"/>
  <c r="P442" i="7944"/>
  <c r="Q108" i="1"/>
  <c r="Q244" i="1"/>
  <c r="P107" i="18"/>
  <c r="Q107" i="18"/>
  <c r="O109" i="18"/>
  <c r="P109" i="18"/>
  <c r="O108" i="18"/>
  <c r="P108" i="18"/>
  <c r="F42" i="7945"/>
  <c r="O110" i="18"/>
  <c r="P110" i="18"/>
  <c r="Q110" i="18"/>
  <c r="Q120" i="7944"/>
  <c r="Q302" i="7944"/>
  <c r="Q224" i="7944"/>
  <c r="Q328" i="7944"/>
  <c r="Q393" i="7944"/>
  <c r="Q259" i="7944"/>
  <c r="Q362" i="7944"/>
  <c r="Q361" i="7944"/>
  <c r="Q163" i="7944"/>
  <c r="Q430" i="7944"/>
  <c r="Q233" i="7944"/>
  <c r="Q228" i="7944"/>
  <c r="Q241" i="7944"/>
  <c r="Q397" i="7944"/>
  <c r="Q124" i="7944"/>
  <c r="Q202" i="7944"/>
  <c r="Q180" i="7944"/>
  <c r="Q402" i="7944"/>
  <c r="Q339" i="7944"/>
  <c r="Q92" i="7944"/>
  <c r="Q453" i="7944"/>
  <c r="Q131" i="7944"/>
  <c r="Q366" i="7944"/>
  <c r="Q379" i="7944"/>
  <c r="Q365" i="7944"/>
  <c r="Q118" i="7944"/>
  <c r="Q197" i="7944"/>
  <c r="Q429" i="7944"/>
  <c r="Q81" i="7944"/>
  <c r="Q185" i="7944"/>
  <c r="Q315" i="7944"/>
  <c r="Q107" i="7944"/>
  <c r="Q237" i="7944"/>
  <c r="Q354" i="7944"/>
  <c r="Q198" i="7944"/>
  <c r="Q419" i="7944"/>
  <c r="Q388" i="7944"/>
  <c r="Q254" i="7944"/>
  <c r="Q371" i="7944"/>
  <c r="Q293" i="7944"/>
  <c r="Q236" i="7944"/>
  <c r="Q345" i="7944"/>
  <c r="Q85" i="7944"/>
  <c r="Q384" i="7944"/>
  <c r="Q358" i="7944"/>
  <c r="Q410" i="7944"/>
  <c r="Q111" i="7944"/>
  <c r="Q414" i="7944"/>
  <c r="Q454" i="7944"/>
  <c r="Q248" i="7944"/>
  <c r="Q391" i="7944"/>
  <c r="Q300" i="7944"/>
  <c r="Q145" i="7944"/>
  <c r="Q249" i="7944"/>
  <c r="Q392" i="7944"/>
  <c r="Q210" i="7944"/>
  <c r="Q326" i="7944"/>
  <c r="Q93" i="7944"/>
  <c r="Q133" i="7944"/>
  <c r="Q263" i="7944"/>
  <c r="Q380" i="7944"/>
  <c r="Q159" i="7944"/>
  <c r="Q250" i="7944"/>
  <c r="Q432" i="7944"/>
  <c r="Q341" i="7944"/>
  <c r="Q445" i="7944"/>
  <c r="Q399" i="7944"/>
  <c r="Q176" i="7944"/>
  <c r="Q456" i="7944"/>
  <c r="Q238" i="7944"/>
  <c r="Q225" i="7944"/>
  <c r="Q212" i="7944"/>
  <c r="Q160" i="7944"/>
  <c r="Q108" i="7944"/>
  <c r="Q459" i="7944"/>
  <c r="Q433" i="7944"/>
  <c r="Q407" i="7944"/>
  <c r="Q381" i="7944"/>
  <c r="Q355" i="7944"/>
  <c r="Q329" i="7944"/>
  <c r="Q316" i="7944"/>
  <c r="Q303" i="7944"/>
  <c r="Q290" i="7944"/>
  <c r="Q277" i="7944"/>
  <c r="Q264" i="7944"/>
  <c r="Q251" i="7944"/>
  <c r="Q173" i="7944"/>
  <c r="Q121" i="7944"/>
  <c r="Q95" i="7944"/>
  <c r="Q446" i="7944"/>
  <c r="Q394" i="7944"/>
  <c r="Q342" i="7944"/>
  <c r="Q147" i="7944"/>
  <c r="Q82" i="7944"/>
  <c r="Q134" i="7944"/>
  <c r="R3" i="7944"/>
  <c r="Q420" i="7944"/>
  <c r="Q368" i="7944"/>
  <c r="Q199" i="7944"/>
  <c r="Q186" i="7944"/>
  <c r="Q106" i="7944"/>
  <c r="Q79" i="7944"/>
  <c r="Q262" i="7944"/>
  <c r="Q351" i="7944"/>
  <c r="Q457" i="7944"/>
  <c r="Q119" i="7944"/>
  <c r="Q455" i="7944"/>
  <c r="Q431" i="7944"/>
  <c r="Q327" i="7944"/>
  <c r="Q132" i="7944"/>
  <c r="Q275" i="7944"/>
  <c r="Q158" i="7944"/>
  <c r="Q442" i="7944"/>
  <c r="Q184" i="7944"/>
  <c r="Q353" i="7944"/>
  <c r="Q301" i="7944"/>
  <c r="Q340" i="7944"/>
  <c r="Q444" i="7944"/>
  <c r="Q274" i="7944"/>
  <c r="Q375" i="7944"/>
  <c r="Q403" i="7944"/>
  <c r="Q235" i="7944"/>
  <c r="Q183" i="7944"/>
  <c r="Q105" i="7944"/>
  <c r="Q443" i="7944"/>
  <c r="Q378" i="7944"/>
  <c r="Q364" i="7944"/>
  <c r="Q287" i="7944"/>
  <c r="Q170" i="7944"/>
  <c r="Q312" i="7944"/>
  <c r="Q352" i="7944"/>
  <c r="Q363" i="7944"/>
  <c r="Q374" i="7944"/>
  <c r="Q389" i="7944"/>
  <c r="Q451" i="7944"/>
  <c r="Q258" i="7944"/>
  <c r="Q452" i="7944"/>
  <c r="Q439" i="7944"/>
  <c r="Q360" i="7944"/>
  <c r="Q412" i="7944"/>
  <c r="Q306" i="7944"/>
  <c r="Q150" i="7944"/>
  <c r="Q449" i="7944"/>
  <c r="Q267" i="7944"/>
  <c r="Q280" i="7944"/>
  <c r="Q72" i="7944"/>
  <c r="Q458" i="7944"/>
  <c r="Q146" i="7944"/>
  <c r="Q332" i="7944"/>
  <c r="Q80" i="7944"/>
  <c r="Q247" i="7944"/>
  <c r="Q207" i="7944"/>
  <c r="Q418" i="7944"/>
  <c r="Q438" i="7944"/>
  <c r="Q319" i="7944"/>
  <c r="Q137" i="7944"/>
  <c r="Q98" i="7944"/>
  <c r="Q440" i="7944"/>
  <c r="Q436" i="7944"/>
  <c r="Q415" i="7944"/>
  <c r="Q428" i="7944"/>
  <c r="Q416" i="7944"/>
  <c r="Q157" i="7944"/>
  <c r="Q196" i="7944"/>
  <c r="Q441" i="7944"/>
  <c r="Q390" i="7944"/>
  <c r="Q405" i="7944"/>
  <c r="Q288" i="7944"/>
  <c r="Q313" i="7944"/>
  <c r="Q171" i="7944"/>
  <c r="Q172" i="7944"/>
  <c r="Q276" i="7944"/>
  <c r="Q406" i="7944"/>
  <c r="Q211" i="7944"/>
  <c r="Q289" i="7944"/>
  <c r="Q94" i="7944"/>
  <c r="Q367" i="7944"/>
  <c r="Q377" i="7944"/>
  <c r="Q401" i="7944"/>
  <c r="Q109" i="18"/>
  <c r="Q108" i="18"/>
  <c r="P111" i="18"/>
  <c r="Q111" i="18"/>
  <c r="F43" i="7945"/>
  <c r="F44" i="7945"/>
  <c r="Q112" i="18"/>
  <c r="F59" i="7945"/>
  <c r="F45" i="7945"/>
  <c r="F46" i="7945"/>
  <c r="F37" i="7945"/>
  <c r="L218" i="1"/>
  <c r="M169" i="7944"/>
  <c r="L252" i="1"/>
  <c r="L184" i="1"/>
  <c r="F40" i="7945"/>
  <c r="F39" i="7945"/>
  <c r="F41" i="7945"/>
  <c r="F38" i="7945"/>
  <c r="G184" i="1"/>
  <c r="L47" i="7944"/>
  <c r="J111" i="7945" s="1"/>
  <c r="K111" i="7945" s="1"/>
  <c r="AB182" i="7947"/>
  <c r="AB226" i="7947"/>
  <c r="F51" i="7945"/>
  <c r="M118" i="18"/>
  <c r="N118" i="18"/>
  <c r="O118" i="18"/>
  <c r="P124" i="18"/>
  <c r="O123" i="18"/>
  <c r="M121" i="18"/>
  <c r="N121" i="18"/>
  <c r="O121" i="18"/>
  <c r="P121" i="18"/>
  <c r="M120" i="18"/>
  <c r="N120" i="18"/>
  <c r="O120" i="18"/>
  <c r="P120" i="18"/>
  <c r="Q120" i="18"/>
  <c r="G262" i="7947"/>
  <c r="I262" i="7947"/>
  <c r="P118" i="18"/>
  <c r="M119" i="18"/>
  <c r="N119" i="18"/>
  <c r="O119" i="18"/>
  <c r="P119" i="18"/>
  <c r="O117" i="18"/>
  <c r="P117" i="18"/>
  <c r="Q117" i="18"/>
  <c r="N122" i="18"/>
  <c r="O122" i="18"/>
  <c r="P122" i="18"/>
  <c r="Q122" i="18"/>
  <c r="F55" i="7945"/>
  <c r="P123" i="18"/>
  <c r="Q123" i="18"/>
  <c r="F57" i="7945"/>
  <c r="Q125" i="18"/>
  <c r="F60" i="7945"/>
  <c r="F52" i="7945"/>
  <c r="Q119" i="18"/>
  <c r="F56" i="7945"/>
  <c r="Q124" i="18"/>
  <c r="Q121" i="18"/>
  <c r="Q118" i="18"/>
  <c r="F58" i="7945"/>
  <c r="F54" i="7945"/>
  <c r="O182" i="7947"/>
  <c r="O226" i="7947"/>
  <c r="AA182" i="7947"/>
  <c r="AA226" i="7947"/>
  <c r="AP182" i="7947"/>
  <c r="AP226" i="7947"/>
  <c r="Z182" i="7947"/>
  <c r="Z226" i="7947"/>
  <c r="AV182" i="7947"/>
  <c r="AV226" i="7947"/>
  <c r="AU182" i="7947"/>
  <c r="AU226" i="7947"/>
  <c r="U182" i="7947"/>
  <c r="U226" i="7947"/>
  <c r="AC182" i="7947"/>
  <c r="AC226" i="7947"/>
  <c r="AO182" i="7947"/>
  <c r="AO226" i="7947"/>
  <c r="BD182" i="7947"/>
  <c r="BD226" i="7947"/>
  <c r="AR182" i="7947"/>
  <c r="AR226" i="7947"/>
  <c r="AF182" i="7947"/>
  <c r="AF226" i="7947"/>
  <c r="T182" i="7947"/>
  <c r="T226" i="7947"/>
  <c r="AY182" i="7947"/>
  <c r="AY226" i="7947"/>
  <c r="W182" i="7947"/>
  <c r="W226" i="7947"/>
  <c r="S182" i="7947"/>
  <c r="S226" i="7947"/>
  <c r="F106" i="7945"/>
  <c r="H154" i="1"/>
  <c r="N169" i="7944"/>
  <c r="O169" i="7944"/>
  <c r="P169" i="7944" s="1"/>
  <c r="Q169" i="7944" s="1"/>
  <c r="O309" i="7944"/>
  <c r="Q246" i="7944"/>
  <c r="Q220" i="7944"/>
  <c r="O286" i="7944"/>
  <c r="Q310" i="7944"/>
  <c r="P221" i="7944"/>
  <c r="Q325" i="7944"/>
  <c r="P208" i="7944"/>
  <c r="Q208" i="7944"/>
  <c r="Q232" i="7944"/>
  <c r="P192" i="7944"/>
  <c r="Q192" i="7944"/>
  <c r="P286" i="7944"/>
  <c r="O221" i="7944"/>
  <c r="O338" i="7944"/>
  <c r="M337" i="7944"/>
  <c r="J163" i="7945"/>
  <c r="K163" i="7945" s="1"/>
  <c r="J151" i="7945"/>
  <c r="K151" i="7945" s="1"/>
  <c r="N195" i="7944"/>
  <c r="O195" i="7944"/>
  <c r="O285" i="7944"/>
  <c r="J262" i="7945"/>
  <c r="K262" i="7945" s="1"/>
  <c r="N309" i="7944"/>
  <c r="N206" i="7944"/>
  <c r="O206" i="7944"/>
  <c r="J188" i="7944"/>
  <c r="K321" i="7944"/>
  <c r="L321" i="7944"/>
  <c r="L244" i="7944"/>
  <c r="L322" i="7944"/>
  <c r="J180" i="7945"/>
  <c r="K180" i="7945" s="1"/>
  <c r="J291" i="7945"/>
  <c r="K291" i="7945" s="1"/>
  <c r="J25" i="7944"/>
  <c r="N311" i="7944"/>
  <c r="N218" i="7944"/>
  <c r="M182" i="7944"/>
  <c r="M297" i="7944"/>
  <c r="N286" i="7944"/>
  <c r="M260" i="7944"/>
  <c r="M234" i="7944"/>
  <c r="J347" i="7944"/>
  <c r="J256" i="7944"/>
  <c r="L217" i="7944"/>
  <c r="I357" i="7944"/>
  <c r="I279" i="7944"/>
  <c r="J269" i="7944"/>
  <c r="I16" i="7944"/>
  <c r="J16" i="7944"/>
  <c r="J191" i="7945"/>
  <c r="K191" i="7945" s="1"/>
  <c r="J236" i="7945"/>
  <c r="K236" i="7945" s="1"/>
  <c r="I19" i="7944"/>
  <c r="J19" i="7944"/>
  <c r="K227" i="7944"/>
  <c r="J135" i="7945"/>
  <c r="K201" i="7944"/>
  <c r="H48" i="7944"/>
  <c r="K178" i="7944"/>
  <c r="L178" i="7944"/>
  <c r="L193" i="7944"/>
  <c r="M193" i="7944"/>
  <c r="K193" i="7944"/>
  <c r="I204" i="7944"/>
  <c r="H50" i="7944"/>
  <c r="J51" i="7944"/>
  <c r="L219" i="7944"/>
  <c r="H52" i="7944"/>
  <c r="J230" i="7944"/>
  <c r="L230" i="7944"/>
  <c r="K245" i="7944"/>
  <c r="L245" i="7944"/>
  <c r="J53" i="7944"/>
  <c r="H54" i="7944"/>
  <c r="K256" i="7944"/>
  <c r="K266" i="7944"/>
  <c r="K271" i="7944"/>
  <c r="L271" i="7944"/>
  <c r="J55" i="7944"/>
  <c r="H56" i="7944"/>
  <c r="I282" i="7944"/>
  <c r="H58" i="7944"/>
  <c r="I308" i="7944"/>
  <c r="K323" i="7944"/>
  <c r="J59" i="7944"/>
  <c r="N243" i="7944"/>
  <c r="N191" i="7944"/>
  <c r="N336" i="7944"/>
  <c r="M348" i="7944"/>
  <c r="L257" i="7944"/>
  <c r="L256" i="7944"/>
  <c r="L266" i="7944"/>
  <c r="K230" i="7944"/>
  <c r="K347" i="7944"/>
  <c r="K270" i="7944"/>
  <c r="L284" i="7944"/>
  <c r="M284" i="7944"/>
  <c r="K349" i="7944"/>
  <c r="J331" i="7944"/>
  <c r="K244" i="7944"/>
  <c r="I334" i="7944"/>
  <c r="I305" i="7944"/>
  <c r="J295" i="7944"/>
  <c r="J61" i="7944"/>
  <c r="I23" i="7944"/>
  <c r="J23" i="7944"/>
  <c r="I48" i="7944"/>
  <c r="J179" i="7944"/>
  <c r="K49" i="7944"/>
  <c r="J138" i="7945"/>
  <c r="K138" i="7945" s="1"/>
  <c r="M194" i="7944"/>
  <c r="J205" i="7944"/>
  <c r="K231" i="7944"/>
  <c r="L272" i="7944"/>
  <c r="M272" i="7944"/>
  <c r="K55" i="7944"/>
  <c r="J222" i="7945"/>
  <c r="K222" i="7945" s="1"/>
  <c r="J283" i="7944"/>
  <c r="M298" i="7944"/>
  <c r="L324" i="7944"/>
  <c r="K59" i="7944"/>
  <c r="J335" i="7944"/>
  <c r="K335" i="7944"/>
  <c r="G499" i="7942"/>
  <c r="G762" i="18"/>
  <c r="G492" i="7941" s="1"/>
  <c r="L36" i="7944"/>
  <c r="N35" i="7944"/>
  <c r="O35" i="7944"/>
  <c r="L35" i="7944"/>
  <c r="M35" i="7944"/>
  <c r="N34" i="7946"/>
  <c r="L30" i="7944"/>
  <c r="M30" i="7944"/>
  <c r="N29" i="7946"/>
  <c r="K37" i="7944"/>
  <c r="O33" i="7944"/>
  <c r="P32" i="7944"/>
  <c r="N34" i="7944"/>
  <c r="M31" i="7944"/>
  <c r="N33" i="7944"/>
  <c r="J17" i="7944"/>
  <c r="J27" i="7944"/>
  <c r="J29" i="7944"/>
  <c r="J21" i="7944"/>
  <c r="AS146" i="7947"/>
  <c r="B260" i="7947"/>
  <c r="G470" i="18"/>
  <c r="G8" i="7941" s="1"/>
  <c r="J6" i="18"/>
  <c r="K212" i="1"/>
  <c r="L179" i="1"/>
  <c r="K25" i="7944"/>
  <c r="L25" i="7944"/>
  <c r="L253" i="7944"/>
  <c r="J275" i="7945"/>
  <c r="K275" i="7945" s="1"/>
  <c r="Q309" i="7944"/>
  <c r="J220" i="7945"/>
  <c r="K220" i="7945" s="1"/>
  <c r="M324" i="7944"/>
  <c r="J305" i="7944"/>
  <c r="L323" i="7944"/>
  <c r="N182" i="7944"/>
  <c r="P182" i="7944"/>
  <c r="O182" i="7944"/>
  <c r="J137" i="7945"/>
  <c r="K137" i="7945" s="1"/>
  <c r="O298" i="7944"/>
  <c r="P298" i="7944"/>
  <c r="N298" i="7944"/>
  <c r="K357" i="7944"/>
  <c r="N219" i="7944"/>
  <c r="I318" i="7944"/>
  <c r="J308" i="7944"/>
  <c r="J318" i="7944"/>
  <c r="I292" i="7944"/>
  <c r="J205" i="7945"/>
  <c r="I22" i="7944"/>
  <c r="J22" i="7944"/>
  <c r="J165" i="7945"/>
  <c r="K165" i="7945" s="1"/>
  <c r="K16" i="7944"/>
  <c r="J266" i="7944"/>
  <c r="M256" i="7944"/>
  <c r="Q256" i="7944"/>
  <c r="O218" i="7944"/>
  <c r="P218" i="7944"/>
  <c r="Q218" i="7944"/>
  <c r="N256" i="7944"/>
  <c r="L347" i="7944"/>
  <c r="M244" i="7944"/>
  <c r="N244" i="7944"/>
  <c r="M219" i="7944"/>
  <c r="O219" i="7944"/>
  <c r="O272" i="7944"/>
  <c r="N272" i="7944"/>
  <c r="P272" i="7944"/>
  <c r="Q272" i="7944"/>
  <c r="K205" i="7944"/>
  <c r="L205" i="7944"/>
  <c r="K179" i="7944"/>
  <c r="L179" i="7944"/>
  <c r="L188" i="7944"/>
  <c r="K295" i="7944"/>
  <c r="K305" i="7944"/>
  <c r="I344" i="7944"/>
  <c r="J334" i="7944"/>
  <c r="K240" i="7944"/>
  <c r="J206" i="7945"/>
  <c r="K206" i="7945" s="1"/>
  <c r="M321" i="7944"/>
  <c r="O321" i="7944"/>
  <c r="O191" i="7944"/>
  <c r="P191" i="7944"/>
  <c r="I26" i="7944"/>
  <c r="I24" i="7944"/>
  <c r="J240" i="7944"/>
  <c r="M230" i="7944"/>
  <c r="N230" i="7944"/>
  <c r="N193" i="7944"/>
  <c r="K19" i="7944"/>
  <c r="L19" i="7944"/>
  <c r="M19" i="7944"/>
  <c r="J357" i="7944"/>
  <c r="J303" i="7945"/>
  <c r="K303" i="7945" s="1"/>
  <c r="N347" i="7944"/>
  <c r="Q286" i="7944"/>
  <c r="M257" i="7944"/>
  <c r="O311" i="7944"/>
  <c r="P311" i="7944"/>
  <c r="Q311" i="7944"/>
  <c r="M322" i="7944"/>
  <c r="J276" i="7945"/>
  <c r="K276" i="7945" s="1"/>
  <c r="L201" i="7944"/>
  <c r="Q206" i="7944"/>
  <c r="P206" i="7944"/>
  <c r="P285" i="7944"/>
  <c r="Q285" i="7944"/>
  <c r="M178" i="7944"/>
  <c r="Q221" i="7944"/>
  <c r="P338" i="7944"/>
  <c r="Q338" i="7944"/>
  <c r="N231" i="7944"/>
  <c r="M231" i="7944"/>
  <c r="L270" i="7944"/>
  <c r="M270" i="7944"/>
  <c r="O245" i="7944"/>
  <c r="M245" i="7944"/>
  <c r="J279" i="7944"/>
  <c r="J178" i="7945"/>
  <c r="O256" i="7944"/>
  <c r="N245" i="7944"/>
  <c r="P245" i="7944"/>
  <c r="L335" i="7944"/>
  <c r="M335" i="7944"/>
  <c r="N335" i="7944"/>
  <c r="O335" i="7944"/>
  <c r="N348" i="7944"/>
  <c r="L349" i="7944"/>
  <c r="M349" i="7944"/>
  <c r="J221" i="7945"/>
  <c r="K221" i="7945" s="1"/>
  <c r="I214" i="7944"/>
  <c r="J204" i="7944"/>
  <c r="M201" i="7944"/>
  <c r="J278" i="7945"/>
  <c r="K278" i="7945" s="1"/>
  <c r="K283" i="7944"/>
  <c r="L283" i="7944"/>
  <c r="L231" i="7944"/>
  <c r="O231" i="7944"/>
  <c r="P231" i="7944"/>
  <c r="N194" i="7944"/>
  <c r="O194" i="7944"/>
  <c r="P194" i="7944"/>
  <c r="K253" i="7944"/>
  <c r="N284" i="7944"/>
  <c r="J235" i="7945"/>
  <c r="K235" i="7945" s="1"/>
  <c r="O284" i="7944"/>
  <c r="M347" i="7944"/>
  <c r="O347" i="7944"/>
  <c r="O336" i="7944"/>
  <c r="O243" i="7944"/>
  <c r="P243" i="7944"/>
  <c r="Q243" i="7944"/>
  <c r="J282" i="7944"/>
  <c r="M271" i="7944"/>
  <c r="N271" i="7944"/>
  <c r="J193" i="7945"/>
  <c r="K193" i="7945" s="1"/>
  <c r="I20" i="7944"/>
  <c r="J20" i="7944"/>
  <c r="J177" i="7945"/>
  <c r="K177" i="7945" s="1"/>
  <c r="I18" i="7944"/>
  <c r="J121" i="7945"/>
  <c r="K121" i="7945" s="1"/>
  <c r="K269" i="7944"/>
  <c r="K279" i="7944"/>
  <c r="L227" i="7944"/>
  <c r="M217" i="7944"/>
  <c r="N217" i="7944"/>
  <c r="N297" i="7944"/>
  <c r="N234" i="7944"/>
  <c r="N260" i="7944"/>
  <c r="O260" i="7944"/>
  <c r="J192" i="7945"/>
  <c r="K192" i="7945" s="1"/>
  <c r="K331" i="7944"/>
  <c r="N321" i="7944"/>
  <c r="J290" i="7945"/>
  <c r="K290" i="7945" s="1"/>
  <c r="P309" i="7944"/>
  <c r="P195" i="7944"/>
  <c r="Q195" i="7944"/>
  <c r="N337" i="7944"/>
  <c r="O337" i="7944"/>
  <c r="P337" i="7944"/>
  <c r="P256" i="7944"/>
  <c r="P35" i="7944"/>
  <c r="K17" i="7944"/>
  <c r="Q32" i="7944"/>
  <c r="R32" i="7944"/>
  <c r="M36" i="7944"/>
  <c r="N30" i="7946"/>
  <c r="Q35" i="7944"/>
  <c r="R35" i="7944"/>
  <c r="K21" i="7944"/>
  <c r="P33" i="7944"/>
  <c r="Q33" i="7944"/>
  <c r="K27" i="7944"/>
  <c r="K20" i="7944"/>
  <c r="N30" i="7944"/>
  <c r="N31" i="7944"/>
  <c r="O31" i="7944"/>
  <c r="L37" i="7944"/>
  <c r="O34" i="7944"/>
  <c r="P260" i="7944"/>
  <c r="Q260" i="7944"/>
  <c r="M282" i="7944"/>
  <c r="N270" i="7944"/>
  <c r="P270" i="7944"/>
  <c r="O270" i="7944"/>
  <c r="P321" i="7944"/>
  <c r="Q321" i="7944"/>
  <c r="Q231" i="7944"/>
  <c r="P193" i="7944"/>
  <c r="P271" i="7944"/>
  <c r="O271" i="7944"/>
  <c r="Q271" i="7944"/>
  <c r="M283" i="7944"/>
  <c r="N283" i="7944"/>
  <c r="O283" i="7944"/>
  <c r="P348" i="7944"/>
  <c r="O230" i="7944"/>
  <c r="P230" i="7944"/>
  <c r="J18" i="7944"/>
  <c r="M253" i="7944"/>
  <c r="O349" i="7944"/>
  <c r="M266" i="7944"/>
  <c r="J247" i="7945"/>
  <c r="K247" i="7945" s="1"/>
  <c r="P284" i="7944"/>
  <c r="Q284" i="7944"/>
  <c r="O348" i="7944"/>
  <c r="J305" i="7945"/>
  <c r="K305" i="7945" s="1"/>
  <c r="N322" i="7944"/>
  <c r="P347" i="7944"/>
  <c r="Q347" i="7944"/>
  <c r="N178" i="7944"/>
  <c r="O193" i="7944"/>
  <c r="N257" i="7944"/>
  <c r="J344" i="7944"/>
  <c r="N205" i="7944"/>
  <c r="O205" i="7944"/>
  <c r="M205" i="7944"/>
  <c r="Q298" i="7944"/>
  <c r="M295" i="7944"/>
  <c r="N324" i="7944"/>
  <c r="N19" i="7944"/>
  <c r="O19" i="7944"/>
  <c r="O297" i="7944"/>
  <c r="P297" i="7944"/>
  <c r="Q297" i="7944"/>
  <c r="O217" i="7944"/>
  <c r="N227" i="7944"/>
  <c r="M227" i="7944"/>
  <c r="J122" i="7945"/>
  <c r="K122" i="7945" s="1"/>
  <c r="J234" i="7945"/>
  <c r="K234" i="7945" s="1"/>
  <c r="L240" i="7944"/>
  <c r="Q348" i="7944"/>
  <c r="N349" i="7944"/>
  <c r="P349" i="7944"/>
  <c r="Q335" i="7944"/>
  <c r="Q337" i="7944"/>
  <c r="O234" i="7944"/>
  <c r="K188" i="7944"/>
  <c r="L16" i="7944"/>
  <c r="Q193" i="7944"/>
  <c r="J24" i="7944"/>
  <c r="Q191" i="7944"/>
  <c r="K334" i="7944"/>
  <c r="L334" i="7944"/>
  <c r="M179" i="7944"/>
  <c r="L357" i="7944"/>
  <c r="M357" i="7944"/>
  <c r="K308" i="7944"/>
  <c r="Q182" i="7944"/>
  <c r="P219" i="7944"/>
  <c r="Q219" i="7944"/>
  <c r="N295" i="7944"/>
  <c r="K29" i="7944"/>
  <c r="O244" i="7944"/>
  <c r="P244" i="7944"/>
  <c r="Q244" i="7944"/>
  <c r="L331" i="7944"/>
  <c r="J214" i="7944"/>
  <c r="K204" i="7944"/>
  <c r="N240" i="7944"/>
  <c r="M240" i="7944"/>
  <c r="L21" i="7944"/>
  <c r="M21" i="7944"/>
  <c r="N20" i="7946"/>
  <c r="K22" i="7944"/>
  <c r="P217" i="7944"/>
  <c r="J292" i="7944"/>
  <c r="L282" i="7944"/>
  <c r="L292" i="7944"/>
  <c r="P336" i="7944"/>
  <c r="Q336" i="7944"/>
  <c r="L295" i="7944"/>
  <c r="L305" i="7944"/>
  <c r="M305" i="7944"/>
  <c r="Q349" i="7944"/>
  <c r="Q245" i="7944"/>
  <c r="Q217" i="7944"/>
  <c r="J277" i="7945"/>
  <c r="K277" i="7945" s="1"/>
  <c r="M323" i="7944"/>
  <c r="Q194" i="7944"/>
  <c r="P335" i="7944"/>
  <c r="K23" i="7944"/>
  <c r="J26" i="7944"/>
  <c r="K26" i="7944"/>
  <c r="J28" i="7944"/>
  <c r="J150" i="7945"/>
  <c r="K150" i="7945" s="1"/>
  <c r="K282" i="7944"/>
  <c r="L269" i="7944"/>
  <c r="N201" i="7944"/>
  <c r="M37" i="7944"/>
  <c r="N36" i="7946"/>
  <c r="N37" i="7944"/>
  <c r="O37" i="7944"/>
  <c r="R33" i="7944"/>
  <c r="L27" i="7944"/>
  <c r="N18" i="7946"/>
  <c r="P19" i="7944"/>
  <c r="Q19" i="7944"/>
  <c r="R19" i="7944"/>
  <c r="M25" i="7944"/>
  <c r="O30" i="7944"/>
  <c r="P31" i="7944"/>
  <c r="P34" i="7944"/>
  <c r="Q34" i="7944"/>
  <c r="N35" i="7946"/>
  <c r="N36" i="7944"/>
  <c r="O36" i="7944"/>
  <c r="P36" i="7944"/>
  <c r="L17" i="7944"/>
  <c r="M17" i="7944"/>
  <c r="N16" i="7946"/>
  <c r="L20" i="7944"/>
  <c r="N21" i="7944"/>
  <c r="P205" i="7944"/>
  <c r="Q205" i="7944"/>
  <c r="K28" i="7944"/>
  <c r="L22" i="7944"/>
  <c r="O357" i="7944"/>
  <c r="P357" i="7944"/>
  <c r="N323" i="7944"/>
  <c r="O240" i="7944"/>
  <c r="P240" i="7944"/>
  <c r="Q240" i="7944"/>
  <c r="N179" i="7944"/>
  <c r="O179" i="7944"/>
  <c r="O201" i="7944"/>
  <c r="P201" i="7944"/>
  <c r="Q201" i="7944"/>
  <c r="N305" i="7944"/>
  <c r="M331" i="7944"/>
  <c r="N331" i="7944"/>
  <c r="L344" i="7944"/>
  <c r="M16" i="7944"/>
  <c r="N15" i="7946"/>
  <c r="P283" i="7944"/>
  <c r="Q283" i="7944"/>
  <c r="O295" i="7944"/>
  <c r="L29" i="7944"/>
  <c r="M29" i="7944"/>
  <c r="N28" i="7946"/>
  <c r="K318" i="7944"/>
  <c r="L308" i="7944"/>
  <c r="L318" i="7944"/>
  <c r="O178" i="7944"/>
  <c r="P178" i="7944"/>
  <c r="Q178" i="7944"/>
  <c r="J233" i="7945"/>
  <c r="K233" i="7945" s="1"/>
  <c r="O324" i="7944"/>
  <c r="P324" i="7944"/>
  <c r="K292" i="7944"/>
  <c r="O282" i="7944"/>
  <c r="L23" i="7944"/>
  <c r="O257" i="7944"/>
  <c r="P257" i="7944"/>
  <c r="Q257" i="7944"/>
  <c r="K24" i="7944"/>
  <c r="L204" i="7944"/>
  <c r="M292" i="7944"/>
  <c r="O322" i="7944"/>
  <c r="N253" i="7944"/>
  <c r="K18" i="7944"/>
  <c r="Q230" i="7944"/>
  <c r="P234" i="7944"/>
  <c r="Q234" i="7944"/>
  <c r="Q270" i="7944"/>
  <c r="L279" i="7944"/>
  <c r="J219" i="7945"/>
  <c r="N282" i="7944"/>
  <c r="K214" i="7944"/>
  <c r="M269" i="7944"/>
  <c r="N357" i="7944"/>
  <c r="Q357" i="7944"/>
  <c r="K344" i="7944"/>
  <c r="J289" i="7945"/>
  <c r="M334" i="7944"/>
  <c r="N188" i="7944"/>
  <c r="O188" i="7944"/>
  <c r="Q188" i="7944"/>
  <c r="M188" i="7944"/>
  <c r="P188" i="7944"/>
  <c r="N266" i="7944"/>
  <c r="O266" i="7944"/>
  <c r="O227" i="7944"/>
  <c r="P227" i="7944"/>
  <c r="Q227" i="7944"/>
  <c r="O21" i="7944"/>
  <c r="P21" i="7944"/>
  <c r="Q36" i="7944"/>
  <c r="R36" i="7944"/>
  <c r="R34" i="7944"/>
  <c r="Q31" i="7944"/>
  <c r="R31" i="7944"/>
  <c r="M20" i="7944"/>
  <c r="N17" i="7944"/>
  <c r="P30" i="7944"/>
  <c r="Q30" i="7944"/>
  <c r="R30" i="7944"/>
  <c r="P37" i="7944"/>
  <c r="Q37" i="7944"/>
  <c r="N24" i="7946"/>
  <c r="N25" i="7944"/>
  <c r="M27" i="7944"/>
  <c r="N27" i="7944"/>
  <c r="O27" i="7944"/>
  <c r="Q179" i="7944"/>
  <c r="P179" i="7944"/>
  <c r="Q305" i="7944"/>
  <c r="M344" i="7944"/>
  <c r="N344" i="7944"/>
  <c r="Q253" i="7944"/>
  <c r="O253" i="7944"/>
  <c r="O16" i="7944"/>
  <c r="M22" i="7944"/>
  <c r="N21" i="7946"/>
  <c r="N318" i="7944"/>
  <c r="M318" i="7944"/>
  <c r="O318" i="7944"/>
  <c r="L26" i="7944"/>
  <c r="N334" i="7944"/>
  <c r="O305" i="7944"/>
  <c r="P305" i="7944"/>
  <c r="N269" i="7944"/>
  <c r="P266" i="7944"/>
  <c r="Q324" i="7944"/>
  <c r="M23" i="7944"/>
  <c r="M308" i="7944"/>
  <c r="Q266" i="7944"/>
  <c r="O323" i="7944"/>
  <c r="P323" i="7944"/>
  <c r="Q323" i="7944"/>
  <c r="P253" i="7944"/>
  <c r="M279" i="7944"/>
  <c r="L214" i="7944"/>
  <c r="M204" i="7944"/>
  <c r="J149" i="7945"/>
  <c r="K149" i="7945" s="1"/>
  <c r="P282" i="7944"/>
  <c r="Q282" i="7944"/>
  <c r="L18" i="7944"/>
  <c r="N292" i="7944"/>
  <c r="P292" i="7944"/>
  <c r="Q292" i="7944"/>
  <c r="L24" i="7944"/>
  <c r="J261" i="7945"/>
  <c r="K261" i="7945" s="1"/>
  <c r="N29" i="7944"/>
  <c r="N16" i="7944"/>
  <c r="O331" i="7944"/>
  <c r="P331" i="7944"/>
  <c r="Q331" i="7944"/>
  <c r="P295" i="7944"/>
  <c r="Q295" i="7944"/>
  <c r="N22" i="7944"/>
  <c r="O22" i="7944"/>
  <c r="L28" i="7944"/>
  <c r="P322" i="7944"/>
  <c r="Q322" i="7944"/>
  <c r="O292" i="7944"/>
  <c r="N19" i="7946"/>
  <c r="N20" i="7944"/>
  <c r="O20" i="7944"/>
  <c r="P20" i="7944"/>
  <c r="R37" i="7944"/>
  <c r="O17" i="7944"/>
  <c r="N26" i="7946"/>
  <c r="P27" i="7944"/>
  <c r="Q27" i="7944"/>
  <c r="R27" i="7944"/>
  <c r="O25" i="7944"/>
  <c r="P25" i="7944"/>
  <c r="Q21" i="7944"/>
  <c r="R21" i="7944"/>
  <c r="P344" i="7944"/>
  <c r="R16" i="7944"/>
  <c r="M24" i="7944"/>
  <c r="N23" i="7946"/>
  <c r="N214" i="7944"/>
  <c r="N308" i="7944"/>
  <c r="O308" i="7944"/>
  <c r="M26" i="7944"/>
  <c r="N25" i="7946"/>
  <c r="M214" i="7944"/>
  <c r="P16" i="7944"/>
  <c r="Q16" i="7944"/>
  <c r="N279" i="7944"/>
  <c r="O279" i="7944"/>
  <c r="P279" i="7944"/>
  <c r="O334" i="7944"/>
  <c r="P334" i="7944"/>
  <c r="Q334" i="7944"/>
  <c r="P318" i="7944"/>
  <c r="Q318" i="7944"/>
  <c r="O269" i="7944"/>
  <c r="P269" i="7944"/>
  <c r="Q269" i="7944"/>
  <c r="Q29" i="7944"/>
  <c r="O29" i="7944"/>
  <c r="P29" i="7944"/>
  <c r="M18" i="7944"/>
  <c r="N18" i="7944"/>
  <c r="N204" i="7944"/>
  <c r="O204" i="7944"/>
  <c r="P204" i="7944"/>
  <c r="P22" i="7944"/>
  <c r="Q22" i="7944"/>
  <c r="R22" i="7944"/>
  <c r="Q344" i="7944"/>
  <c r="M28" i="7944"/>
  <c r="N28" i="7944"/>
  <c r="O28" i="7944"/>
  <c r="N24" i="7944"/>
  <c r="Q204" i="7944"/>
  <c r="O344" i="7944"/>
  <c r="N22" i="7946"/>
  <c r="N23" i="7944"/>
  <c r="Q20" i="7944"/>
  <c r="Q25" i="7944"/>
  <c r="R25" i="7944"/>
  <c r="R20" i="7944"/>
  <c r="P17" i="7944"/>
  <c r="Q17" i="7944"/>
  <c r="R17" i="7944"/>
  <c r="Q308" i="7944"/>
  <c r="P214" i="7944"/>
  <c r="R29" i="7944"/>
  <c r="O23" i="7944"/>
  <c r="P23" i="7944"/>
  <c r="O18" i="7944"/>
  <c r="P18" i="7944"/>
  <c r="Q279" i="7944"/>
  <c r="P308" i="7944"/>
  <c r="N17" i="7946"/>
  <c r="Q18" i="7944"/>
  <c r="N27" i="7946"/>
  <c r="P28" i="7944"/>
  <c r="Q28" i="7944"/>
  <c r="R28" i="7944"/>
  <c r="O24" i="7944"/>
  <c r="P24" i="7944"/>
  <c r="N26" i="7944"/>
  <c r="O26" i="7944"/>
  <c r="O214" i="7944"/>
  <c r="Q23" i="7944"/>
  <c r="R23" i="7944"/>
  <c r="P26" i="7944"/>
  <c r="Q26" i="7944"/>
  <c r="R26" i="7944"/>
  <c r="Q214" i="7944"/>
  <c r="Q24" i="7944"/>
  <c r="R24" i="7944"/>
  <c r="R18" i="7944"/>
  <c r="L177" i="1"/>
  <c r="L181" i="1"/>
  <c r="H167" i="7947"/>
  <c r="L182" i="1"/>
  <c r="H172" i="7947"/>
  <c r="H157" i="7947"/>
  <c r="H152" i="7947"/>
  <c r="H142" i="7947"/>
  <c r="L71" i="1"/>
  <c r="H162" i="7947"/>
  <c r="L178" i="1"/>
  <c r="L246" i="1"/>
  <c r="L275" i="1" s="1"/>
  <c r="L139" i="1"/>
  <c r="G150" i="1"/>
  <c r="G51" i="7942" s="1"/>
  <c r="H301" i="1"/>
  <c r="G6" i="18"/>
  <c r="G594" i="7942"/>
  <c r="G860" i="18" s="1"/>
  <c r="G590" i="7941" s="1"/>
  <c r="C192" i="7947"/>
  <c r="H303" i="1"/>
  <c r="H162" i="1"/>
  <c r="H167" i="1"/>
  <c r="H296" i="1"/>
  <c r="H171" i="1"/>
  <c r="H290" i="1"/>
  <c r="H298" i="1"/>
  <c r="H159" i="1"/>
  <c r="H294" i="1"/>
  <c r="G13" i="7942"/>
  <c r="G768" i="18"/>
  <c r="H300" i="1"/>
  <c r="G625" i="7942"/>
  <c r="G599" i="18" s="1"/>
  <c r="G137" i="7941" s="1"/>
  <c r="H216" i="1"/>
  <c r="I213" i="1"/>
  <c r="J211" i="1"/>
  <c r="G265" i="7947"/>
  <c r="I265" i="7947" s="1"/>
  <c r="C39" i="7947"/>
  <c r="X146" i="7947"/>
  <c r="V146" i="7947"/>
  <c r="O146" i="7947"/>
  <c r="AD146" i="7947"/>
  <c r="AZ146" i="7947"/>
  <c r="U146" i="7947"/>
  <c r="AC146" i="7947"/>
  <c r="AI146" i="7947"/>
  <c r="Q146" i="7947"/>
  <c r="AP146" i="7947"/>
  <c r="I6" i="18"/>
  <c r="G216" i="1"/>
  <c r="I212" i="1"/>
  <c r="I105" i="1"/>
  <c r="M6" i="18"/>
  <c r="N319" i="1"/>
  <c r="G63" i="7942"/>
  <c r="G215" i="1"/>
  <c r="G105" i="1"/>
  <c r="J214" i="1"/>
  <c r="K213" i="1"/>
  <c r="K105" i="1"/>
  <c r="J315" i="1"/>
  <c r="K315" i="1" s="1"/>
  <c r="L315" i="1" s="1"/>
  <c r="M315" i="1" s="1"/>
  <c r="N315" i="1" s="1"/>
  <c r="O315" i="1" s="1"/>
  <c r="P315" i="1" s="1"/>
  <c r="Q315" i="1" s="1"/>
  <c r="R315" i="1" s="1"/>
  <c r="G12" i="7942"/>
  <c r="G497" i="7942"/>
  <c r="G532" i="7942"/>
  <c r="G501" i="7942"/>
  <c r="G572" i="18"/>
  <c r="G110" i="7941" s="1"/>
  <c r="K167" i="7944"/>
  <c r="P6" i="18"/>
  <c r="L212" i="1"/>
  <c r="L41" i="7944" s="1"/>
  <c r="J27" i="7945" s="1"/>
  <c r="K27" i="7945" s="1"/>
  <c r="I41" i="7944"/>
  <c r="B143" i="7947"/>
  <c r="J166" i="7944" l="1"/>
  <c r="K166" i="7944" s="1"/>
  <c r="L166" i="7944" s="1"/>
  <c r="M166" i="7944" s="1"/>
  <c r="C68" i="7947"/>
  <c r="C80" i="7947"/>
  <c r="C81" i="7947" s="1"/>
  <c r="D79" i="7947" s="1"/>
  <c r="B18" i="7947"/>
  <c r="G794" i="18"/>
  <c r="G524" i="7941" s="1"/>
  <c r="G471" i="18"/>
  <c r="G9" i="7941" s="1"/>
  <c r="G60" i="7942"/>
  <c r="G92" i="7942" s="1"/>
  <c r="G263" i="7947"/>
  <c r="I263" i="7947" s="1"/>
  <c r="G498" i="7942"/>
  <c r="G500" i="7942"/>
  <c r="H500" i="7942" s="1"/>
  <c r="C30" i="7947"/>
  <c r="B32" i="7947" s="1"/>
  <c r="G148" i="1"/>
  <c r="G49" i="7942" s="1"/>
  <c r="G81" i="7942" s="1"/>
  <c r="C27" i="7947"/>
  <c r="G767" i="18"/>
  <c r="G497" i="7941" s="1"/>
  <c r="G766" i="18"/>
  <c r="G496" i="7941" s="1"/>
  <c r="I136" i="7947"/>
  <c r="L44" i="7944"/>
  <c r="J69" i="7945" s="1"/>
  <c r="K69" i="7945" s="1"/>
  <c r="G603" i="18"/>
  <c r="G141" i="7941" s="1"/>
  <c r="G895" i="18"/>
  <c r="G625" i="7941" s="1"/>
  <c r="O130" i="7944"/>
  <c r="P130" i="7944" s="1"/>
  <c r="J37" i="1"/>
  <c r="AH146" i="7947"/>
  <c r="AG146" i="7947"/>
  <c r="BC146" i="7947"/>
  <c r="S146" i="7947"/>
  <c r="C92" i="7947"/>
  <c r="C93" i="7947" s="1"/>
  <c r="D91" i="7947" s="1"/>
  <c r="E56" i="7947" s="1"/>
  <c r="G472" i="18"/>
  <c r="G10" i="7941" s="1"/>
  <c r="J261" i="7947"/>
  <c r="C146" i="7947"/>
  <c r="L167" i="7944"/>
  <c r="M167" i="7944" s="1"/>
  <c r="J47" i="7944"/>
  <c r="G259" i="7947"/>
  <c r="I259" i="7947" s="1"/>
  <c r="G65" i="7942"/>
  <c r="G97" i="7942" s="1"/>
  <c r="G52" i="7942"/>
  <c r="G84" i="7942" s="1"/>
  <c r="J88" i="7944"/>
  <c r="K88" i="7944" s="1"/>
  <c r="L88" i="7944" s="1"/>
  <c r="B85" i="7947"/>
  <c r="AY146" i="7947"/>
  <c r="AW146" i="7947"/>
  <c r="R146" i="7947"/>
  <c r="BB146" i="7947"/>
  <c r="BE146" i="7947"/>
  <c r="AF146" i="7947"/>
  <c r="N146" i="7947"/>
  <c r="W146" i="7947"/>
  <c r="Y146" i="7947"/>
  <c r="G533" i="7942"/>
  <c r="G799" i="18" s="1"/>
  <c r="G529" i="7941" s="1"/>
  <c r="T146" i="7947"/>
  <c r="BA146" i="7947"/>
  <c r="AU146" i="7947"/>
  <c r="C161" i="7947"/>
  <c r="C163" i="7947" s="1"/>
  <c r="D160" i="7947" s="1"/>
  <c r="D161" i="7947" s="1"/>
  <c r="D163" i="7947" s="1"/>
  <c r="E160" i="7947" s="1"/>
  <c r="E161" i="7947" s="1"/>
  <c r="AX146" i="7947"/>
  <c r="P146" i="7947"/>
  <c r="AT146" i="7947"/>
  <c r="AJ146" i="7947"/>
  <c r="Z146" i="7947"/>
  <c r="G502" i="7942"/>
  <c r="G495" i="7942" s="1"/>
  <c r="BD146" i="7947"/>
  <c r="C217" i="7947"/>
  <c r="B220" i="7947" s="1"/>
  <c r="I146" i="7947"/>
  <c r="G146" i="7947"/>
  <c r="D204" i="7947"/>
  <c r="E204" i="7947" s="1"/>
  <c r="F204" i="7947" s="1"/>
  <c r="G204" i="7947" s="1"/>
  <c r="B118" i="7947"/>
  <c r="AO146" i="7947"/>
  <c r="AA146" i="7947"/>
  <c r="AE146" i="7947"/>
  <c r="AK146" i="7947"/>
  <c r="AN146" i="7947"/>
  <c r="AV146" i="7947"/>
  <c r="AB146" i="7947"/>
  <c r="AQ146" i="7947"/>
  <c r="D111" i="7947"/>
  <c r="AR146" i="7947"/>
  <c r="I167" i="18"/>
  <c r="E146" i="7947"/>
  <c r="O314" i="1"/>
  <c r="P314" i="1" s="1"/>
  <c r="Q314" i="1" s="1"/>
  <c r="R314" i="1" s="1"/>
  <c r="G263" i="7942"/>
  <c r="G402" i="7942"/>
  <c r="G265" i="7942"/>
  <c r="G261" i="7942"/>
  <c r="G249" i="7942"/>
  <c r="G821" i="18"/>
  <c r="G551" i="7941" s="1"/>
  <c r="G400" i="7942"/>
  <c r="G239" i="7942"/>
  <c r="G238" i="7942"/>
  <c r="G835" i="18"/>
  <c r="G565" i="7941" s="1"/>
  <c r="G830" i="18"/>
  <c r="G560" i="7941" s="1"/>
  <c r="G250" i="7942"/>
  <c r="G905" i="18"/>
  <c r="G635" i="7941" s="1"/>
  <c r="G883" i="18"/>
  <c r="G613" i="7941" s="1"/>
  <c r="G568" i="18"/>
  <c r="G106" i="7941" s="1"/>
  <c r="G264" i="7942"/>
  <c r="G260" i="7942"/>
  <c r="G252" i="7942"/>
  <c r="G403" i="7942"/>
  <c r="G237" i="7942"/>
  <c r="G901" i="18"/>
  <c r="G631" i="7941" s="1"/>
  <c r="G804" i="18"/>
  <c r="G534" i="7941" s="1"/>
  <c r="G627" i="18"/>
  <c r="G165" i="7941" s="1"/>
  <c r="G619" i="18"/>
  <c r="G157" i="7941" s="1"/>
  <c r="G913" i="18"/>
  <c r="G643" i="7941" s="1"/>
  <c r="G875" i="18"/>
  <c r="G605" i="7941" s="1"/>
  <c r="G902" i="18"/>
  <c r="G632" i="7941" s="1"/>
  <c r="G241" i="7942"/>
  <c r="G172" i="7942"/>
  <c r="H508" i="7942"/>
  <c r="H232" i="18" s="1"/>
  <c r="H244" i="18" s="1"/>
  <c r="G687" i="7942"/>
  <c r="G848" i="18"/>
  <c r="G578" i="7941" s="1"/>
  <c r="G840" i="18"/>
  <c r="G570" i="7941" s="1"/>
  <c r="G537" i="18"/>
  <c r="G75" i="7941" s="1"/>
  <c r="G557" i="18"/>
  <c r="G95" i="7941" s="1"/>
  <c r="G584" i="18"/>
  <c r="G122" i="7941" s="1"/>
  <c r="G243" i="7942"/>
  <c r="H504" i="7942"/>
  <c r="H180" i="18" s="1"/>
  <c r="H192" i="18" s="1"/>
  <c r="G887" i="18"/>
  <c r="G617" i="7941" s="1"/>
  <c r="G852" i="18"/>
  <c r="G582" i="7941" s="1"/>
  <c r="G817" i="18"/>
  <c r="G547" i="7941" s="1"/>
  <c r="G879" i="18"/>
  <c r="G609" i="7941" s="1"/>
  <c r="G844" i="18"/>
  <c r="G574" i="7941" s="1"/>
  <c r="G809" i="18"/>
  <c r="G539" i="7941" s="1"/>
  <c r="G871" i="18"/>
  <c r="G601" i="7941" s="1"/>
  <c r="G870" i="18"/>
  <c r="G600" i="7941" s="1"/>
  <c r="G803" i="18"/>
  <c r="G533" i="7941" s="1"/>
  <c r="G801" i="18"/>
  <c r="G531" i="7941" s="1"/>
  <c r="H505" i="7942"/>
  <c r="H193" i="18" s="1"/>
  <c r="I193" i="18" s="1"/>
  <c r="J193" i="18" s="1"/>
  <c r="G886" i="18"/>
  <c r="G616" i="7941" s="1"/>
  <c r="G851" i="18"/>
  <c r="G581" i="7941" s="1"/>
  <c r="G878" i="18"/>
  <c r="G608" i="7941" s="1"/>
  <c r="G843" i="18"/>
  <c r="G573" i="7941" s="1"/>
  <c r="G592" i="18"/>
  <c r="G130" i="7941" s="1"/>
  <c r="G549" i="18"/>
  <c r="G87" i="7941" s="1"/>
  <c r="G399" i="7942"/>
  <c r="G251" i="7942"/>
  <c r="G415" i="7942"/>
  <c r="G411" i="7942"/>
  <c r="G417" i="7942"/>
  <c r="G413" i="7942"/>
  <c r="G409" i="7942"/>
  <c r="G247" i="7942"/>
  <c r="G406" i="7942"/>
  <c r="H509" i="7942"/>
  <c r="H245" i="18" s="1"/>
  <c r="H257" i="18" s="1"/>
  <c r="G855" i="18"/>
  <c r="G585" i="7941" s="1"/>
  <c r="G917" i="18"/>
  <c r="G647" i="7941" s="1"/>
  <c r="G882" i="18"/>
  <c r="G612" i="7941" s="1"/>
  <c r="G847" i="18"/>
  <c r="G577" i="7941" s="1"/>
  <c r="G909" i="18"/>
  <c r="G639" i="7941" s="1"/>
  <c r="G874" i="18"/>
  <c r="G604" i="7941" s="1"/>
  <c r="G839" i="18"/>
  <c r="G569" i="7941" s="1"/>
  <c r="G836" i="18"/>
  <c r="G566" i="7941" s="1"/>
  <c r="G834" i="18"/>
  <c r="G564" i="7941" s="1"/>
  <c r="G561" i="18"/>
  <c r="G99" i="7941" s="1"/>
  <c r="G623" i="18"/>
  <c r="G161" i="7941" s="1"/>
  <c r="G588" i="18"/>
  <c r="G126" i="7941" s="1"/>
  <c r="G553" i="18"/>
  <c r="G91" i="7941" s="1"/>
  <c r="G615" i="18"/>
  <c r="G153" i="7941" s="1"/>
  <c r="G580" i="18"/>
  <c r="G118" i="7941" s="1"/>
  <c r="G514" i="18"/>
  <c r="G52" i="7941" s="1"/>
  <c r="G608" i="18"/>
  <c r="G146" i="7941" s="1"/>
  <c r="G244" i="7941" s="1"/>
  <c r="G255" i="7942"/>
  <c r="G410" i="7942"/>
  <c r="G885" i="18"/>
  <c r="G615" i="7941" s="1"/>
  <c r="G593" i="18"/>
  <c r="G131" i="7941" s="1"/>
  <c r="G877" i="18"/>
  <c r="G607" i="7941" s="1"/>
  <c r="G585" i="18"/>
  <c r="G123" i="7941" s="1"/>
  <c r="G897" i="18"/>
  <c r="G627" i="7941" s="1"/>
  <c r="G240" i="7942"/>
  <c r="G204" i="7942"/>
  <c r="G242" i="7942"/>
  <c r="G549" i="7941"/>
  <c r="G545" i="7941"/>
  <c r="H507" i="7942"/>
  <c r="H219" i="18" s="1"/>
  <c r="H231" i="18" s="1"/>
  <c r="G918" i="18"/>
  <c r="G648" i="7941" s="1"/>
  <c r="G914" i="18"/>
  <c r="G644" i="7941" s="1"/>
  <c r="G910" i="18"/>
  <c r="G640" i="7941" s="1"/>
  <c r="G543" i="7941"/>
  <c r="G906" i="18"/>
  <c r="G636" i="7941" s="1"/>
  <c r="G805" i="18"/>
  <c r="G535" i="7941" s="1"/>
  <c r="H503" i="7941" s="1"/>
  <c r="G866" i="18"/>
  <c r="G596" i="7941" s="1"/>
  <c r="G530" i="18"/>
  <c r="G68" i="7941" s="1"/>
  <c r="G526" i="18"/>
  <c r="G64" i="7941" s="1"/>
  <c r="G522" i="18"/>
  <c r="G60" i="7941" s="1"/>
  <c r="G518" i="18"/>
  <c r="G56" i="7941" s="1"/>
  <c r="G365" i="7942"/>
  <c r="G398" i="7942"/>
  <c r="G894" i="18"/>
  <c r="G624" i="7941" s="1"/>
  <c r="G602" i="18"/>
  <c r="G140" i="7941" s="1"/>
  <c r="G259" i="7942"/>
  <c r="G333" i="7942"/>
  <c r="G248" i="7942"/>
  <c r="G881" i="18"/>
  <c r="G611" i="7941" s="1"/>
  <c r="G589" i="18"/>
  <c r="G127" i="7941" s="1"/>
  <c r="G544" i="7941"/>
  <c r="G873" i="18"/>
  <c r="G603" i="7941" s="1"/>
  <c r="G581" i="18"/>
  <c r="G119" i="7941" s="1"/>
  <c r="G575" i="18"/>
  <c r="G113" i="7941" s="1"/>
  <c r="G867" i="18"/>
  <c r="G597" i="7941" s="1"/>
  <c r="G630" i="18"/>
  <c r="G168" i="7941" s="1"/>
  <c r="G655" i="7942"/>
  <c r="G611" i="18"/>
  <c r="G149" i="7941" s="1"/>
  <c r="G545" i="18"/>
  <c r="G83" i="7941" s="1"/>
  <c r="G540" i="18"/>
  <c r="G78" i="7941" s="1"/>
  <c r="G832" i="18"/>
  <c r="G562" i="7941" s="1"/>
  <c r="G98" i="7942"/>
  <c r="G865" i="18"/>
  <c r="G595" i="7941" s="1"/>
  <c r="G573" i="18"/>
  <c r="G111" i="7941" s="1"/>
  <c r="H503" i="7942"/>
  <c r="H524" i="7942"/>
  <c r="H440" i="18" s="1"/>
  <c r="G916" i="18"/>
  <c r="G646" i="7941" s="1"/>
  <c r="G624" i="18"/>
  <c r="G162" i="7941" s="1"/>
  <c r="H522" i="7942"/>
  <c r="H414" i="18" s="1"/>
  <c r="H426" i="18" s="1"/>
  <c r="H520" i="7942"/>
  <c r="H388" i="18" s="1"/>
  <c r="H400" i="18" s="1"/>
  <c r="G912" i="18"/>
  <c r="G642" i="7941" s="1"/>
  <c r="G620" i="18"/>
  <c r="G158" i="7941" s="1"/>
  <c r="H518" i="7942"/>
  <c r="H362" i="18" s="1"/>
  <c r="H374" i="18" s="1"/>
  <c r="H516" i="7942"/>
  <c r="H336" i="18" s="1"/>
  <c r="I336" i="18" s="1"/>
  <c r="J336" i="18" s="1"/>
  <c r="G908" i="18"/>
  <c r="G638" i="7941" s="1"/>
  <c r="G616" i="18"/>
  <c r="G154" i="7941" s="1"/>
  <c r="H514" i="7942"/>
  <c r="H310" i="18" s="1"/>
  <c r="H322" i="18" s="1"/>
  <c r="H512" i="7942"/>
  <c r="H284" i="18" s="1"/>
  <c r="H296" i="18" s="1"/>
  <c r="G904" i="18"/>
  <c r="G634" i="7941" s="1"/>
  <c r="G612" i="18"/>
  <c r="G150" i="7941" s="1"/>
  <c r="H510" i="7942"/>
  <c r="H258" i="18" s="1"/>
  <c r="I258" i="18" s="1"/>
  <c r="G838" i="18"/>
  <c r="G568" i="7941" s="1"/>
  <c r="G546" i="18"/>
  <c r="G820" i="18"/>
  <c r="G816" i="18"/>
  <c r="G812" i="18"/>
  <c r="G542" i="7941" s="1"/>
  <c r="G808" i="18"/>
  <c r="G538" i="7941" s="1"/>
  <c r="G868" i="18"/>
  <c r="G598" i="7941" s="1"/>
  <c r="G95" i="7942"/>
  <c r="G83" i="7942"/>
  <c r="H525" i="7942"/>
  <c r="H453" i="18" s="1"/>
  <c r="H465" i="18" s="1"/>
  <c r="H523" i="7942"/>
  <c r="H427" i="18" s="1"/>
  <c r="H439" i="18" s="1"/>
  <c r="H521" i="7942"/>
  <c r="H401" i="18" s="1"/>
  <c r="H413" i="18" s="1"/>
  <c r="H519" i="7942"/>
  <c r="H375" i="18" s="1"/>
  <c r="H387" i="18" s="1"/>
  <c r="H517" i="7942"/>
  <c r="H349" i="18" s="1"/>
  <c r="H361" i="18" s="1"/>
  <c r="H515" i="7942"/>
  <c r="H323" i="18" s="1"/>
  <c r="H513" i="7942"/>
  <c r="H297" i="18" s="1"/>
  <c r="I297" i="18" s="1"/>
  <c r="H511" i="7942"/>
  <c r="H271" i="18" s="1"/>
  <c r="H283" i="18" s="1"/>
  <c r="G898" i="18"/>
  <c r="G628" i="7941" s="1"/>
  <c r="G833" i="18"/>
  <c r="G563" i="7941" s="1"/>
  <c r="G531" i="18"/>
  <c r="G69" i="7941" s="1"/>
  <c r="G562" i="18"/>
  <c r="G100" i="7941" s="1"/>
  <c r="G527" i="18"/>
  <c r="G65" i="7941" s="1"/>
  <c r="G558" i="18"/>
  <c r="G96" i="7941" s="1"/>
  <c r="G523" i="18"/>
  <c r="G61" i="7941" s="1"/>
  <c r="G554" i="18"/>
  <c r="G92" i="7941" s="1"/>
  <c r="G519" i="18"/>
  <c r="G57" i="7941" s="1"/>
  <c r="G550" i="18"/>
  <c r="G88" i="7941" s="1"/>
  <c r="G515" i="18"/>
  <c r="G53" i="7941" s="1"/>
  <c r="G577" i="18"/>
  <c r="G115" i="7941" s="1"/>
  <c r="G607" i="18"/>
  <c r="G145" i="7941" s="1"/>
  <c r="H506" i="7942"/>
  <c r="H206" i="18" s="1"/>
  <c r="H218" i="18" s="1"/>
  <c r="G802" i="18"/>
  <c r="G532" i="7941" s="1"/>
  <c r="G600" i="18"/>
  <c r="G138" i="7941" s="1"/>
  <c r="G199" i="7941"/>
  <c r="G651" i="7941"/>
  <c r="H167" i="18"/>
  <c r="H179" i="18" s="1"/>
  <c r="H963" i="18" s="1"/>
  <c r="G34" i="7941"/>
  <c r="G30" i="7941"/>
  <c r="G26" i="7941"/>
  <c r="G22" i="7941"/>
  <c r="J3" i="18"/>
  <c r="K3" i="18" s="1"/>
  <c r="L3" i="18" s="1"/>
  <c r="M3" i="18" s="1"/>
  <c r="G37" i="7941"/>
  <c r="G33" i="7941"/>
  <c r="G29" i="7941"/>
  <c r="G25" i="7941"/>
  <c r="G24" i="7941"/>
  <c r="G35" i="7941"/>
  <c r="H497" i="18"/>
  <c r="G31" i="7941"/>
  <c r="G27" i="7941"/>
  <c r="G23" i="7941"/>
  <c r="G998" i="18"/>
  <c r="G921" i="18"/>
  <c r="G661" i="18"/>
  <c r="L167" i="18"/>
  <c r="G750" i="18"/>
  <c r="G718" i="18" s="1"/>
  <c r="G756" i="18"/>
  <c r="G752" i="18"/>
  <c r="G1010" i="18"/>
  <c r="G32" i="7941"/>
  <c r="G28" i="7941"/>
  <c r="G743" i="18"/>
  <c r="G1009" i="18"/>
  <c r="G741" i="18"/>
  <c r="G709" i="18" s="1"/>
  <c r="H478" i="18"/>
  <c r="H736" i="18" s="1"/>
  <c r="G36" i="7941"/>
  <c r="G1003" i="18"/>
  <c r="G971" i="18" s="1"/>
  <c r="G753" i="18"/>
  <c r="G721" i="18" s="1"/>
  <c r="N393" i="7941"/>
  <c r="H480" i="18"/>
  <c r="H738" i="18" s="1"/>
  <c r="G197" i="7941"/>
  <c r="G184" i="7941"/>
  <c r="G754" i="18"/>
  <c r="G722" i="18" s="1"/>
  <c r="G742" i="18"/>
  <c r="G710" i="18" s="1"/>
  <c r="G751" i="18"/>
  <c r="G1015" i="18"/>
  <c r="G983" i="18" s="1"/>
  <c r="G1011" i="18"/>
  <c r="G979" i="18" s="1"/>
  <c r="G1007" i="18"/>
  <c r="G975" i="18" s="1"/>
  <c r="G1014" i="18"/>
  <c r="G1006" i="18"/>
  <c r="G744" i="18"/>
  <c r="K241" i="1"/>
  <c r="G241" i="1"/>
  <c r="I241" i="1"/>
  <c r="J241" i="1"/>
  <c r="G571" i="18"/>
  <c r="G109" i="7941" s="1"/>
  <c r="G863" i="18"/>
  <c r="G593" i="7941" s="1"/>
  <c r="L168" i="7944"/>
  <c r="M168" i="7944" s="1"/>
  <c r="K47" i="7944"/>
  <c r="I142" i="7947"/>
  <c r="I182" i="7947" s="1"/>
  <c r="C166" i="7947"/>
  <c r="C168" i="7947" s="1"/>
  <c r="D165" i="7947" s="1"/>
  <c r="D166" i="7947" s="1"/>
  <c r="D168" i="7947" s="1"/>
  <c r="E165" i="7947" s="1"/>
  <c r="G891" i="18"/>
  <c r="G621" i="7941" s="1"/>
  <c r="J108" i="7945"/>
  <c r="K108" i="7945" s="1"/>
  <c r="G503" i="18"/>
  <c r="G41" i="7941" s="1"/>
  <c r="G831" i="18"/>
  <c r="J316" i="1"/>
  <c r="G733" i="18"/>
  <c r="G701" i="18" s="1"/>
  <c r="O319" i="1"/>
  <c r="N7" i="7942" s="1"/>
  <c r="G147" i="1"/>
  <c r="G48" i="7942" s="1"/>
  <c r="N166" i="7944"/>
  <c r="O166" i="7944" s="1"/>
  <c r="K89" i="7944"/>
  <c r="H13" i="7944"/>
  <c r="K42" i="7944"/>
  <c r="G286" i="1"/>
  <c r="L155" i="7944"/>
  <c r="M155" i="7944" s="1"/>
  <c r="D219" i="7947"/>
  <c r="D205" i="7947"/>
  <c r="G999" i="18"/>
  <c r="G967" i="18" s="1"/>
  <c r="G737" i="18"/>
  <c r="G705" i="18" s="1"/>
  <c r="G991" i="18"/>
  <c r="G959" i="18" s="1"/>
  <c r="G990" i="18"/>
  <c r="G995" i="18"/>
  <c r="G1012" i="18"/>
  <c r="G980" i="18" s="1"/>
  <c r="G1004" i="18"/>
  <c r="G972" i="18" s="1"/>
  <c r="G988" i="18"/>
  <c r="G1000" i="18"/>
  <c r="G1016" i="18"/>
  <c r="G984" i="18" s="1"/>
  <c r="G1005" i="18"/>
  <c r="G996" i="18"/>
  <c r="G746" i="18"/>
  <c r="G714" i="18" s="1"/>
  <c r="G1013" i="18"/>
  <c r="G997" i="18"/>
  <c r="G965" i="18" s="1"/>
  <c r="G1002" i="18"/>
  <c r="G745" i="18"/>
  <c r="G713" i="18" s="1"/>
  <c r="G747" i="18"/>
  <c r="G735" i="18"/>
  <c r="G703" i="18" s="1"/>
  <c r="G739" i="18"/>
  <c r="G740" i="18"/>
  <c r="G755" i="18"/>
  <c r="G748" i="18"/>
  <c r="G734" i="18"/>
  <c r="G1008" i="18"/>
  <c r="G976" i="18" s="1"/>
  <c r="G1001" i="18"/>
  <c r="G738" i="18"/>
  <c r="G706" i="18" s="1"/>
  <c r="G736" i="18"/>
  <c r="G704" i="18" s="1"/>
  <c r="G1017" i="18"/>
  <c r="G749" i="18"/>
  <c r="G717" i="18" s="1"/>
  <c r="G728" i="18"/>
  <c r="G696" i="18" s="1"/>
  <c r="G989" i="18"/>
  <c r="G757" i="18"/>
  <c r="G725" i="18" s="1"/>
  <c r="H168" i="1"/>
  <c r="H37" i="18" s="1"/>
  <c r="H299" i="1"/>
  <c r="I338" i="18" s="1"/>
  <c r="H302" i="1"/>
  <c r="H67" i="18" s="1"/>
  <c r="H164" i="1"/>
  <c r="H33" i="18" s="1"/>
  <c r="H163" i="1"/>
  <c r="H32" i="18" s="1"/>
  <c r="H155" i="1"/>
  <c r="H24" i="18" s="1"/>
  <c r="H295" i="1"/>
  <c r="H288" i="1"/>
  <c r="I195" i="18" s="1"/>
  <c r="H304" i="1"/>
  <c r="I403" i="18" s="1"/>
  <c r="J403" i="18" s="1"/>
  <c r="H287" i="1"/>
  <c r="I182" i="18" s="1"/>
  <c r="H289" i="1"/>
  <c r="H54" i="18" s="1"/>
  <c r="H172" i="1"/>
  <c r="H41" i="18" s="1"/>
  <c r="H160" i="1"/>
  <c r="H29" i="18" s="1"/>
  <c r="H305" i="1"/>
  <c r="H70" i="18" s="1"/>
  <c r="H161" i="1"/>
  <c r="H30" i="18" s="1"/>
  <c r="H151" i="1"/>
  <c r="H20" i="18" s="1"/>
  <c r="H291" i="1"/>
  <c r="H56" i="18" s="1"/>
  <c r="H158" i="1"/>
  <c r="H27" i="18" s="1"/>
  <c r="H307" i="1"/>
  <c r="H72" i="18" s="1"/>
  <c r="H7" i="18"/>
  <c r="H297" i="1"/>
  <c r="H62" i="18" s="1"/>
  <c r="H169" i="1"/>
  <c r="H38" i="18" s="1"/>
  <c r="H306" i="1"/>
  <c r="H71" i="18" s="1"/>
  <c r="H166" i="1"/>
  <c r="H35" i="18" s="1"/>
  <c r="H525" i="18" s="1"/>
  <c r="H63" i="7941" s="1"/>
  <c r="H293" i="1"/>
  <c r="H156" i="1"/>
  <c r="H25" i="18" s="1"/>
  <c r="C122" i="7947"/>
  <c r="H308" i="1"/>
  <c r="H73" i="18" s="1"/>
  <c r="H292" i="1"/>
  <c r="H152" i="1"/>
  <c r="H21" i="18" s="1"/>
  <c r="H157" i="1"/>
  <c r="H26" i="18" s="1"/>
  <c r="H170" i="1"/>
  <c r="H39" i="18" s="1"/>
  <c r="H529" i="18" s="1"/>
  <c r="H67" i="7941" s="1"/>
  <c r="H153" i="1"/>
  <c r="H22" i="18" s="1"/>
  <c r="H165" i="1"/>
  <c r="H34" i="18" s="1"/>
  <c r="I147" i="1"/>
  <c r="I16" i="18" s="1"/>
  <c r="H143" i="1"/>
  <c r="H12" i="18" s="1"/>
  <c r="I280" i="1"/>
  <c r="J41" i="7944"/>
  <c r="H146" i="1"/>
  <c r="H15" i="18" s="1"/>
  <c r="I143" i="1"/>
  <c r="I12" i="18" s="1"/>
  <c r="G181" i="1"/>
  <c r="G283" i="1" s="1"/>
  <c r="H177" i="1"/>
  <c r="H40" i="7944" s="1"/>
  <c r="I181" i="1"/>
  <c r="E136" i="7947"/>
  <c r="K41" i="7944"/>
  <c r="L90" i="7944"/>
  <c r="M90" i="7944" s="1"/>
  <c r="L103" i="7944"/>
  <c r="M103" i="7944" s="1"/>
  <c r="H180" i="1"/>
  <c r="H43" i="7944" s="1"/>
  <c r="K182" i="1"/>
  <c r="I177" i="1"/>
  <c r="I40" i="7944" s="1"/>
  <c r="C182" i="7947"/>
  <c r="C226" i="7947" s="1"/>
  <c r="D136" i="7947"/>
  <c r="J179" i="1"/>
  <c r="K102" i="7944" s="1"/>
  <c r="B173" i="7947"/>
  <c r="C171" i="7947"/>
  <c r="C173" i="7947" s="1"/>
  <c r="D170" i="7947" s="1"/>
  <c r="K316" i="1"/>
  <c r="L316" i="1" s="1"/>
  <c r="M316" i="1" s="1"/>
  <c r="N316" i="1" s="1"/>
  <c r="O316" i="1" s="1"/>
  <c r="P316" i="1" s="1"/>
  <c r="Q316" i="1" s="1"/>
  <c r="R316" i="1" s="1"/>
  <c r="B89" i="7947"/>
  <c r="C88" i="7947"/>
  <c r="C89" i="7947" s="1"/>
  <c r="D87" i="7947" s="1"/>
  <c r="G71" i="1"/>
  <c r="G178" i="1"/>
  <c r="G144" i="1"/>
  <c r="G45" i="7942" s="1"/>
  <c r="G77" i="7942" s="1"/>
  <c r="G146" i="1"/>
  <c r="G47" i="7942" s="1"/>
  <c r="G180" i="1"/>
  <c r="G282" i="1" s="1"/>
  <c r="G992" i="18"/>
  <c r="G506" i="18"/>
  <c r="G44" i="7941" s="1"/>
  <c r="G798" i="18"/>
  <c r="G528" i="7941" s="1"/>
  <c r="G498" i="7941"/>
  <c r="G994" i="18"/>
  <c r="H148" i="1"/>
  <c r="H17" i="18" s="1"/>
  <c r="H182" i="1"/>
  <c r="G598" i="18"/>
  <c r="G890" i="18"/>
  <c r="G620" i="7941" s="1"/>
  <c r="G623" i="7942"/>
  <c r="H496" i="7942"/>
  <c r="G136" i="7947"/>
  <c r="G142" i="7947"/>
  <c r="G182" i="7947" s="1"/>
  <c r="K115" i="7944"/>
  <c r="J43" i="7944"/>
  <c r="L217" i="1"/>
  <c r="L241" i="1" s="1"/>
  <c r="L105" i="1"/>
  <c r="H251" i="1"/>
  <c r="H147" i="1"/>
  <c r="H16" i="18" s="1"/>
  <c r="H181" i="1"/>
  <c r="H178" i="1"/>
  <c r="H144" i="1"/>
  <c r="H13" i="18" s="1"/>
  <c r="C218" i="7947"/>
  <c r="D80" i="7947"/>
  <c r="D81" i="7947" s="1"/>
  <c r="E79" i="7947" s="1"/>
  <c r="E53" i="7947"/>
  <c r="G536" i="18"/>
  <c r="G74" i="7941" s="1"/>
  <c r="G828" i="18"/>
  <c r="K7" i="7942"/>
  <c r="I299" i="18"/>
  <c r="I351" i="18"/>
  <c r="I455" i="18"/>
  <c r="I221" i="18"/>
  <c r="I364" i="18"/>
  <c r="H23" i="18"/>
  <c r="H59" i="18"/>
  <c r="H55" i="18"/>
  <c r="I273" i="18"/>
  <c r="H28" i="18"/>
  <c r="H7" i="7942"/>
  <c r="H466" i="7942" s="1"/>
  <c r="H66" i="18"/>
  <c r="H61" i="18"/>
  <c r="H36" i="18"/>
  <c r="H68" i="18"/>
  <c r="I325" i="18"/>
  <c r="J325" i="18" s="1"/>
  <c r="H65" i="18"/>
  <c r="G566" i="18"/>
  <c r="G858" i="18"/>
  <c r="B77" i="7947"/>
  <c r="G143" i="1"/>
  <c r="G139" i="1"/>
  <c r="G245" i="1"/>
  <c r="G275" i="1" s="1"/>
  <c r="H40" i="18"/>
  <c r="H31" i="18"/>
  <c r="J251" i="1"/>
  <c r="H145" i="1"/>
  <c r="H14" i="18" s="1"/>
  <c r="H247" i="1"/>
  <c r="H281" i="1" s="1"/>
  <c r="H46" i="18" s="1"/>
  <c r="H139" i="1"/>
  <c r="C24" i="7947"/>
  <c r="H63" i="18"/>
  <c r="L43" i="7944"/>
  <c r="J55" i="7945" s="1"/>
  <c r="K55" i="7945" s="1"/>
  <c r="L89" i="7944"/>
  <c r="J139" i="1"/>
  <c r="H8" i="7944"/>
  <c r="G729" i="18"/>
  <c r="M78" i="7944"/>
  <c r="L40" i="7944"/>
  <c r="L42" i="7944"/>
  <c r="J41" i="7945" s="1"/>
  <c r="K41" i="7945" s="1"/>
  <c r="G12" i="7941"/>
  <c r="G732" i="18"/>
  <c r="G700" i="18" s="1"/>
  <c r="J42" i="7944"/>
  <c r="F50" i="7945"/>
  <c r="D114" i="7947"/>
  <c r="D202" i="7947"/>
  <c r="G826" i="18"/>
  <c r="G493" i="7941"/>
  <c r="Q37" i="1"/>
  <c r="G593" i="7942"/>
  <c r="G591" i="7942" s="1"/>
  <c r="C63" i="7947"/>
  <c r="B59" i="7947"/>
  <c r="B148" i="7947"/>
  <c r="C148" i="7947"/>
  <c r="D145" i="7947" s="1"/>
  <c r="C180" i="7947"/>
  <c r="I146" i="1"/>
  <c r="I15" i="18" s="1"/>
  <c r="I180" i="1"/>
  <c r="G72" i="7941"/>
  <c r="M104" i="7944"/>
  <c r="D146" i="7947"/>
  <c r="D182" i="7947"/>
  <c r="G896" i="18"/>
  <c r="G626" i="7941" s="1"/>
  <c r="H136" i="7947"/>
  <c r="H147" i="7947"/>
  <c r="F22" i="7945"/>
  <c r="G531" i="7942"/>
  <c r="G15" i="7942"/>
  <c r="M37" i="1"/>
  <c r="G601" i="18"/>
  <c r="G139" i="7941" s="1"/>
  <c r="G893" i="18"/>
  <c r="G623" i="7941" s="1"/>
  <c r="G534" i="7942"/>
  <c r="G72" i="7942"/>
  <c r="G104" i="7942" s="1"/>
  <c r="G55" i="7942"/>
  <c r="G87" i="7942" s="1"/>
  <c r="G59" i="7942"/>
  <c r="G91" i="7942" s="1"/>
  <c r="G70" i="7942"/>
  <c r="G102" i="7942" s="1"/>
  <c r="G54" i="7942"/>
  <c r="G86" i="7942" s="1"/>
  <c r="G56" i="7942"/>
  <c r="G88" i="7942" s="1"/>
  <c r="G68" i="7942"/>
  <c r="G100" i="7942" s="1"/>
  <c r="G64" i="7942"/>
  <c r="G96" i="7942" s="1"/>
  <c r="G57" i="7942"/>
  <c r="G89" i="7942" s="1"/>
  <c r="G73" i="7942"/>
  <c r="G105" i="7942" s="1"/>
  <c r="G71" i="7942"/>
  <c r="G103" i="7942" s="1"/>
  <c r="G58" i="7942"/>
  <c r="G90" i="7942" s="1"/>
  <c r="G69" i="7942"/>
  <c r="G101" i="7942" s="1"/>
  <c r="G62" i="7942"/>
  <c r="G94" i="7942" s="1"/>
  <c r="G67" i="7942"/>
  <c r="G99" i="7942" s="1"/>
  <c r="G53" i="7942"/>
  <c r="G85" i="7942" s="1"/>
  <c r="G61" i="7942"/>
  <c r="G93" i="7942" s="1"/>
  <c r="B36" i="7947"/>
  <c r="C35" i="7947"/>
  <c r="C36" i="7947" s="1"/>
  <c r="D34" i="7947" s="1"/>
  <c r="D35" i="7947" s="1"/>
  <c r="C69" i="7947"/>
  <c r="D67" i="7947" s="1"/>
  <c r="C96" i="7947"/>
  <c r="C97" i="7947" s="1"/>
  <c r="D95" i="7947" s="1"/>
  <c r="B97" i="7947"/>
  <c r="B153" i="7947"/>
  <c r="C151" i="7947"/>
  <c r="C153" i="7947" s="1"/>
  <c r="D150" i="7947" s="1"/>
  <c r="B178" i="7947"/>
  <c r="C176" i="7947"/>
  <c r="C178" i="7947" s="1"/>
  <c r="D175" i="7947" s="1"/>
  <c r="G862" i="18"/>
  <c r="G592" i="7941" s="1"/>
  <c r="G570" i="18"/>
  <c r="G108" i="7941" s="1"/>
  <c r="I390" i="18"/>
  <c r="J182" i="1"/>
  <c r="J181" i="1"/>
  <c r="K248" i="1"/>
  <c r="K177" i="1"/>
  <c r="K71" i="1"/>
  <c r="J177" i="1"/>
  <c r="J71" i="1"/>
  <c r="M7" i="7942"/>
  <c r="M91" i="7944"/>
  <c r="N91" i="7944" s="1"/>
  <c r="L45" i="7944"/>
  <c r="J83" i="7945" s="1"/>
  <c r="K83" i="7945" s="1"/>
  <c r="B101" i="7947"/>
  <c r="C100" i="7947"/>
  <c r="C101" i="7947" s="1"/>
  <c r="D99" i="7947" s="1"/>
  <c r="F136" i="7947"/>
  <c r="F137" i="7947" s="1"/>
  <c r="F152" i="7947"/>
  <c r="F182" i="7947" s="1"/>
  <c r="F146" i="7947"/>
  <c r="I100" i="7944"/>
  <c r="J100" i="7944" s="1"/>
  <c r="H42" i="7944"/>
  <c r="F78" i="7945"/>
  <c r="B265" i="7947"/>
  <c r="C72" i="7947"/>
  <c r="C73" i="7947" s="1"/>
  <c r="D71" i="7947" s="1"/>
  <c r="D72" i="7947" s="1"/>
  <c r="G145" i="1"/>
  <c r="G46" i="7942" s="1"/>
  <c r="G179" i="1"/>
  <c r="J46" i="7944"/>
  <c r="I182" i="1"/>
  <c r="I148" i="1"/>
  <c r="I17" i="18" s="1"/>
  <c r="K246" i="1"/>
  <c r="G149" i="1"/>
  <c r="G50" i="7942" s="1"/>
  <c r="G82" i="7942" s="1"/>
  <c r="M143" i="7944"/>
  <c r="N143" i="7944" s="1"/>
  <c r="K139" i="1"/>
  <c r="M88" i="7944"/>
  <c r="G525" i="7941"/>
  <c r="K154" i="7944"/>
  <c r="G11" i="7941"/>
  <c r="G731" i="18"/>
  <c r="E182" i="7947"/>
  <c r="G183" i="1"/>
  <c r="G285" i="1" s="1"/>
  <c r="M117" i="7944"/>
  <c r="F36" i="7945"/>
  <c r="G861" i="18"/>
  <c r="G591" i="7941" s="1"/>
  <c r="G569" i="18"/>
  <c r="G107" i="7941" s="1"/>
  <c r="H12" i="7944"/>
  <c r="G16" i="7942"/>
  <c r="B40" i="7947"/>
  <c r="C40" i="7947"/>
  <c r="D38" i="7947" s="1"/>
  <c r="I7" i="7942"/>
  <c r="K46" i="7944"/>
  <c r="I149" i="1"/>
  <c r="I18" i="18" s="1"/>
  <c r="I183" i="1"/>
  <c r="K181" i="1"/>
  <c r="I248" i="1"/>
  <c r="I275" i="1" s="1"/>
  <c r="I139" i="1"/>
  <c r="K247" i="1"/>
  <c r="I145" i="1"/>
  <c r="I179" i="1"/>
  <c r="I71" i="1"/>
  <c r="H279" i="1"/>
  <c r="I74" i="7944"/>
  <c r="K43" i="7944"/>
  <c r="L116" i="7944"/>
  <c r="B24" i="7947"/>
  <c r="C136" i="7947"/>
  <c r="G284" i="1"/>
  <c r="H282" i="1"/>
  <c r="H47" i="18" s="1"/>
  <c r="B264" i="7947"/>
  <c r="K167" i="18"/>
  <c r="C76" i="7947"/>
  <c r="C77" i="7947" s="1"/>
  <c r="D75" i="7947" s="1"/>
  <c r="D76" i="7947" s="1"/>
  <c r="C141" i="7947"/>
  <c r="C156" i="7947"/>
  <c r="C158" i="7947" s="1"/>
  <c r="D155" i="7947" s="1"/>
  <c r="D117" i="7947"/>
  <c r="R37" i="1"/>
  <c r="G561" i="7942"/>
  <c r="P37" i="1"/>
  <c r="G530" i="7942"/>
  <c r="H498" i="7942" s="1"/>
  <c r="H102" i="18" s="1"/>
  <c r="G14" i="7942"/>
  <c r="J7" i="7942"/>
  <c r="C85" i="7947"/>
  <c r="D83" i="7947" s="1"/>
  <c r="B28" i="7947"/>
  <c r="C28" i="7947"/>
  <c r="D26" i="7947" s="1"/>
  <c r="L183" i="1"/>
  <c r="L207" i="1" s="1"/>
  <c r="G260" i="7947"/>
  <c r="I260" i="7947" s="1"/>
  <c r="Q393" i="7941"/>
  <c r="G40" i="7941"/>
  <c r="G552" i="7941"/>
  <c r="G637" i="7941"/>
  <c r="G537" i="7941"/>
  <c r="G164" i="7941"/>
  <c r="G47" i="7941"/>
  <c r="G171" i="7941"/>
  <c r="P393" i="7941"/>
  <c r="G553" i="7941"/>
  <c r="G583" i="7941"/>
  <c r="G690" i="7941"/>
  <c r="G548" i="7941"/>
  <c r="G62" i="7941"/>
  <c r="G182" i="7941"/>
  <c r="G54" i="7941"/>
  <c r="G84" i="7941"/>
  <c r="G176" i="7941"/>
  <c r="H16" i="7941" s="1"/>
  <c r="O393" i="7941"/>
  <c r="G196" i="7941"/>
  <c r="G192" i="7941"/>
  <c r="K178" i="7945"/>
  <c r="J187" i="7945"/>
  <c r="K187" i="7945" s="1"/>
  <c r="O19" i="7946" s="1"/>
  <c r="K85" i="7945"/>
  <c r="J257" i="7945"/>
  <c r="K257" i="7945" s="1"/>
  <c r="O24" i="7946" s="1"/>
  <c r="J397" i="7945"/>
  <c r="K397" i="7945" s="1"/>
  <c r="O34" i="7946" s="1"/>
  <c r="J327" i="7945"/>
  <c r="K327" i="7945" s="1"/>
  <c r="O29" i="7946" s="1"/>
  <c r="J285" i="7945"/>
  <c r="K285" i="7945" s="1"/>
  <c r="O26" i="7946" s="1"/>
  <c r="J355" i="7945"/>
  <c r="K355" i="7945" s="1"/>
  <c r="O31" i="7946" s="1"/>
  <c r="J243" i="7945"/>
  <c r="K243" i="7945" s="1"/>
  <c r="O23" i="7946" s="1"/>
  <c r="K205" i="7945"/>
  <c r="J215" i="7945"/>
  <c r="K215" i="7945" s="1"/>
  <c r="O21" i="7946" s="1"/>
  <c r="K332" i="7945"/>
  <c r="J341" i="7945"/>
  <c r="K341" i="7945" s="1"/>
  <c r="O30" i="7946" s="1"/>
  <c r="J173" i="7945"/>
  <c r="K173" i="7945" s="1"/>
  <c r="O18" i="7946" s="1"/>
  <c r="K373" i="7945"/>
  <c r="J383" i="7945"/>
  <c r="K383" i="7945" s="1"/>
  <c r="O33" i="7946" s="1"/>
  <c r="K289" i="7945"/>
  <c r="J299" i="7945"/>
  <c r="K299" i="7945" s="1"/>
  <c r="O27" i="7946" s="1"/>
  <c r="K366" i="7945"/>
  <c r="J369" i="7945"/>
  <c r="K369" i="7945" s="1"/>
  <c r="O32" i="7946" s="1"/>
  <c r="K420" i="7945"/>
  <c r="J425" i="7945"/>
  <c r="K425" i="7945" s="1"/>
  <c r="O36" i="7946" s="1"/>
  <c r="J411" i="7945"/>
  <c r="K411" i="7945" s="1"/>
  <c r="O35" i="7946" s="1"/>
  <c r="J313" i="7945"/>
  <c r="K313" i="7945" s="1"/>
  <c r="O28" i="7946" s="1"/>
  <c r="J271" i="7945"/>
  <c r="K271" i="7945" s="1"/>
  <c r="O25" i="7946" s="1"/>
  <c r="J131" i="7945"/>
  <c r="K131" i="7945" s="1"/>
  <c r="O15" i="7946" s="1"/>
  <c r="J159" i="7945"/>
  <c r="K159" i="7945" s="1"/>
  <c r="O17" i="7946" s="1"/>
  <c r="K219" i="7945"/>
  <c r="J229" i="7945"/>
  <c r="K229" i="7945" s="1"/>
  <c r="O22" i="7946" s="1"/>
  <c r="K135" i="7945"/>
  <c r="J145" i="7945"/>
  <c r="K145" i="7945" s="1"/>
  <c r="O16" i="7946" s="1"/>
  <c r="J201" i="7945"/>
  <c r="K201" i="7945" s="1"/>
  <c r="O20" i="7946" s="1"/>
  <c r="H773" i="18" l="1"/>
  <c r="H999" i="18" s="1"/>
  <c r="G708" i="18"/>
  <c r="G707" i="18"/>
  <c r="G970" i="18"/>
  <c r="N155" i="7944"/>
  <c r="O155" i="7944" s="1"/>
  <c r="J24" i="7945"/>
  <c r="K24" i="7945" s="1"/>
  <c r="Q130" i="7944"/>
  <c r="D92" i="7947"/>
  <c r="D93" i="7947" s="1"/>
  <c r="E91" i="7947" s="1"/>
  <c r="C42" i="7947"/>
  <c r="G761" i="18"/>
  <c r="G72" i="1"/>
  <c r="G993" i="18"/>
  <c r="G961" i="18" s="1"/>
  <c r="D214" i="7947"/>
  <c r="C31" i="7947"/>
  <c r="C32" i="7947" s="1"/>
  <c r="D30" i="7947" s="1"/>
  <c r="D31" i="7947" s="1"/>
  <c r="D32" i="7947" s="1"/>
  <c r="E30" i="7947" s="1"/>
  <c r="C220" i="7947"/>
  <c r="D217" i="7947" s="1"/>
  <c r="E114" i="7947"/>
  <c r="G469" i="18"/>
  <c r="I416" i="18"/>
  <c r="J416" i="18" s="1"/>
  <c r="G507" i="18"/>
  <c r="G45" i="7941" s="1"/>
  <c r="H13" i="7941" s="1"/>
  <c r="H501" i="7942"/>
  <c r="H141" i="18" s="1"/>
  <c r="H153" i="18" s="1"/>
  <c r="H961" i="18" s="1"/>
  <c r="G137" i="7947"/>
  <c r="G730" i="18"/>
  <c r="G698" i="18" s="1"/>
  <c r="E205" i="7947"/>
  <c r="F205" i="7947" s="1"/>
  <c r="G205" i="7947" s="1"/>
  <c r="H311" i="7942"/>
  <c r="I311" i="7942" s="1"/>
  <c r="J311" i="7942" s="1"/>
  <c r="H476" i="7942"/>
  <c r="I476" i="7942" s="1"/>
  <c r="H474" i="7942"/>
  <c r="H482" i="7942"/>
  <c r="H478" i="7942"/>
  <c r="H470" i="7942"/>
  <c r="H484" i="7942"/>
  <c r="H480" i="7942"/>
  <c r="I480" i="7942" s="1"/>
  <c r="H488" i="7942"/>
  <c r="I488" i="7942" s="1"/>
  <c r="J488" i="7942" s="1"/>
  <c r="H486" i="7942"/>
  <c r="H472" i="7942"/>
  <c r="E137" i="7947"/>
  <c r="J109" i="7945"/>
  <c r="K109" i="7945" s="1"/>
  <c r="N167" i="7944"/>
  <c r="O167" i="7944" s="1"/>
  <c r="P167" i="7944" s="1"/>
  <c r="Q167" i="7944" s="1"/>
  <c r="H468" i="7942"/>
  <c r="I468" i="7942" s="1"/>
  <c r="G978" i="18"/>
  <c r="G683" i="7941"/>
  <c r="I466" i="7942"/>
  <c r="H777" i="18"/>
  <c r="G982" i="18"/>
  <c r="G720" i="18"/>
  <c r="G686" i="7941"/>
  <c r="G629" i="18"/>
  <c r="G969" i="18"/>
  <c r="G723" i="18"/>
  <c r="H778" i="18"/>
  <c r="H1004" i="18" s="1"/>
  <c r="H780" i="18"/>
  <c r="H1006" i="18" s="1"/>
  <c r="H25" i="7941"/>
  <c r="H19" i="7941"/>
  <c r="G694" i="7941"/>
  <c r="H506" i="7941"/>
  <c r="G715" i="18"/>
  <c r="H776" i="18"/>
  <c r="H1002" i="18" s="1"/>
  <c r="G960" i="18"/>
  <c r="G687" i="7941"/>
  <c r="H772" i="18"/>
  <c r="H998" i="18" s="1"/>
  <c r="H504" i="7941"/>
  <c r="H17" i="7941"/>
  <c r="H791" i="18"/>
  <c r="G692" i="7941"/>
  <c r="H501" i="7941"/>
  <c r="H489" i="18"/>
  <c r="H747" i="18" s="1"/>
  <c r="H477" i="18"/>
  <c r="G985" i="18"/>
  <c r="G685" i="7941"/>
  <c r="H18" i="7941"/>
  <c r="G693" i="7941"/>
  <c r="H781" i="18"/>
  <c r="H1007" i="18" s="1"/>
  <c r="H789" i="18"/>
  <c r="H1015" i="18" s="1"/>
  <c r="H508" i="7941"/>
  <c r="G974" i="18"/>
  <c r="H496" i="18"/>
  <c r="H790" i="18"/>
  <c r="H1016" i="18" s="1"/>
  <c r="H787" i="18"/>
  <c r="H502" i="7941"/>
  <c r="H783" i="18"/>
  <c r="H1009" i="18" s="1"/>
  <c r="G699" i="7941"/>
  <c r="G981" i="18"/>
  <c r="G245" i="7941"/>
  <c r="H771" i="18"/>
  <c r="H997" i="18" s="1"/>
  <c r="G247" i="7941"/>
  <c r="H513" i="7941"/>
  <c r="G699" i="18"/>
  <c r="G716" i="18"/>
  <c r="G964" i="18"/>
  <c r="G719" i="18"/>
  <c r="G243" i="7941"/>
  <c r="G711" i="18"/>
  <c r="H487" i="18"/>
  <c r="H745" i="18" s="1"/>
  <c r="G695" i="7941"/>
  <c r="G397" i="7942"/>
  <c r="H775" i="18"/>
  <c r="G973" i="18"/>
  <c r="G977" i="18"/>
  <c r="H492" i="18"/>
  <c r="H750" i="18" s="1"/>
  <c r="H511" i="7941"/>
  <c r="H769" i="18"/>
  <c r="H995" i="18" s="1"/>
  <c r="H833" i="18" s="1"/>
  <c r="H563" i="7941" s="1"/>
  <c r="G712" i="18"/>
  <c r="H495" i="18"/>
  <c r="H753" i="18" s="1"/>
  <c r="H484" i="18"/>
  <c r="H742" i="18" s="1"/>
  <c r="G696" i="7941"/>
  <c r="G236" i="7942"/>
  <c r="G701" i="7941"/>
  <c r="I401" i="18"/>
  <c r="I413" i="18" s="1"/>
  <c r="H482" i="18"/>
  <c r="H740" i="18" s="1"/>
  <c r="H779" i="18"/>
  <c r="H1005" i="18" s="1"/>
  <c r="H703" i="18"/>
  <c r="G702" i="18"/>
  <c r="G963" i="18"/>
  <c r="G966" i="18"/>
  <c r="H21" i="7941"/>
  <c r="H494" i="18"/>
  <c r="I284" i="18"/>
  <c r="J284" i="18" s="1"/>
  <c r="K284" i="18" s="1"/>
  <c r="H510" i="7941"/>
  <c r="H483" i="18"/>
  <c r="H741" i="18" s="1"/>
  <c r="H515" i="7941"/>
  <c r="G962" i="18"/>
  <c r="G968" i="18"/>
  <c r="H479" i="18"/>
  <c r="H737" i="18" s="1"/>
  <c r="G688" i="7941"/>
  <c r="H488" i="18"/>
  <c r="H746" i="18" s="1"/>
  <c r="H782" i="18"/>
  <c r="H1008" i="18" s="1"/>
  <c r="H786" i="18"/>
  <c r="H1012" i="18" s="1"/>
  <c r="H785" i="18"/>
  <c r="H1011" i="18" s="1"/>
  <c r="H481" i="18"/>
  <c r="H739" i="18" s="1"/>
  <c r="H512" i="7941"/>
  <c r="G546" i="7941"/>
  <c r="H784" i="18"/>
  <c r="H1010" i="18" s="1"/>
  <c r="H490" i="18"/>
  <c r="H748" i="18" s="1"/>
  <c r="H498" i="18"/>
  <c r="H756" i="18" s="1"/>
  <c r="I388" i="18"/>
  <c r="J388" i="18" s="1"/>
  <c r="K388" i="18" s="1"/>
  <c r="L388" i="18" s="1"/>
  <c r="H774" i="18"/>
  <c r="H1000" i="18" s="1"/>
  <c r="G724" i="18"/>
  <c r="H770" i="18"/>
  <c r="H996" i="18" s="1"/>
  <c r="H485" i="18"/>
  <c r="H743" i="18" s="1"/>
  <c r="H493" i="18"/>
  <c r="H751" i="18" s="1"/>
  <c r="H486" i="18"/>
  <c r="H744" i="18" s="1"/>
  <c r="H491" i="18"/>
  <c r="H749" i="18" s="1"/>
  <c r="H499" i="18"/>
  <c r="H757" i="18" s="1"/>
  <c r="G550" i="7941"/>
  <c r="H788" i="18"/>
  <c r="H1014" i="18" s="1"/>
  <c r="G262" i="7941"/>
  <c r="H36" i="7941"/>
  <c r="G259" i="7941"/>
  <c r="H33" i="7941"/>
  <c r="G254" i="7941"/>
  <c r="H28" i="7941"/>
  <c r="H22" i="7941"/>
  <c r="H30" i="7941"/>
  <c r="G256" i="7941"/>
  <c r="G252" i="7941"/>
  <c r="H26" i="7941"/>
  <c r="H34" i="7941"/>
  <c r="G260" i="7941"/>
  <c r="G253" i="7941"/>
  <c r="H27" i="7941"/>
  <c r="H35" i="7941"/>
  <c r="G261" i="7941"/>
  <c r="G258" i="7941"/>
  <c r="H32" i="7941"/>
  <c r="G249" i="7941"/>
  <c r="H23" i="7941"/>
  <c r="H31" i="7941"/>
  <c r="G257" i="7941"/>
  <c r="H24" i="7941"/>
  <c r="G255" i="7941"/>
  <c r="H29" i="7941"/>
  <c r="G263" i="7941"/>
  <c r="H37" i="7941"/>
  <c r="G250" i="7941"/>
  <c r="J338" i="18"/>
  <c r="K338" i="18" s="1"/>
  <c r="L338" i="18" s="1"/>
  <c r="J167" i="18"/>
  <c r="E106" i="7945" s="1"/>
  <c r="J273" i="18"/>
  <c r="K273" i="18" s="1"/>
  <c r="J76" i="18"/>
  <c r="J195" i="18"/>
  <c r="K195" i="18" s="1"/>
  <c r="L195" i="18" s="1"/>
  <c r="G251" i="7941"/>
  <c r="G697" i="7941"/>
  <c r="I180" i="18"/>
  <c r="I192" i="18" s="1"/>
  <c r="M92" i="18"/>
  <c r="I349" i="18"/>
  <c r="J349" i="18" s="1"/>
  <c r="K349" i="18" s="1"/>
  <c r="I232" i="18"/>
  <c r="J232" i="18" s="1"/>
  <c r="K232" i="18" s="1"/>
  <c r="I453" i="18"/>
  <c r="I465" i="18" s="1"/>
  <c r="H762" i="18"/>
  <c r="H988" i="18" s="1"/>
  <c r="H767" i="18"/>
  <c r="H993" i="18" s="1"/>
  <c r="I219" i="18"/>
  <c r="J219" i="18" s="1"/>
  <c r="I310" i="18"/>
  <c r="J310" i="18" s="1"/>
  <c r="H505" i="18"/>
  <c r="H43" i="7941" s="1"/>
  <c r="I245" i="18"/>
  <c r="J245" i="18" s="1"/>
  <c r="H470" i="18"/>
  <c r="H728" i="18" s="1"/>
  <c r="M167" i="18"/>
  <c r="N3" i="18"/>
  <c r="N92" i="18" s="1"/>
  <c r="H509" i="7941"/>
  <c r="H517" i="7941"/>
  <c r="H499" i="7941"/>
  <c r="I206" i="18"/>
  <c r="J206" i="18" s="1"/>
  <c r="I362" i="18"/>
  <c r="J362" i="18" s="1"/>
  <c r="I427" i="18"/>
  <c r="J427" i="18" s="1"/>
  <c r="K427" i="18" s="1"/>
  <c r="H348" i="18"/>
  <c r="H76" i="18"/>
  <c r="H88" i="18" s="1"/>
  <c r="H696" i="18" s="1"/>
  <c r="G588" i="7941"/>
  <c r="H474" i="18"/>
  <c r="H732" i="18" s="1"/>
  <c r="I348" i="18"/>
  <c r="K336" i="18"/>
  <c r="L336" i="18" s="1"/>
  <c r="G889" i="18"/>
  <c r="K193" i="18"/>
  <c r="L193" i="18" s="1"/>
  <c r="E134" i="7945" s="1"/>
  <c r="I271" i="18"/>
  <c r="J271" i="18" s="1"/>
  <c r="K271" i="18" s="1"/>
  <c r="L271" i="18" s="1"/>
  <c r="H205" i="18"/>
  <c r="K362" i="18"/>
  <c r="I414" i="18"/>
  <c r="J414" i="18" s="1"/>
  <c r="H309" i="18"/>
  <c r="I375" i="18"/>
  <c r="J375" i="18" s="1"/>
  <c r="J297" i="18"/>
  <c r="K297" i="18" s="1"/>
  <c r="L297" i="18" s="1"/>
  <c r="H335" i="18"/>
  <c r="I323" i="18"/>
  <c r="I335" i="18" s="1"/>
  <c r="D226" i="7947"/>
  <c r="H53" i="18"/>
  <c r="H803" i="18" s="1"/>
  <c r="H533" i="7941" s="1"/>
  <c r="I442" i="18"/>
  <c r="J442" i="18" s="1"/>
  <c r="I429" i="18"/>
  <c r="J429" i="18" s="1"/>
  <c r="K429" i="18" s="1"/>
  <c r="J96" i="7945"/>
  <c r="K96" i="7945" s="1"/>
  <c r="K92" i="18"/>
  <c r="H279" i="7942"/>
  <c r="I279" i="7942" s="1"/>
  <c r="J279" i="7942" s="1"/>
  <c r="G104" i="7941"/>
  <c r="H204" i="7947"/>
  <c r="H511" i="18"/>
  <c r="H49" i="7941" s="1"/>
  <c r="N168" i="7944"/>
  <c r="O168" i="7944" s="1"/>
  <c r="G561" i="7941"/>
  <c r="G681" i="7941" s="1"/>
  <c r="H142" i="7942"/>
  <c r="I142" i="7942" s="1"/>
  <c r="J142" i="7942" s="1"/>
  <c r="H158" i="7942"/>
  <c r="I158" i="7942" s="1"/>
  <c r="J158" i="7942" s="1"/>
  <c r="H128" i="7942"/>
  <c r="I128" i="7942" s="1"/>
  <c r="J128" i="7942" s="1"/>
  <c r="E115" i="7947"/>
  <c r="H522" i="18"/>
  <c r="H60" i="7941" s="1"/>
  <c r="P168" i="7944"/>
  <c r="G78" i="7942"/>
  <c r="H112" i="7942" s="1"/>
  <c r="C43" i="7947"/>
  <c r="J110" i="7945"/>
  <c r="K110" i="7945" s="1"/>
  <c r="P166" i="7944"/>
  <c r="Q166" i="7944" s="1"/>
  <c r="N78" i="7944"/>
  <c r="O78" i="7944" s="1"/>
  <c r="P78" i="7944" s="1"/>
  <c r="Q78" i="7944" s="1"/>
  <c r="J26" i="7945"/>
  <c r="K26" i="7945" s="1"/>
  <c r="H517" i="18"/>
  <c r="H55" i="7941" s="1"/>
  <c r="H512" i="18"/>
  <c r="H50" i="7941" s="1"/>
  <c r="H519" i="18"/>
  <c r="H57" i="7941" s="1"/>
  <c r="H510" i="18"/>
  <c r="H48" i="7941" s="1"/>
  <c r="H69" i="18"/>
  <c r="H819" i="18" s="1"/>
  <c r="H549" i="7941" s="1"/>
  <c r="J92" i="18"/>
  <c r="J455" i="18"/>
  <c r="K455" i="18" s="1"/>
  <c r="H514" i="18"/>
  <c r="H52" i="7941" s="1"/>
  <c r="H530" i="18"/>
  <c r="H68" i="7941" s="1"/>
  <c r="H52" i="18"/>
  <c r="H802" i="18" s="1"/>
  <c r="H532" i="7941" s="1"/>
  <c r="H516" i="18"/>
  <c r="H54" i="7941" s="1"/>
  <c r="H526" i="18"/>
  <c r="H64" i="7941" s="1"/>
  <c r="H528" i="18"/>
  <c r="H66" i="7941" s="1"/>
  <c r="H57" i="18"/>
  <c r="H807" i="18" s="1"/>
  <c r="H537" i="7941" s="1"/>
  <c r="I286" i="18"/>
  <c r="I208" i="18"/>
  <c r="I312" i="18"/>
  <c r="H118" i="7942"/>
  <c r="I118" i="7942" s="1"/>
  <c r="J118" i="7942" s="1"/>
  <c r="H307" i="7942"/>
  <c r="I307" i="7942" s="1"/>
  <c r="H140" i="7942"/>
  <c r="I140" i="7942" s="1"/>
  <c r="H452" i="7942"/>
  <c r="I452" i="7942" s="1"/>
  <c r="J452" i="7942" s="1"/>
  <c r="H309" i="7942"/>
  <c r="I309" i="7942" s="1"/>
  <c r="J309" i="7942" s="1"/>
  <c r="K309" i="7942" s="1"/>
  <c r="H434" i="7942"/>
  <c r="I434" i="7942" s="1"/>
  <c r="J299" i="18"/>
  <c r="K299" i="18" s="1"/>
  <c r="I309" i="18"/>
  <c r="H436" i="7942"/>
  <c r="I436" i="7942" s="1"/>
  <c r="H319" i="7942"/>
  <c r="I319" i="7942" s="1"/>
  <c r="J319" i="7942" s="1"/>
  <c r="I377" i="18"/>
  <c r="I247" i="18"/>
  <c r="H58" i="18"/>
  <c r="H808" i="18" s="1"/>
  <c r="H538" i="7941" s="1"/>
  <c r="I260" i="18"/>
  <c r="J260" i="18" s="1"/>
  <c r="I234" i="18"/>
  <c r="H295" i="7942"/>
  <c r="I295" i="7942" s="1"/>
  <c r="H144" i="7942"/>
  <c r="I144" i="7942" s="1"/>
  <c r="J144" i="7942" s="1"/>
  <c r="H166" i="7942"/>
  <c r="I166" i="7942" s="1"/>
  <c r="H132" i="7942"/>
  <c r="I132" i="7942" s="1"/>
  <c r="H130" i="7942"/>
  <c r="H60" i="18"/>
  <c r="H810" i="18" s="1"/>
  <c r="H540" i="7941" s="1"/>
  <c r="L92" i="18"/>
  <c r="I45" i="18"/>
  <c r="H120" i="7942"/>
  <c r="I120" i="7942" s="1"/>
  <c r="J120" i="7942" s="1"/>
  <c r="H136" i="7942"/>
  <c r="I136" i="7942" s="1"/>
  <c r="J136" i="7942" s="1"/>
  <c r="H148" i="7942"/>
  <c r="I148" i="7942" s="1"/>
  <c r="H160" i="7942"/>
  <c r="I160" i="7942" s="1"/>
  <c r="J160" i="7942" s="1"/>
  <c r="K160" i="7942" s="1"/>
  <c r="H523" i="18"/>
  <c r="H61" i="7941" s="1"/>
  <c r="H515" i="18"/>
  <c r="H53" i="7941" s="1"/>
  <c r="H524" i="18"/>
  <c r="H62" i="7941" s="1"/>
  <c r="H503" i="18"/>
  <c r="H41" i="7941" s="1"/>
  <c r="H506" i="18"/>
  <c r="H44" i="7941" s="1"/>
  <c r="J285" i="1"/>
  <c r="I286" i="1"/>
  <c r="I294" i="1"/>
  <c r="I297" i="1"/>
  <c r="I300" i="1"/>
  <c r="I303" i="1"/>
  <c r="I306" i="1"/>
  <c r="I160" i="1"/>
  <c r="I29" i="18" s="1"/>
  <c r="I167" i="1"/>
  <c r="I36" i="18" s="1"/>
  <c r="I169" i="1"/>
  <c r="I38" i="18" s="1"/>
  <c r="I170" i="1"/>
  <c r="I39" i="18" s="1"/>
  <c r="I7" i="18"/>
  <c r="I508" i="18" s="1"/>
  <c r="I46" i="7941" s="1"/>
  <c r="I144" i="1"/>
  <c r="I13" i="18" s="1"/>
  <c r="I151" i="1"/>
  <c r="I20" i="18" s="1"/>
  <c r="I289" i="1"/>
  <c r="I292" i="1"/>
  <c r="I295" i="1"/>
  <c r="I298" i="1"/>
  <c r="I301" i="1"/>
  <c r="I304" i="1"/>
  <c r="I307" i="1"/>
  <c r="I152" i="1"/>
  <c r="I21" i="18" s="1"/>
  <c r="I153" i="1"/>
  <c r="I22" i="18" s="1"/>
  <c r="I154" i="1"/>
  <c r="I23" i="18" s="1"/>
  <c r="I513" i="18" s="1"/>
  <c r="I51" i="7941" s="1"/>
  <c r="I161" i="1"/>
  <c r="I30" i="18" s="1"/>
  <c r="I162" i="1"/>
  <c r="I31" i="18" s="1"/>
  <c r="I164" i="1"/>
  <c r="I33" i="18" s="1"/>
  <c r="I172" i="1"/>
  <c r="I41" i="18" s="1"/>
  <c r="I531" i="18" s="1"/>
  <c r="I69" i="7941" s="1"/>
  <c r="I150" i="1"/>
  <c r="I19" i="18" s="1"/>
  <c r="I291" i="1"/>
  <c r="I296" i="1"/>
  <c r="I302" i="1"/>
  <c r="I308" i="1"/>
  <c r="I155" i="1"/>
  <c r="I24" i="18" s="1"/>
  <c r="I156" i="1"/>
  <c r="I25" i="18" s="1"/>
  <c r="I158" i="1"/>
  <c r="I27" i="18" s="1"/>
  <c r="I517" i="18" s="1"/>
  <c r="I55" i="7941" s="1"/>
  <c r="I159" i="1"/>
  <c r="I28" i="18" s="1"/>
  <c r="I165" i="1"/>
  <c r="I34" i="18" s="1"/>
  <c r="I171" i="1"/>
  <c r="I40" i="18" s="1"/>
  <c r="D122" i="7947"/>
  <c r="I287" i="1"/>
  <c r="I293" i="1"/>
  <c r="I299" i="1"/>
  <c r="I163" i="1"/>
  <c r="I32" i="18" s="1"/>
  <c r="I522" i="18" s="1"/>
  <c r="I60" i="7941" s="1"/>
  <c r="I288" i="1"/>
  <c r="I157" i="1"/>
  <c r="I26" i="18" s="1"/>
  <c r="D192" i="7947"/>
  <c r="I72" i="1" s="1"/>
  <c r="I305" i="1"/>
  <c r="I166" i="1"/>
  <c r="I35" i="18" s="1"/>
  <c r="I290" i="1"/>
  <c r="I168" i="1"/>
  <c r="I37" i="18" s="1"/>
  <c r="H184" i="1"/>
  <c r="H207" i="1" s="1"/>
  <c r="H150" i="1"/>
  <c r="H19" i="18" s="1"/>
  <c r="H509" i="18" s="1"/>
  <c r="H47" i="7941" s="1"/>
  <c r="H504" i="18"/>
  <c r="H42" i="7941" s="1"/>
  <c r="H521" i="18"/>
  <c r="H59" i="7941" s="1"/>
  <c r="H527" i="18"/>
  <c r="H65" i="7941" s="1"/>
  <c r="H518" i="18"/>
  <c r="H56" i="7941" s="1"/>
  <c r="H64" i="18"/>
  <c r="H814" i="18" s="1"/>
  <c r="H544" i="7941" s="1"/>
  <c r="H531" i="18"/>
  <c r="H69" i="7941" s="1"/>
  <c r="H513" i="18"/>
  <c r="H51" i="7941" s="1"/>
  <c r="H520" i="18"/>
  <c r="H58" i="7941" s="1"/>
  <c r="H71" i="1"/>
  <c r="H72" i="1" s="1"/>
  <c r="H507" i="18"/>
  <c r="H45" i="7941" s="1"/>
  <c r="I283" i="1"/>
  <c r="J127" i="7944"/>
  <c r="I44" i="7944"/>
  <c r="J75" i="7944"/>
  <c r="K75" i="7944" s="1"/>
  <c r="I279" i="1"/>
  <c r="I44" i="18" s="1"/>
  <c r="N90" i="7944"/>
  <c r="H275" i="1"/>
  <c r="N88" i="7944"/>
  <c r="N103" i="7944"/>
  <c r="O103" i="7944" s="1"/>
  <c r="P103" i="7944" s="1"/>
  <c r="Q103" i="7944" s="1"/>
  <c r="I113" i="7944"/>
  <c r="J113" i="7944" s="1"/>
  <c r="G279" i="1"/>
  <c r="J40" i="7945"/>
  <c r="K40" i="7945" s="1"/>
  <c r="H11" i="7944"/>
  <c r="I11" i="7944" s="1"/>
  <c r="J275" i="1"/>
  <c r="K45" i="7944"/>
  <c r="L142" i="7944"/>
  <c r="E112" i="7947"/>
  <c r="D151" i="7947"/>
  <c r="D153" i="7947" s="1"/>
  <c r="E150" i="7947" s="1"/>
  <c r="O91" i="7944"/>
  <c r="P91" i="7944" s="1"/>
  <c r="E57" i="7947"/>
  <c r="D96" i="7947"/>
  <c r="D97" i="7947" s="1"/>
  <c r="E95" i="7947" s="1"/>
  <c r="E117" i="7947"/>
  <c r="D176" i="7947"/>
  <c r="D178" i="7947" s="1"/>
  <c r="E175" i="7947" s="1"/>
  <c r="N117" i="7944"/>
  <c r="O117" i="7944" s="1"/>
  <c r="R140" i="1"/>
  <c r="D27" i="7947"/>
  <c r="D28" i="7947" s="1"/>
  <c r="E26" i="7947" s="1"/>
  <c r="E14" i="7947"/>
  <c r="G827" i="18"/>
  <c r="G825" i="18" s="1"/>
  <c r="H497" i="7942"/>
  <c r="G535" i="18"/>
  <c r="G697" i="18" s="1"/>
  <c r="G559" i="7942"/>
  <c r="E92" i="7947"/>
  <c r="E93" i="7947" s="1"/>
  <c r="F91" i="7947" s="1"/>
  <c r="J54" i="7945"/>
  <c r="K54" i="7945" s="1"/>
  <c r="I46" i="7944"/>
  <c r="J153" i="7944"/>
  <c r="I285" i="1"/>
  <c r="O143" i="7944"/>
  <c r="P143" i="7944" s="1"/>
  <c r="Q143" i="7944" s="1"/>
  <c r="K275" i="1"/>
  <c r="I284" i="1"/>
  <c r="I45" i="7944"/>
  <c r="J140" i="7944"/>
  <c r="K140" i="7944" s="1"/>
  <c r="E51" i="7947"/>
  <c r="D73" i="7947"/>
  <c r="E71" i="7947" s="1"/>
  <c r="I110" i="7944"/>
  <c r="K100" i="7944"/>
  <c r="L77" i="7944"/>
  <c r="M77" i="7944" s="1"/>
  <c r="K40" i="7944"/>
  <c r="K207" i="1"/>
  <c r="J45" i="7944"/>
  <c r="K141" i="7944"/>
  <c r="L141" i="7944" s="1"/>
  <c r="M141" i="7944" s="1"/>
  <c r="E50" i="7947"/>
  <c r="D68" i="7947"/>
  <c r="D69" i="7947" s="1"/>
  <c r="E67" i="7947" s="1"/>
  <c r="H126" i="7942"/>
  <c r="H14" i="7944"/>
  <c r="H146" i="7947"/>
  <c r="H182" i="7947"/>
  <c r="L102" i="7944"/>
  <c r="M102" i="7944" s="1"/>
  <c r="E80" i="7947"/>
  <c r="E81" i="7947" s="1"/>
  <c r="F79" i="7947" s="1"/>
  <c r="M116" i="7944"/>
  <c r="K44" i="7944"/>
  <c r="L129" i="7944"/>
  <c r="M129" i="7944" s="1"/>
  <c r="N129" i="7944" s="1"/>
  <c r="O129" i="7944" s="1"/>
  <c r="H134" i="7942"/>
  <c r="I134" i="7942" s="1"/>
  <c r="H164" i="7942"/>
  <c r="I164" i="7942" s="1"/>
  <c r="G505" i="18"/>
  <c r="G797" i="18"/>
  <c r="J351" i="18"/>
  <c r="K351" i="18" s="1"/>
  <c r="L351" i="18" s="1"/>
  <c r="H41" i="7944"/>
  <c r="H280" i="1"/>
  <c r="I87" i="7944"/>
  <c r="I97" i="7944" s="1"/>
  <c r="G11" i="7942"/>
  <c r="E113" i="7947"/>
  <c r="D156" i="7947"/>
  <c r="D158" i="7947" s="1"/>
  <c r="E155" i="7947" s="1"/>
  <c r="H797" i="18"/>
  <c r="H527" i="7941" s="1"/>
  <c r="E51" i="7945"/>
  <c r="B44" i="7947"/>
  <c r="I207" i="1"/>
  <c r="I42" i="7944"/>
  <c r="I281" i="1"/>
  <c r="I46" i="18" s="1"/>
  <c r="J101" i="7944"/>
  <c r="E17" i="7947"/>
  <c r="D39" i="7947"/>
  <c r="D40" i="7947" s="1"/>
  <c r="E38" i="7947" s="1"/>
  <c r="G80" i="7942"/>
  <c r="H499" i="7942"/>
  <c r="K76" i="7944"/>
  <c r="L76" i="7944" s="1"/>
  <c r="J207" i="1"/>
  <c r="J40" i="7944"/>
  <c r="J44" i="7944"/>
  <c r="K128" i="7944"/>
  <c r="L128" i="7944" s="1"/>
  <c r="J390" i="18"/>
  <c r="N104" i="7944"/>
  <c r="H821" i="18"/>
  <c r="H551" i="7941" s="1"/>
  <c r="H805" i="18"/>
  <c r="H535" i="7941" s="1"/>
  <c r="H809" i="18"/>
  <c r="H539" i="7941" s="1"/>
  <c r="H496" i="7941"/>
  <c r="G680" i="7941"/>
  <c r="H9" i="7944"/>
  <c r="G280" i="1"/>
  <c r="G207" i="1"/>
  <c r="E55" i="7947"/>
  <c r="D88" i="7947"/>
  <c r="D89" i="7947" s="1"/>
  <c r="E87" i="7947" s="1"/>
  <c r="I78" i="18"/>
  <c r="L78" i="18"/>
  <c r="H44" i="18"/>
  <c r="M78" i="18"/>
  <c r="J78" i="18"/>
  <c r="K78" i="18"/>
  <c r="I102" i="18"/>
  <c r="I114" i="18" s="1"/>
  <c r="I958" i="18" s="1"/>
  <c r="H114" i="18"/>
  <c r="L154" i="7944"/>
  <c r="J95" i="7945" s="1"/>
  <c r="K95" i="7945" s="1"/>
  <c r="L46" i="7944"/>
  <c r="J97" i="7945" s="1"/>
  <c r="K97" i="7945" s="1"/>
  <c r="M156" i="7944"/>
  <c r="N156" i="7944" s="1"/>
  <c r="O156" i="7944" s="1"/>
  <c r="D84" i="7947"/>
  <c r="D85" i="7947" s="1"/>
  <c r="E83" i="7947" s="1"/>
  <c r="E54" i="7947"/>
  <c r="G796" i="18"/>
  <c r="G504" i="18"/>
  <c r="G527" i="7942"/>
  <c r="C143" i="7947"/>
  <c r="C181" i="7947"/>
  <c r="D77" i="7947"/>
  <c r="E75" i="7947" s="1"/>
  <c r="E52" i="7947"/>
  <c r="I84" i="7944"/>
  <c r="J74" i="7944"/>
  <c r="I14" i="18"/>
  <c r="P155" i="7944"/>
  <c r="Q155" i="7944" s="1"/>
  <c r="H502" i="18"/>
  <c r="G281" i="1"/>
  <c r="H10" i="7944"/>
  <c r="E37" i="7945"/>
  <c r="H796" i="18"/>
  <c r="H526" i="7941" s="1"/>
  <c r="E58" i="7947"/>
  <c r="D100" i="7947"/>
  <c r="D101" i="7947" s="1"/>
  <c r="E99" i="7947" s="1"/>
  <c r="E166" i="7947"/>
  <c r="E168" i="7947" s="1"/>
  <c r="F165" i="7947" s="1"/>
  <c r="I8" i="7944"/>
  <c r="M89" i="7944"/>
  <c r="J25" i="7945"/>
  <c r="K25" i="7945" s="1"/>
  <c r="K325" i="18"/>
  <c r="L325" i="18" s="1"/>
  <c r="H822" i="18"/>
  <c r="H552" i="7941" s="1"/>
  <c r="H289" i="7942"/>
  <c r="H291" i="7942"/>
  <c r="H448" i="7942"/>
  <c r="H275" i="7942"/>
  <c r="I275" i="7942" s="1"/>
  <c r="H462" i="7942"/>
  <c r="H438" i="7942"/>
  <c r="H285" i="7942"/>
  <c r="H442" i="7942"/>
  <c r="H313" i="7942"/>
  <c r="H444" i="7942"/>
  <c r="H283" i="7942"/>
  <c r="H464" i="7942"/>
  <c r="H305" i="7942"/>
  <c r="I305" i="7942" s="1"/>
  <c r="H325" i="7942"/>
  <c r="H297" i="7942"/>
  <c r="H293" i="7942"/>
  <c r="I293" i="7942" s="1"/>
  <c r="J293" i="7942" s="1"/>
  <c r="H303" i="7942"/>
  <c r="H432" i="7942"/>
  <c r="H273" i="7942"/>
  <c r="H460" i="7942"/>
  <c r="H281" i="7942"/>
  <c r="H287" i="7942"/>
  <c r="H327" i="7942"/>
  <c r="H323" i="7942"/>
  <c r="H450" i="7942"/>
  <c r="I450" i="7942" s="1"/>
  <c r="H315" i="7942"/>
  <c r="I315" i="7942" s="1"/>
  <c r="H317" i="7942"/>
  <c r="I317" i="7942" s="1"/>
  <c r="H440" i="7942"/>
  <c r="H458" i="7942"/>
  <c r="H271" i="7942"/>
  <c r="H122" i="7942"/>
  <c r="H456" i="7942"/>
  <c r="H321" i="7942"/>
  <c r="I321" i="7942" s="1"/>
  <c r="H454" i="7942"/>
  <c r="H301" i="7942"/>
  <c r="H277" i="7942"/>
  <c r="H152" i="7942"/>
  <c r="I152" i="7942" s="1"/>
  <c r="H446" i="7942"/>
  <c r="H269" i="7942"/>
  <c r="H299" i="7942"/>
  <c r="I299" i="7942" s="1"/>
  <c r="H430" i="7942"/>
  <c r="H150" i="7942"/>
  <c r="H124" i="7942"/>
  <c r="I124" i="7942" s="1"/>
  <c r="H146" i="7942"/>
  <c r="K403" i="18"/>
  <c r="L403" i="18" s="1"/>
  <c r="M76" i="18"/>
  <c r="L76" i="18"/>
  <c r="K76" i="18"/>
  <c r="I76" i="18"/>
  <c r="C64" i="7947"/>
  <c r="C104" i="7947" s="1"/>
  <c r="C103" i="7947"/>
  <c r="C224" i="7947" s="1"/>
  <c r="B65" i="7947"/>
  <c r="B105" i="7947" s="1"/>
  <c r="G491" i="7941"/>
  <c r="D218" i="7947"/>
  <c r="D220" i="7947" s="1"/>
  <c r="E217" i="7947" s="1"/>
  <c r="G7" i="7941"/>
  <c r="G44" i="7942"/>
  <c r="G173" i="1"/>
  <c r="H815" i="18"/>
  <c r="H545" i="7941" s="1"/>
  <c r="H820" i="18"/>
  <c r="H550" i="7941" s="1"/>
  <c r="H812" i="18"/>
  <c r="H542" i="7941" s="1"/>
  <c r="H283" i="1"/>
  <c r="I126" i="7944"/>
  <c r="I136" i="7944" s="1"/>
  <c r="H44" i="7944"/>
  <c r="D36" i="7947"/>
  <c r="E34" i="7947" s="1"/>
  <c r="E16" i="7947"/>
  <c r="H154" i="7942"/>
  <c r="I154" i="7942" s="1"/>
  <c r="H162" i="7942"/>
  <c r="H156" i="7942"/>
  <c r="H138" i="7942"/>
  <c r="I138" i="7942" s="1"/>
  <c r="G800" i="18"/>
  <c r="G508" i="18"/>
  <c r="H502" i="7942"/>
  <c r="H154" i="18" s="1"/>
  <c r="H166" i="18" s="1"/>
  <c r="I282" i="1"/>
  <c r="I47" i="18" s="1"/>
  <c r="I43" i="7944"/>
  <c r="J114" i="7944"/>
  <c r="K114" i="7944" s="1"/>
  <c r="E111" i="7947"/>
  <c r="D148" i="7947"/>
  <c r="E145" i="7947" s="1"/>
  <c r="E148" i="7947" s="1"/>
  <c r="F145" i="7947" s="1"/>
  <c r="F148" i="7947" s="1"/>
  <c r="G145" i="7947" s="1"/>
  <c r="G148" i="7947" s="1"/>
  <c r="H145" i="7947" s="1"/>
  <c r="G859" i="18"/>
  <c r="G567" i="18"/>
  <c r="E202" i="7947"/>
  <c r="J13" i="7945"/>
  <c r="K13" i="7945" s="1"/>
  <c r="D22" i="7947"/>
  <c r="H817" i="18"/>
  <c r="H547" i="7941" s="1"/>
  <c r="H818" i="18"/>
  <c r="H548" i="7941" s="1"/>
  <c r="J182" i="18"/>
  <c r="K182" i="18" s="1"/>
  <c r="H811" i="18"/>
  <c r="H541" i="7941" s="1"/>
  <c r="I205" i="18"/>
  <c r="H806" i="18"/>
  <c r="H536" i="7941" s="1"/>
  <c r="J364" i="18"/>
  <c r="L115" i="7944"/>
  <c r="E163" i="7947"/>
  <c r="F160" i="7947" s="1"/>
  <c r="G79" i="7942"/>
  <c r="H128" i="18"/>
  <c r="I128" i="18" s="1"/>
  <c r="B183" i="7947"/>
  <c r="G556" i="7941"/>
  <c r="G956" i="18"/>
  <c r="H813" i="18"/>
  <c r="H543" i="7941" s="1"/>
  <c r="H816" i="18"/>
  <c r="H546" i="7941" s="1"/>
  <c r="H804" i="18"/>
  <c r="H534" i="7941" s="1"/>
  <c r="H823" i="18"/>
  <c r="H553" i="7941" s="1"/>
  <c r="J221" i="18"/>
  <c r="G558" i="7941"/>
  <c r="G958" i="18"/>
  <c r="G136" i="7941"/>
  <c r="G135" i="7941" s="1"/>
  <c r="G597" i="18"/>
  <c r="H284" i="1"/>
  <c r="H45" i="7944"/>
  <c r="I139" i="7944"/>
  <c r="I149" i="7944" s="1"/>
  <c r="H766" i="18"/>
  <c r="H992" i="18" s="1"/>
  <c r="H110" i="7942"/>
  <c r="I110" i="7942" s="1"/>
  <c r="J110" i="7942" s="1"/>
  <c r="E116" i="7947"/>
  <c r="D171" i="7947"/>
  <c r="D173" i="7947" s="1"/>
  <c r="E170" i="7947" s="1"/>
  <c r="J401" i="18"/>
  <c r="G689" i="7941"/>
  <c r="H505" i="7941"/>
  <c r="H752" i="18"/>
  <c r="H1003" i="18"/>
  <c r="G241" i="7941"/>
  <c r="H15" i="7941"/>
  <c r="H754" i="18"/>
  <c r="G704" i="7941"/>
  <c r="H520" i="7941"/>
  <c r="H452" i="18"/>
  <c r="I440" i="18"/>
  <c r="G167" i="7941"/>
  <c r="H20" i="7941"/>
  <c r="G246" i="7941"/>
  <c r="G248" i="7941"/>
  <c r="G700" i="7941"/>
  <c r="H516" i="7941"/>
  <c r="G691" i="7941"/>
  <c r="H507" i="7941"/>
  <c r="G705" i="7941"/>
  <c r="H521" i="7941"/>
  <c r="G242" i="7941"/>
  <c r="H500" i="7941"/>
  <c r="G684" i="7941"/>
  <c r="H1013" i="18"/>
  <c r="G619" i="7941"/>
  <c r="G238" i="7941"/>
  <c r="H12" i="7941"/>
  <c r="G703" i="7941"/>
  <c r="H519" i="7941"/>
  <c r="H735" i="18"/>
  <c r="H1017" i="18"/>
  <c r="H270" i="18"/>
  <c r="J258" i="18"/>
  <c r="H755" i="18"/>
  <c r="H1001" i="18"/>
  <c r="I296" i="18" l="1"/>
  <c r="G987" i="18"/>
  <c r="I141" i="18"/>
  <c r="L39" i="7944"/>
  <c r="E15" i="7947"/>
  <c r="C44" i="7947"/>
  <c r="R72" i="1"/>
  <c r="K416" i="18"/>
  <c r="L416" i="18" s="1"/>
  <c r="I204" i="7947"/>
  <c r="J141" i="18"/>
  <c r="G727" i="18"/>
  <c r="J299" i="7942"/>
  <c r="K299" i="7942" s="1"/>
  <c r="I474" i="7942"/>
  <c r="J474" i="7942" s="1"/>
  <c r="K474" i="7942" s="1"/>
  <c r="L474" i="7942" s="1"/>
  <c r="M474" i="7942" s="1"/>
  <c r="L475" i="7942" s="1"/>
  <c r="H205" i="7947"/>
  <c r="I205" i="7947" s="1"/>
  <c r="K488" i="7942"/>
  <c r="L488" i="7942" s="1"/>
  <c r="I486" i="7942"/>
  <c r="J486" i="7942" s="1"/>
  <c r="K486" i="7942" s="1"/>
  <c r="H701" i="18"/>
  <c r="H475" i="18"/>
  <c r="H733" i="18" s="1"/>
  <c r="J468" i="7942"/>
  <c r="K468" i="7942" s="1"/>
  <c r="L468" i="7942" s="1"/>
  <c r="M468" i="7942" s="1"/>
  <c r="D137" i="7947"/>
  <c r="I470" i="7942"/>
  <c r="I484" i="7942"/>
  <c r="J484" i="7942" s="1"/>
  <c r="K484" i="7942" s="1"/>
  <c r="L484" i="7942" s="1"/>
  <c r="G239" i="7941"/>
  <c r="L486" i="7942"/>
  <c r="M486" i="7942" s="1"/>
  <c r="L487" i="7942" s="1"/>
  <c r="J480" i="7942"/>
  <c r="I482" i="7942"/>
  <c r="I472" i="7942"/>
  <c r="I478" i="7942"/>
  <c r="J476" i="7942"/>
  <c r="K476" i="7942" s="1"/>
  <c r="L476" i="7942" s="1"/>
  <c r="M476" i="7942" s="1"/>
  <c r="L477" i="7942" s="1"/>
  <c r="H429" i="7942"/>
  <c r="J466" i="7942"/>
  <c r="J453" i="18"/>
  <c r="K453" i="18" s="1"/>
  <c r="K279" i="7942"/>
  <c r="L279" i="7942" s="1"/>
  <c r="I400" i="18"/>
  <c r="J140" i="7942"/>
  <c r="K140" i="7942" s="1"/>
  <c r="H541" i="18"/>
  <c r="H79" i="7941" s="1"/>
  <c r="H241" i="7941" s="1"/>
  <c r="J317" i="7942"/>
  <c r="K317" i="7942" s="1"/>
  <c r="L317" i="7942" s="1"/>
  <c r="L318" i="7942" s="1"/>
  <c r="H514" i="7941"/>
  <c r="G698" i="7941"/>
  <c r="K128" i="7942"/>
  <c r="L128" i="7942" s="1"/>
  <c r="L129" i="7942" s="1"/>
  <c r="G702" i="7941"/>
  <c r="H518" i="7941"/>
  <c r="J434" i="7942"/>
  <c r="L284" i="18"/>
  <c r="E232" i="7945" s="1"/>
  <c r="K219" i="18"/>
  <c r="L219" i="18" s="1"/>
  <c r="I361" i="18"/>
  <c r="I322" i="18"/>
  <c r="H831" i="18"/>
  <c r="H561" i="7941" s="1"/>
  <c r="J180" i="18"/>
  <c r="K180" i="18" s="1"/>
  <c r="L349" i="18"/>
  <c r="M349" i="18" s="1"/>
  <c r="G695" i="18"/>
  <c r="I270" i="18"/>
  <c r="I244" i="18"/>
  <c r="L232" i="18"/>
  <c r="M232" i="18" s="1"/>
  <c r="K245" i="18"/>
  <c r="L245" i="18" s="1"/>
  <c r="E190" i="7945" s="1"/>
  <c r="I231" i="18"/>
  <c r="H497" i="7941"/>
  <c r="L362" i="18"/>
  <c r="E316" i="7945" s="1"/>
  <c r="M271" i="18"/>
  <c r="N271" i="18" s="1"/>
  <c r="K310" i="18"/>
  <c r="L310" i="18" s="1"/>
  <c r="M310" i="18" s="1"/>
  <c r="H492" i="7941"/>
  <c r="I257" i="18"/>
  <c r="N167" i="18"/>
  <c r="O3" i="18"/>
  <c r="O158" i="18" s="1"/>
  <c r="I374" i="18"/>
  <c r="N76" i="18"/>
  <c r="N78" i="18"/>
  <c r="L427" i="18"/>
  <c r="M427" i="18" s="1"/>
  <c r="I452" i="18"/>
  <c r="H956" i="18"/>
  <c r="H826" i="18" s="1"/>
  <c r="I218" i="18"/>
  <c r="I439" i="18"/>
  <c r="E288" i="7945"/>
  <c r="K206" i="18"/>
  <c r="H8" i="7941"/>
  <c r="M336" i="18"/>
  <c r="N336" i="18" s="1"/>
  <c r="O336" i="18" s="1"/>
  <c r="G234" i="7941"/>
  <c r="K293" i="7942"/>
  <c r="L293" i="7942" s="1"/>
  <c r="I112" i="7942"/>
  <c r="J112" i="7942" s="1"/>
  <c r="I283" i="18"/>
  <c r="E218" i="7945"/>
  <c r="I387" i="18"/>
  <c r="I426" i="18"/>
  <c r="K414" i="18"/>
  <c r="L414" i="18" s="1"/>
  <c r="K144" i="7942"/>
  <c r="L144" i="7942" s="1"/>
  <c r="J154" i="7942"/>
  <c r="K154" i="7942" s="1"/>
  <c r="J323" i="18"/>
  <c r="K375" i="18"/>
  <c r="J440" i="18"/>
  <c r="K440" i="18" s="1"/>
  <c r="J275" i="7942"/>
  <c r="K275" i="7942" s="1"/>
  <c r="J315" i="7942"/>
  <c r="K315" i="7942" s="1"/>
  <c r="L315" i="7942" s="1"/>
  <c r="M315" i="7942" s="1"/>
  <c r="N315" i="7942" s="1"/>
  <c r="I525" i="18"/>
  <c r="I63" i="7941" s="1"/>
  <c r="I518" i="18"/>
  <c r="I56" i="7941" s="1"/>
  <c r="I509" i="18"/>
  <c r="I47" i="7941" s="1"/>
  <c r="I520" i="18"/>
  <c r="I58" i="7941" s="1"/>
  <c r="I503" i="18"/>
  <c r="I41" i="7941" s="1"/>
  <c r="I526" i="18"/>
  <c r="I64" i="7941" s="1"/>
  <c r="I123" i="7944"/>
  <c r="J11" i="7944" s="1"/>
  <c r="C225" i="7947"/>
  <c r="C4" i="7947" s="1"/>
  <c r="L455" i="18"/>
  <c r="M455" i="18" s="1"/>
  <c r="G676" i="7941"/>
  <c r="I154" i="18"/>
  <c r="C65" i="7947"/>
  <c r="C105" i="7947" s="1"/>
  <c r="Q168" i="7944"/>
  <c r="O104" i="7944"/>
  <c r="Q91" i="7944"/>
  <c r="K136" i="7942"/>
  <c r="L136" i="7942" s="1"/>
  <c r="L160" i="7942"/>
  <c r="L161" i="7942" s="1"/>
  <c r="K120" i="7942"/>
  <c r="L120" i="7942" s="1"/>
  <c r="M120" i="7942" s="1"/>
  <c r="J377" i="18"/>
  <c r="K377" i="18" s="1"/>
  <c r="N79" i="18"/>
  <c r="E24" i="7945"/>
  <c r="F24" i="7945" s="1"/>
  <c r="I506" i="18"/>
  <c r="I44" i="7941" s="1"/>
  <c r="K158" i="18"/>
  <c r="J50" i="18"/>
  <c r="J283" i="1"/>
  <c r="N132" i="18" s="1"/>
  <c r="I795" i="18"/>
  <c r="I525" i="7941" s="1"/>
  <c r="I527" i="18"/>
  <c r="I65" i="7941" s="1"/>
  <c r="I530" i="18"/>
  <c r="I68" i="7941" s="1"/>
  <c r="I515" i="18"/>
  <c r="I53" i="7941" s="1"/>
  <c r="I523" i="18"/>
  <c r="I61" i="7941" s="1"/>
  <c r="I512" i="18"/>
  <c r="I50" i="7941" s="1"/>
  <c r="I529" i="18"/>
  <c r="I67" i="7941" s="1"/>
  <c r="I505" i="18"/>
  <c r="I43" i="7941" s="1"/>
  <c r="I507" i="18"/>
  <c r="I45" i="7941" s="1"/>
  <c r="I516" i="18"/>
  <c r="I54" i="7941" s="1"/>
  <c r="I524" i="18"/>
  <c r="I62" i="7941" s="1"/>
  <c r="I514" i="18"/>
  <c r="I52" i="7941" s="1"/>
  <c r="I521" i="18"/>
  <c r="I59" i="7941" s="1"/>
  <c r="I511" i="18"/>
  <c r="I49" i="7941" s="1"/>
  <c r="I510" i="18"/>
  <c r="I48" i="7941" s="1"/>
  <c r="I528" i="18"/>
  <c r="I66" i="7941" s="1"/>
  <c r="E303" i="7945"/>
  <c r="F303" i="7945" s="1"/>
  <c r="J234" i="18"/>
  <c r="K234" i="18" s="1"/>
  <c r="L234" i="18" s="1"/>
  <c r="I698" i="18"/>
  <c r="I173" i="1"/>
  <c r="J312" i="18"/>
  <c r="K312" i="18" s="1"/>
  <c r="J79" i="18"/>
  <c r="L79" i="18"/>
  <c r="K79" i="18"/>
  <c r="J208" i="18"/>
  <c r="K208" i="18" s="1"/>
  <c r="L208" i="18" s="1"/>
  <c r="M79" i="18"/>
  <c r="J247" i="18"/>
  <c r="L429" i="18"/>
  <c r="M429" i="18" s="1"/>
  <c r="N429" i="18" s="1"/>
  <c r="E275" i="7945"/>
  <c r="F275" i="7945" s="1"/>
  <c r="I73" i="18"/>
  <c r="I823" i="18" s="1"/>
  <c r="I553" i="7941" s="1"/>
  <c r="J456" i="18"/>
  <c r="K456" i="18" s="1"/>
  <c r="J287" i="18"/>
  <c r="K287" i="18" s="1"/>
  <c r="I60" i="18"/>
  <c r="J151" i="1"/>
  <c r="J20" i="18" s="1"/>
  <c r="J289" i="1"/>
  <c r="J291" i="1"/>
  <c r="J298" i="1"/>
  <c r="J300" i="1"/>
  <c r="J305" i="1"/>
  <c r="J307" i="1"/>
  <c r="J156" i="1"/>
  <c r="J25" i="18" s="1"/>
  <c r="J157" i="1"/>
  <c r="J26" i="18" s="1"/>
  <c r="J158" i="1"/>
  <c r="J27" i="18" s="1"/>
  <c r="J163" i="1"/>
  <c r="J32" i="18" s="1"/>
  <c r="J165" i="1"/>
  <c r="J34" i="18" s="1"/>
  <c r="J166" i="1"/>
  <c r="J35" i="18" s="1"/>
  <c r="J7" i="18"/>
  <c r="J287" i="1"/>
  <c r="J294" i="1"/>
  <c r="J296" i="1"/>
  <c r="J301" i="1"/>
  <c r="J303" i="1"/>
  <c r="J155" i="1"/>
  <c r="J24" i="18" s="1"/>
  <c r="J159" i="1"/>
  <c r="J28" i="18" s="1"/>
  <c r="J167" i="1"/>
  <c r="J36" i="18" s="1"/>
  <c r="J526" i="18" s="1"/>
  <c r="J64" i="7941" s="1"/>
  <c r="J169" i="1"/>
  <c r="J38" i="18" s="1"/>
  <c r="J295" i="1"/>
  <c r="J304" i="1"/>
  <c r="J168" i="1"/>
  <c r="J37" i="18" s="1"/>
  <c r="J527" i="18" s="1"/>
  <c r="J65" i="7941" s="1"/>
  <c r="E122" i="7947"/>
  <c r="J292" i="1"/>
  <c r="J297" i="1"/>
  <c r="J306" i="1"/>
  <c r="J154" i="1"/>
  <c r="J23" i="18" s="1"/>
  <c r="J161" i="1"/>
  <c r="J30" i="18" s="1"/>
  <c r="J164" i="1"/>
  <c r="J33" i="18" s="1"/>
  <c r="J170" i="1"/>
  <c r="J39" i="18" s="1"/>
  <c r="J529" i="18" s="1"/>
  <c r="J67" i="7941" s="1"/>
  <c r="J171" i="1"/>
  <c r="J40" i="18" s="1"/>
  <c r="J153" i="1"/>
  <c r="J22" i="18" s="1"/>
  <c r="J172" i="1"/>
  <c r="J41" i="18" s="1"/>
  <c r="J288" i="1"/>
  <c r="E192" i="7947"/>
  <c r="J72" i="1" s="1"/>
  <c r="J299" i="1"/>
  <c r="J302" i="1"/>
  <c r="J160" i="1"/>
  <c r="J29" i="18" s="1"/>
  <c r="J519" i="18" s="1"/>
  <c r="J57" i="7941" s="1"/>
  <c r="J290" i="1"/>
  <c r="J308" i="1"/>
  <c r="J152" i="1"/>
  <c r="J21" i="18" s="1"/>
  <c r="J162" i="1"/>
  <c r="J31" i="18" s="1"/>
  <c r="J521" i="18" s="1"/>
  <c r="J59" i="7941" s="1"/>
  <c r="J293" i="1"/>
  <c r="J150" i="1"/>
  <c r="J19" i="18" s="1"/>
  <c r="J282" i="1"/>
  <c r="J47" i="18" s="1"/>
  <c r="J145" i="1"/>
  <c r="J14" i="18" s="1"/>
  <c r="J504" i="18" s="1"/>
  <c r="J42" i="7941" s="1"/>
  <c r="J286" i="1"/>
  <c r="J281" i="1"/>
  <c r="J46" i="18" s="1"/>
  <c r="J148" i="1"/>
  <c r="J17" i="18" s="1"/>
  <c r="J146" i="1"/>
  <c r="J15" i="18" s="1"/>
  <c r="J505" i="18" s="1"/>
  <c r="J43" i="7941" s="1"/>
  <c r="J149" i="1"/>
  <c r="J18" i="18" s="1"/>
  <c r="J147" i="1"/>
  <c r="J16" i="18" s="1"/>
  <c r="J280" i="1"/>
  <c r="J143" i="1"/>
  <c r="J144" i="1"/>
  <c r="J13" i="18" s="1"/>
  <c r="J286" i="18"/>
  <c r="K118" i="7942"/>
  <c r="L118" i="7942" s="1"/>
  <c r="J321" i="7942"/>
  <c r="K321" i="7942" s="1"/>
  <c r="L158" i="18"/>
  <c r="K260" i="18"/>
  <c r="L260" i="18" s="1"/>
  <c r="J284" i="1"/>
  <c r="J49" i="18" s="1"/>
  <c r="H286" i="1"/>
  <c r="H47" i="7944"/>
  <c r="I15" i="7944" s="1"/>
  <c r="I165" i="7944"/>
  <c r="I70" i="18"/>
  <c r="I820" i="18" s="1"/>
  <c r="I550" i="7941" s="1"/>
  <c r="J417" i="18"/>
  <c r="I67" i="18"/>
  <c r="I817" i="18" s="1"/>
  <c r="I547" i="7941" s="1"/>
  <c r="J378" i="18"/>
  <c r="J404" i="18"/>
  <c r="J413" i="18" s="1"/>
  <c r="I69" i="18"/>
  <c r="I57" i="18"/>
  <c r="J248" i="18"/>
  <c r="I519" i="18"/>
  <c r="I57" i="7941" s="1"/>
  <c r="J313" i="18"/>
  <c r="I62" i="18"/>
  <c r="I812" i="18" s="1"/>
  <c r="I542" i="7941" s="1"/>
  <c r="I130" i="7942"/>
  <c r="L299" i="18"/>
  <c r="I55" i="18"/>
  <c r="I805" i="18" s="1"/>
  <c r="I535" i="7941" s="1"/>
  <c r="J222" i="18"/>
  <c r="K222" i="18" s="1"/>
  <c r="L222" i="18" s="1"/>
  <c r="I58" i="18"/>
  <c r="J261" i="18"/>
  <c r="J235" i="18"/>
  <c r="I56" i="18"/>
  <c r="I806" i="18" s="1"/>
  <c r="I536" i="7941" s="1"/>
  <c r="J326" i="18"/>
  <c r="I63" i="18"/>
  <c r="J391" i="18"/>
  <c r="J400" i="18" s="1"/>
  <c r="I68" i="18"/>
  <c r="L170" i="18"/>
  <c r="I51" i="18"/>
  <c r="K170" i="18"/>
  <c r="J170" i="18"/>
  <c r="M170" i="18"/>
  <c r="N170" i="18"/>
  <c r="O170" i="18"/>
  <c r="J132" i="7942"/>
  <c r="K132" i="7942" s="1"/>
  <c r="K158" i="7942"/>
  <c r="L158" i="7942" s="1"/>
  <c r="L159" i="7942" s="1"/>
  <c r="J436" i="7942"/>
  <c r="J295" i="7942"/>
  <c r="K295" i="7942" s="1"/>
  <c r="I88" i="18"/>
  <c r="I956" i="18" s="1"/>
  <c r="J196" i="18"/>
  <c r="I53" i="18"/>
  <c r="I52" i="18"/>
  <c r="I802" i="18" s="1"/>
  <c r="I532" i="7941" s="1"/>
  <c r="J183" i="18"/>
  <c r="K183" i="18" s="1"/>
  <c r="J443" i="18"/>
  <c r="I72" i="18"/>
  <c r="I822" i="18" s="1"/>
  <c r="I552" i="7941" s="1"/>
  <c r="I65" i="18"/>
  <c r="J352" i="18"/>
  <c r="J152" i="7942"/>
  <c r="K152" i="7942" s="1"/>
  <c r="J166" i="7942"/>
  <c r="K166" i="7942" s="1"/>
  <c r="L166" i="7942" s="1"/>
  <c r="N158" i="18"/>
  <c r="J279" i="1"/>
  <c r="M80" i="18" s="1"/>
  <c r="M158" i="18"/>
  <c r="E219" i="7947"/>
  <c r="E226" i="7947" s="1"/>
  <c r="E206" i="7947"/>
  <c r="F206" i="7947" s="1"/>
  <c r="J339" i="18"/>
  <c r="K339" i="18" s="1"/>
  <c r="I64" i="18"/>
  <c r="J300" i="18"/>
  <c r="I61" i="18"/>
  <c r="J365" i="18"/>
  <c r="K365" i="18" s="1"/>
  <c r="L365" i="18" s="1"/>
  <c r="I66" i="18"/>
  <c r="I54" i="18"/>
  <c r="J209" i="18"/>
  <c r="I71" i="18"/>
  <c r="J430" i="18"/>
  <c r="K430" i="18" s="1"/>
  <c r="I59" i="18"/>
  <c r="J274" i="18"/>
  <c r="K274" i="18" s="1"/>
  <c r="I502" i="18"/>
  <c r="I40" i="7941" s="1"/>
  <c r="J123" i="7944"/>
  <c r="O90" i="7944"/>
  <c r="P90" i="7944" s="1"/>
  <c r="K153" i="7944"/>
  <c r="K127" i="7944"/>
  <c r="L127" i="7944" s="1"/>
  <c r="J39" i="7945"/>
  <c r="K39" i="7945" s="1"/>
  <c r="G309" i="1"/>
  <c r="L131" i="18"/>
  <c r="M131" i="18"/>
  <c r="N131" i="18"/>
  <c r="K131" i="18"/>
  <c r="J131" i="18"/>
  <c r="I48" i="18"/>
  <c r="H7" i="7944"/>
  <c r="J68" i="7945"/>
  <c r="K68" i="7945" s="1"/>
  <c r="N116" i="7944"/>
  <c r="O116" i="7944" s="1"/>
  <c r="O88" i="7944"/>
  <c r="P88" i="7944" s="1"/>
  <c r="Q88" i="7944" s="1"/>
  <c r="J67" i="7945"/>
  <c r="K67" i="7945" s="1"/>
  <c r="H148" i="7947"/>
  <c r="I145" i="7947" s="1"/>
  <c r="I148" i="7947" s="1"/>
  <c r="J145" i="7947" s="1"/>
  <c r="N89" i="7944"/>
  <c r="O89" i="7944" s="1"/>
  <c r="P89" i="7944" s="1"/>
  <c r="Q89" i="7944" s="1"/>
  <c r="J87" i="7944"/>
  <c r="M142" i="7944"/>
  <c r="N142" i="7944" s="1"/>
  <c r="O142" i="7944" s="1"/>
  <c r="J139" i="7944"/>
  <c r="J149" i="7944" s="1"/>
  <c r="J82" i="7945"/>
  <c r="K82" i="7945" s="1"/>
  <c r="E171" i="7947"/>
  <c r="E173" i="7947" s="1"/>
  <c r="F170" i="7947" s="1"/>
  <c r="E68" i="7947"/>
  <c r="E69" i="7947" s="1"/>
  <c r="F67" i="7947" s="1"/>
  <c r="E96" i="7947"/>
  <c r="E97" i="7947" s="1"/>
  <c r="F95" i="7947" s="1"/>
  <c r="E100" i="7947"/>
  <c r="E101" i="7947" s="1"/>
  <c r="F99" i="7947" s="1"/>
  <c r="E156" i="7947"/>
  <c r="E158" i="7947" s="1"/>
  <c r="F155" i="7947" s="1"/>
  <c r="P117" i="7944"/>
  <c r="Q117" i="7944" s="1"/>
  <c r="J134" i="7942"/>
  <c r="K134" i="7942" s="1"/>
  <c r="N77" i="7944"/>
  <c r="O77" i="7944" s="1"/>
  <c r="P77" i="7944" s="1"/>
  <c r="Q77" i="7944" s="1"/>
  <c r="E176" i="7947"/>
  <c r="E178" i="7947" s="1"/>
  <c r="F175" i="7947" s="1"/>
  <c r="E31" i="7947"/>
  <c r="E32" i="7947" s="1"/>
  <c r="F30" i="7947" s="1"/>
  <c r="K319" i="7942"/>
  <c r="L319" i="7942" s="1"/>
  <c r="L320" i="7942" s="1"/>
  <c r="E135" i="7945"/>
  <c r="F135" i="7945" s="1"/>
  <c r="M195" i="18"/>
  <c r="I269" i="7942"/>
  <c r="J269" i="7942" s="1"/>
  <c r="I440" i="7942"/>
  <c r="J440" i="7942" s="1"/>
  <c r="I281" i="7942"/>
  <c r="H698" i="18"/>
  <c r="H958" i="18"/>
  <c r="E27" i="7947"/>
  <c r="E28" i="7947" s="1"/>
  <c r="F26" i="7947" s="1"/>
  <c r="E151" i="7947"/>
  <c r="E153" i="7947" s="1"/>
  <c r="F150" i="7947" s="1"/>
  <c r="K110" i="7942"/>
  <c r="L110" i="7942" s="1"/>
  <c r="M110" i="7942" s="1"/>
  <c r="J305" i="7942"/>
  <c r="K305" i="7942" s="1"/>
  <c r="E359" i="7945"/>
  <c r="F359" i="7945" s="1"/>
  <c r="I797" i="18"/>
  <c r="I527" i="7941" s="1"/>
  <c r="E52" i="7945"/>
  <c r="I162" i="7942"/>
  <c r="G76" i="7942"/>
  <c r="G43" i="7942"/>
  <c r="I150" i="7942"/>
  <c r="J150" i="7942" s="1"/>
  <c r="I446" i="7942"/>
  <c r="I454" i="7942"/>
  <c r="J454" i="7942" s="1"/>
  <c r="K454" i="7942" s="1"/>
  <c r="I122" i="7942"/>
  <c r="J122" i="7942" s="1"/>
  <c r="I323" i="7942"/>
  <c r="J323" i="7942" s="1"/>
  <c r="I460" i="7942"/>
  <c r="J460" i="7942" s="1"/>
  <c r="I464" i="7942"/>
  <c r="J464" i="7942" s="1"/>
  <c r="I442" i="7942"/>
  <c r="J442" i="7942" s="1"/>
  <c r="M325" i="18"/>
  <c r="N325" i="18" s="1"/>
  <c r="J8" i="7944"/>
  <c r="F166" i="7947"/>
  <c r="F168" i="7947" s="1"/>
  <c r="G165" i="7947" s="1"/>
  <c r="I10" i="7944"/>
  <c r="J10" i="7944" s="1"/>
  <c r="D140" i="7947"/>
  <c r="C183" i="7947"/>
  <c r="R208" i="1"/>
  <c r="M128" i="7944"/>
  <c r="J39" i="7944"/>
  <c r="J11" i="7945"/>
  <c r="K11" i="7945" s="1"/>
  <c r="M76" i="7944"/>
  <c r="N76" i="7944" s="1"/>
  <c r="M154" i="7944"/>
  <c r="N154" i="7944" s="1"/>
  <c r="O154" i="7944" s="1"/>
  <c r="P154" i="7944" s="1"/>
  <c r="K101" i="7944"/>
  <c r="B227" i="7947"/>
  <c r="B5" i="7947" s="1"/>
  <c r="H45" i="18"/>
  <c r="M91" i="18"/>
  <c r="J91" i="18"/>
  <c r="L91" i="18"/>
  <c r="N91" i="18"/>
  <c r="K91" i="18"/>
  <c r="I91" i="18"/>
  <c r="G527" i="7941"/>
  <c r="H765" i="18"/>
  <c r="K39" i="7944"/>
  <c r="J12" i="7945"/>
  <c r="K12" i="7945" s="1"/>
  <c r="E72" i="7947"/>
  <c r="E73" i="7947" s="1"/>
  <c r="F71" i="7947" s="1"/>
  <c r="L140" i="7944"/>
  <c r="J80" i="7945" s="1"/>
  <c r="K80" i="7945" s="1"/>
  <c r="G73" i="7941"/>
  <c r="G533" i="18"/>
  <c r="H471" i="18"/>
  <c r="I309" i="1"/>
  <c r="J102" i="18"/>
  <c r="K442" i="18"/>
  <c r="L442" i="18" s="1"/>
  <c r="G46" i="7941"/>
  <c r="H476" i="18"/>
  <c r="H734" i="18" s="1"/>
  <c r="E35" i="7947"/>
  <c r="E36" i="7947" s="1"/>
  <c r="F34" i="7947" s="1"/>
  <c r="K130" i="18"/>
  <c r="L130" i="18"/>
  <c r="H48" i="18"/>
  <c r="M130" i="18"/>
  <c r="I130" i="18"/>
  <c r="J130" i="18"/>
  <c r="K221" i="18"/>
  <c r="M403" i="18"/>
  <c r="I301" i="7942"/>
  <c r="J301" i="7942" s="1"/>
  <c r="I313" i="7942"/>
  <c r="J313" i="7942" s="1"/>
  <c r="I462" i="7942"/>
  <c r="J462" i="7942" s="1"/>
  <c r="I289" i="7942"/>
  <c r="J289" i="7942" s="1"/>
  <c r="G526" i="7941"/>
  <c r="H764" i="18"/>
  <c r="H990" i="18" s="1"/>
  <c r="G793" i="18"/>
  <c r="P156" i="7944"/>
  <c r="Q156" i="7944" s="1"/>
  <c r="E9" i="7945"/>
  <c r="F9" i="7945" s="1"/>
  <c r="H794" i="18"/>
  <c r="H116" i="7942"/>
  <c r="I116" i="7942" s="1"/>
  <c r="K74" i="7944"/>
  <c r="K84" i="7944" s="1"/>
  <c r="F80" i="7947"/>
  <c r="F81" i="7947" s="1"/>
  <c r="G79" i="7947" s="1"/>
  <c r="J148" i="7942"/>
  <c r="K148" i="7942" s="1"/>
  <c r="I50" i="18"/>
  <c r="J157" i="18"/>
  <c r="M157" i="18"/>
  <c r="N157" i="18"/>
  <c r="K157" i="18"/>
  <c r="L157" i="18"/>
  <c r="J450" i="7942"/>
  <c r="K450" i="7942" s="1"/>
  <c r="L450" i="7942" s="1"/>
  <c r="M143" i="18"/>
  <c r="L143" i="18"/>
  <c r="H49" i="18"/>
  <c r="J143" i="18"/>
  <c r="I143" i="18"/>
  <c r="K143" i="18"/>
  <c r="H140" i="18"/>
  <c r="J128" i="18"/>
  <c r="H768" i="18"/>
  <c r="H994" i="18" s="1"/>
  <c r="G530" i="7941"/>
  <c r="H268" i="7942"/>
  <c r="E8" i="7945"/>
  <c r="H114" i="7942"/>
  <c r="F161" i="7947"/>
  <c r="F163" i="7947" s="1"/>
  <c r="G160" i="7947" s="1"/>
  <c r="L182" i="18"/>
  <c r="M182" i="18" s="1"/>
  <c r="E13" i="7947"/>
  <c r="E18" i="7947" s="1"/>
  <c r="D42" i="7947"/>
  <c r="D23" i="7947"/>
  <c r="D43" i="7947" s="1"/>
  <c r="L114" i="7944"/>
  <c r="J138" i="7942"/>
  <c r="J126" i="7944"/>
  <c r="E289" i="7945"/>
  <c r="F202" i="7947"/>
  <c r="L273" i="18"/>
  <c r="I430" i="7942"/>
  <c r="I271" i="7942"/>
  <c r="I327" i="7942"/>
  <c r="J327" i="7942" s="1"/>
  <c r="I273" i="7942"/>
  <c r="I297" i="7942"/>
  <c r="J297" i="7942" s="1"/>
  <c r="I283" i="7942"/>
  <c r="J283" i="7942" s="1"/>
  <c r="K283" i="7942" s="1"/>
  <c r="I285" i="7942"/>
  <c r="J285" i="7942" s="1"/>
  <c r="I448" i="7942"/>
  <c r="J448" i="7942" s="1"/>
  <c r="H40" i="7941"/>
  <c r="L75" i="7944"/>
  <c r="K113" i="7944"/>
  <c r="J110" i="7944"/>
  <c r="M338" i="18"/>
  <c r="H115" i="18"/>
  <c r="I115" i="18" s="1"/>
  <c r="I127" i="18" s="1"/>
  <c r="I959" i="18" s="1"/>
  <c r="I796" i="18"/>
  <c r="I526" i="7941" s="1"/>
  <c r="E38" i="7945"/>
  <c r="M351" i="18"/>
  <c r="N351" i="18" s="1"/>
  <c r="H473" i="18"/>
  <c r="H731" i="18" s="1"/>
  <c r="G43" i="7941"/>
  <c r="P129" i="7944"/>
  <c r="Q129" i="7944" s="1"/>
  <c r="N102" i="7944"/>
  <c r="O102" i="7944" s="1"/>
  <c r="N141" i="7944"/>
  <c r="I12" i="7944"/>
  <c r="J89" i="18"/>
  <c r="L89" i="18"/>
  <c r="O89" i="18"/>
  <c r="H89" i="18"/>
  <c r="H495" i="7942"/>
  <c r="I89" i="18"/>
  <c r="M89" i="18"/>
  <c r="K89" i="18"/>
  <c r="N89" i="18"/>
  <c r="I794" i="18"/>
  <c r="G589" i="7941"/>
  <c r="G587" i="7941" s="1"/>
  <c r="G857" i="18"/>
  <c r="I156" i="7942"/>
  <c r="J156" i="7942" s="1"/>
  <c r="I456" i="7942"/>
  <c r="J456" i="7942" s="1"/>
  <c r="I303" i="7942"/>
  <c r="J303" i="7942" s="1"/>
  <c r="J84" i="7944"/>
  <c r="E84" i="7947"/>
  <c r="E85" i="7947" s="1"/>
  <c r="F83" i="7947" s="1"/>
  <c r="E88" i="7947"/>
  <c r="E89" i="7947" s="1"/>
  <c r="F87" i="7947" s="1"/>
  <c r="E39" i="7947"/>
  <c r="E40" i="7947" s="1"/>
  <c r="F38" i="7947" s="1"/>
  <c r="J124" i="7942"/>
  <c r="K124" i="7942" s="1"/>
  <c r="I13" i="7944"/>
  <c r="M115" i="7944"/>
  <c r="G105" i="7941"/>
  <c r="G103" i="7941" s="1"/>
  <c r="G565" i="18"/>
  <c r="K364" i="18"/>
  <c r="I146" i="7942"/>
  <c r="I277" i="7942"/>
  <c r="I458" i="7942"/>
  <c r="J458" i="7942" s="1"/>
  <c r="K458" i="7942" s="1"/>
  <c r="I287" i="7942"/>
  <c r="I432" i="7942"/>
  <c r="I325" i="7942"/>
  <c r="J325" i="7942" s="1"/>
  <c r="I444" i="7942"/>
  <c r="J444" i="7942" s="1"/>
  <c r="K444" i="7942" s="1"/>
  <c r="I438" i="7942"/>
  <c r="I291" i="7942"/>
  <c r="J291" i="7942" s="1"/>
  <c r="L100" i="7944"/>
  <c r="M100" i="7944" s="1"/>
  <c r="I504" i="18"/>
  <c r="I11" i="18"/>
  <c r="E76" i="7947"/>
  <c r="E77" i="7947" s="1"/>
  <c r="F75" i="7947" s="1"/>
  <c r="G42" i="7941"/>
  <c r="H472" i="18"/>
  <c r="H730" i="18" s="1"/>
  <c r="G501" i="18"/>
  <c r="I9" i="7944"/>
  <c r="J9" i="7944" s="1"/>
  <c r="K390" i="18"/>
  <c r="L390" i="18" s="1"/>
  <c r="M390" i="18" s="1"/>
  <c r="I39" i="7944"/>
  <c r="J164" i="7942"/>
  <c r="K164" i="7942" s="1"/>
  <c r="I126" i="7942"/>
  <c r="J126" i="7942" s="1"/>
  <c r="J81" i="7945"/>
  <c r="K81" i="7945" s="1"/>
  <c r="I49" i="18"/>
  <c r="J144" i="18"/>
  <c r="L144" i="18"/>
  <c r="N144" i="18"/>
  <c r="M144" i="18"/>
  <c r="K144" i="18"/>
  <c r="F92" i="7947"/>
  <c r="F93" i="7947" s="1"/>
  <c r="G91" i="7947" s="1"/>
  <c r="G557" i="7941"/>
  <c r="G957" i="18"/>
  <c r="G955" i="18" s="1"/>
  <c r="H763" i="18"/>
  <c r="J53" i="7945"/>
  <c r="K53" i="7945" s="1"/>
  <c r="K452" i="7942"/>
  <c r="L452" i="7942" s="1"/>
  <c r="M452" i="7942" s="1"/>
  <c r="L453" i="7942" s="1"/>
  <c r="E246" i="7945"/>
  <c r="H705" i="18"/>
  <c r="H543" i="18" s="1"/>
  <c r="H985" i="18"/>
  <c r="H855" i="18" s="1"/>
  <c r="H707" i="18"/>
  <c r="H545" i="18" s="1"/>
  <c r="H977" i="18"/>
  <c r="H847" i="18" s="1"/>
  <c r="H708" i="18"/>
  <c r="H546" i="18" s="1"/>
  <c r="H713" i="18"/>
  <c r="H551" i="18" s="1"/>
  <c r="H712" i="18"/>
  <c r="H550" i="18" s="1"/>
  <c r="H709" i="18"/>
  <c r="H547" i="18" s="1"/>
  <c r="H981" i="18"/>
  <c r="H851" i="18" s="1"/>
  <c r="H719" i="18"/>
  <c r="H557" i="18" s="1"/>
  <c r="H702" i="18"/>
  <c r="H962" i="18"/>
  <c r="J307" i="7942"/>
  <c r="K307" i="7942" s="1"/>
  <c r="H723" i="18"/>
  <c r="H561" i="18" s="1"/>
  <c r="H974" i="18"/>
  <c r="H844" i="18" s="1"/>
  <c r="H704" i="18"/>
  <c r="H542" i="18" s="1"/>
  <c r="H983" i="18"/>
  <c r="H853" i="18" s="1"/>
  <c r="H975" i="18"/>
  <c r="H845" i="18" s="1"/>
  <c r="H968" i="18"/>
  <c r="H838" i="18" s="1"/>
  <c r="H973" i="18"/>
  <c r="H843" i="18" s="1"/>
  <c r="H970" i="18"/>
  <c r="H840" i="18" s="1"/>
  <c r="H967" i="18"/>
  <c r="H837" i="18" s="1"/>
  <c r="H972" i="18"/>
  <c r="H842" i="18" s="1"/>
  <c r="H720" i="18"/>
  <c r="H558" i="18" s="1"/>
  <c r="H724" i="18"/>
  <c r="H562" i="18" s="1"/>
  <c r="K401" i="18"/>
  <c r="K311" i="7942"/>
  <c r="H971" i="18"/>
  <c r="H841" i="18" s="1"/>
  <c r="H984" i="18"/>
  <c r="H854" i="18" s="1"/>
  <c r="H964" i="18"/>
  <c r="H834" i="18" s="1"/>
  <c r="H711" i="18"/>
  <c r="H549" i="18" s="1"/>
  <c r="H718" i="18"/>
  <c r="H556" i="18" s="1"/>
  <c r="H716" i="18"/>
  <c r="H554" i="18" s="1"/>
  <c r="H978" i="18"/>
  <c r="H848" i="18" s="1"/>
  <c r="H966" i="18"/>
  <c r="H836" i="18" s="1"/>
  <c r="H976" i="18"/>
  <c r="H846" i="18" s="1"/>
  <c r="H982" i="18"/>
  <c r="H852" i="18" s="1"/>
  <c r="H706" i="18"/>
  <c r="H544" i="18" s="1"/>
  <c r="M297" i="18"/>
  <c r="N297" i="18" s="1"/>
  <c r="E344" i="7945"/>
  <c r="K258" i="18"/>
  <c r="L258" i="18" s="1"/>
  <c r="L309" i="7942"/>
  <c r="L310" i="7942" s="1"/>
  <c r="H721" i="18"/>
  <c r="H559" i="18" s="1"/>
  <c r="H979" i="18"/>
  <c r="H849" i="18" s="1"/>
  <c r="H969" i="18"/>
  <c r="H839" i="18" s="1"/>
  <c r="H980" i="18"/>
  <c r="H850" i="18" s="1"/>
  <c r="H725" i="18"/>
  <c r="H563" i="18" s="1"/>
  <c r="H710" i="18"/>
  <c r="H548" i="18" s="1"/>
  <c r="H717" i="18"/>
  <c r="H555" i="18" s="1"/>
  <c r="H714" i="18"/>
  <c r="H552" i="18" s="1"/>
  <c r="H715" i="18"/>
  <c r="H553" i="18" s="1"/>
  <c r="H965" i="18"/>
  <c r="H835" i="18" s="1"/>
  <c r="H722" i="18"/>
  <c r="H560" i="18" s="1"/>
  <c r="H534" i="18"/>
  <c r="M388" i="18"/>
  <c r="N388" i="18" s="1"/>
  <c r="M193" i="18"/>
  <c r="K142" i="7942"/>
  <c r="I477" i="18" l="1"/>
  <c r="K141" i="18"/>
  <c r="I153" i="18"/>
  <c r="E373" i="7945"/>
  <c r="F373" i="7945" s="1"/>
  <c r="M416" i="18"/>
  <c r="N416" i="18" s="1"/>
  <c r="L141" i="18"/>
  <c r="M141" i="18" s="1"/>
  <c r="N141" i="18" s="1"/>
  <c r="E78" i="7945"/>
  <c r="J204" i="7947"/>
  <c r="K204" i="7947" s="1"/>
  <c r="C227" i="7947"/>
  <c r="C5" i="7947" s="1"/>
  <c r="L299" i="7942"/>
  <c r="L300" i="7942" s="1"/>
  <c r="H539" i="18"/>
  <c r="I475" i="18" s="1"/>
  <c r="N80" i="18"/>
  <c r="J470" i="7942"/>
  <c r="K470" i="7942" s="1"/>
  <c r="L470" i="7942" s="1"/>
  <c r="N474" i="7942"/>
  <c r="D63" i="7947"/>
  <c r="F111" i="7947"/>
  <c r="N476" i="7942"/>
  <c r="O476" i="7942" s="1"/>
  <c r="N477" i="7942" s="1"/>
  <c r="K480" i="7942"/>
  <c r="L480" i="7942" s="1"/>
  <c r="M480" i="7942" s="1"/>
  <c r="L481" i="7942" s="1"/>
  <c r="J478" i="7942"/>
  <c r="K478" i="7942" s="1"/>
  <c r="M488" i="7942"/>
  <c r="L489" i="7942" s="1"/>
  <c r="N486" i="7942"/>
  <c r="M487" i="7942" s="1"/>
  <c r="O76" i="7944"/>
  <c r="J482" i="7942"/>
  <c r="J472" i="7942"/>
  <c r="M484" i="7942"/>
  <c r="N484" i="7942" s="1"/>
  <c r="M485" i="7942" s="1"/>
  <c r="I429" i="7942"/>
  <c r="M284" i="18"/>
  <c r="N284" i="18" s="1"/>
  <c r="K466" i="7942"/>
  <c r="N468" i="7942"/>
  <c r="O468" i="7942" s="1"/>
  <c r="P468" i="7942" s="1"/>
  <c r="Q468" i="7942" s="1"/>
  <c r="L453" i="18"/>
  <c r="E414" i="7945" s="1"/>
  <c r="J452" i="18"/>
  <c r="M128" i="7942"/>
  <c r="M129" i="7942" s="1"/>
  <c r="K112" i="7942"/>
  <c r="L112" i="7942" s="1"/>
  <c r="L154" i="7942"/>
  <c r="M154" i="7942" s="1"/>
  <c r="N154" i="7942" s="1"/>
  <c r="M136" i="7942"/>
  <c r="N136" i="7942" s="1"/>
  <c r="N137" i="7942" s="1"/>
  <c r="J430" i="7942"/>
  <c r="K436" i="7942"/>
  <c r="K434" i="7942"/>
  <c r="E302" i="7945"/>
  <c r="N349" i="18"/>
  <c r="O349" i="18" s="1"/>
  <c r="L456" i="18"/>
  <c r="E416" i="7945" s="1"/>
  <c r="F416" i="7945" s="1"/>
  <c r="M245" i="18"/>
  <c r="N245" i="18" s="1"/>
  <c r="O91" i="18"/>
  <c r="O132" i="18"/>
  <c r="O79" i="18"/>
  <c r="N232" i="18"/>
  <c r="O232" i="18" s="1"/>
  <c r="P232" i="18" s="1"/>
  <c r="E176" i="7945"/>
  <c r="M362" i="18"/>
  <c r="N362" i="18" s="1"/>
  <c r="I975" i="18"/>
  <c r="N310" i="18"/>
  <c r="O310" i="18" s="1"/>
  <c r="E260" i="7945"/>
  <c r="N427" i="18"/>
  <c r="O427" i="18" s="1"/>
  <c r="P427" i="18" s="1"/>
  <c r="J335" i="18"/>
  <c r="O271" i="18"/>
  <c r="H832" i="18"/>
  <c r="H562" i="7941" s="1"/>
  <c r="O167" i="18"/>
  <c r="P3" i="18"/>
  <c r="O78" i="18"/>
  <c r="O92" i="18"/>
  <c r="O76" i="18"/>
  <c r="J512" i="18"/>
  <c r="J50" i="7941" s="1"/>
  <c r="J520" i="18"/>
  <c r="J58" i="7941" s="1"/>
  <c r="J514" i="18"/>
  <c r="J52" i="7941" s="1"/>
  <c r="J524" i="18"/>
  <c r="J62" i="7941" s="1"/>
  <c r="J515" i="18"/>
  <c r="J53" i="7941" s="1"/>
  <c r="I977" i="18"/>
  <c r="L206" i="18"/>
  <c r="E148" i="7945" s="1"/>
  <c r="J503" i="18"/>
  <c r="J41" i="7941" s="1"/>
  <c r="J508" i="18"/>
  <c r="J46" i="7941" s="1"/>
  <c r="J530" i="18"/>
  <c r="J68" i="7941" s="1"/>
  <c r="J513" i="18"/>
  <c r="J51" i="7941" s="1"/>
  <c r="J528" i="18"/>
  <c r="J66" i="7941" s="1"/>
  <c r="E372" i="7945"/>
  <c r="M414" i="18"/>
  <c r="N414" i="18" s="1"/>
  <c r="E386" i="7945"/>
  <c r="J507" i="18"/>
  <c r="J45" i="7941" s="1"/>
  <c r="I721" i="18"/>
  <c r="M144" i="7942"/>
  <c r="M145" i="7942" s="1"/>
  <c r="I979" i="18"/>
  <c r="I705" i="18"/>
  <c r="L145" i="7942"/>
  <c r="I707" i="18"/>
  <c r="I978" i="18"/>
  <c r="I718" i="18"/>
  <c r="I712" i="18"/>
  <c r="I966" i="18"/>
  <c r="I970" i="18"/>
  <c r="I709" i="18"/>
  <c r="I972" i="18"/>
  <c r="I967" i="18"/>
  <c r="I985" i="18"/>
  <c r="I720" i="18"/>
  <c r="I719" i="18"/>
  <c r="I706" i="18"/>
  <c r="I716" i="18"/>
  <c r="I965" i="18"/>
  <c r="I983" i="18"/>
  <c r="I713" i="18"/>
  <c r="I710" i="18"/>
  <c r="I971" i="18"/>
  <c r="I980" i="18"/>
  <c r="I981" i="18"/>
  <c r="I973" i="18"/>
  <c r="I982" i="18"/>
  <c r="I724" i="18"/>
  <c r="I725" i="18"/>
  <c r="I711" i="18"/>
  <c r="I715" i="18"/>
  <c r="I708" i="18"/>
  <c r="I704" i="18"/>
  <c r="I976" i="18"/>
  <c r="I964" i="18"/>
  <c r="I968" i="18"/>
  <c r="I969" i="18"/>
  <c r="I974" i="18"/>
  <c r="I984" i="18"/>
  <c r="I722" i="18"/>
  <c r="I717" i="18"/>
  <c r="I723" i="18"/>
  <c r="I714" i="18"/>
  <c r="L440" i="18"/>
  <c r="E400" i="7945" s="1"/>
  <c r="M453" i="18"/>
  <c r="N453" i="18" s="1"/>
  <c r="O453" i="18" s="1"/>
  <c r="L137" i="7942"/>
  <c r="M160" i="7942"/>
  <c r="M161" i="7942" s="1"/>
  <c r="N120" i="7942"/>
  <c r="O120" i="7942" s="1"/>
  <c r="L121" i="7942"/>
  <c r="E162" i="7945"/>
  <c r="M219" i="18"/>
  <c r="N219" i="18" s="1"/>
  <c r="O219" i="18" s="1"/>
  <c r="O297" i="18"/>
  <c r="P297" i="18" s="1"/>
  <c r="J154" i="18"/>
  <c r="K154" i="18" s="1"/>
  <c r="L375" i="18"/>
  <c r="E330" i="7945" s="1"/>
  <c r="K323" i="18"/>
  <c r="K404" i="18"/>
  <c r="L404" i="18" s="1"/>
  <c r="E360" i="7945" s="1"/>
  <c r="F360" i="7945" s="1"/>
  <c r="M317" i="7942"/>
  <c r="M318" i="7942" s="1"/>
  <c r="L305" i="7942"/>
  <c r="M305" i="7942" s="1"/>
  <c r="K132" i="18"/>
  <c r="O145" i="18"/>
  <c r="E415" i="7945"/>
  <c r="F415" i="7945" s="1"/>
  <c r="N455" i="18"/>
  <c r="O455" i="18" s="1"/>
  <c r="J800" i="18"/>
  <c r="J530" i="7941" s="1"/>
  <c r="E10" i="7945"/>
  <c r="F10" i="7945" s="1"/>
  <c r="M121" i="7942"/>
  <c r="J88" i="18"/>
  <c r="J696" i="18" s="1"/>
  <c r="J387" i="18"/>
  <c r="J44" i="18"/>
  <c r="J794" i="18" s="1"/>
  <c r="J374" i="18"/>
  <c r="J218" i="18"/>
  <c r="J277" i="7942"/>
  <c r="K277" i="7942" s="1"/>
  <c r="L277" i="7942" s="1"/>
  <c r="L278" i="7942" s="1"/>
  <c r="D24" i="7947"/>
  <c r="D44" i="7947" s="1"/>
  <c r="J511" i="18"/>
  <c r="J49" i="7941" s="1"/>
  <c r="J257" i="18"/>
  <c r="P104" i="7944"/>
  <c r="Q104" i="7944" s="1"/>
  <c r="M118" i="7942"/>
  <c r="M119" i="7942" s="1"/>
  <c r="L119" i="7942"/>
  <c r="L124" i="7942"/>
  <c r="L125" i="7942" s="1"/>
  <c r="L132" i="18"/>
  <c r="K443" i="18"/>
  <c r="L443" i="18" s="1"/>
  <c r="M443" i="18" s="1"/>
  <c r="E387" i="7945"/>
  <c r="F387" i="7945" s="1"/>
  <c r="M132" i="18"/>
  <c r="K391" i="18"/>
  <c r="L391" i="18" s="1"/>
  <c r="J48" i="18"/>
  <c r="J296" i="18"/>
  <c r="J506" i="18"/>
  <c r="J44" i="7941" s="1"/>
  <c r="J509" i="18"/>
  <c r="J47" i="7941" s="1"/>
  <c r="J531" i="18"/>
  <c r="J69" i="7941" s="1"/>
  <c r="J523" i="18"/>
  <c r="J61" i="7941" s="1"/>
  <c r="J518" i="18"/>
  <c r="J56" i="7941" s="1"/>
  <c r="J525" i="18"/>
  <c r="J63" i="7941" s="1"/>
  <c r="J516" i="18"/>
  <c r="J54" i="7941" s="1"/>
  <c r="J510" i="18"/>
  <c r="J48" i="7941" s="1"/>
  <c r="L80" i="18"/>
  <c r="K247" i="18"/>
  <c r="L247" i="18" s="1"/>
  <c r="M247" i="18" s="1"/>
  <c r="K80" i="18"/>
  <c r="K88" i="18" s="1"/>
  <c r="K696" i="18" s="1"/>
  <c r="J522" i="18"/>
  <c r="J60" i="7941" s="1"/>
  <c r="O80" i="18"/>
  <c r="K196" i="18"/>
  <c r="K286" i="18"/>
  <c r="L286" i="18" s="1"/>
  <c r="P158" i="18"/>
  <c r="P80" i="18"/>
  <c r="K326" i="18"/>
  <c r="L326" i="18" s="1"/>
  <c r="M260" i="18"/>
  <c r="N260" i="18" s="1"/>
  <c r="E205" i="7945"/>
  <c r="F205" i="7945" s="1"/>
  <c r="L287" i="18"/>
  <c r="M287" i="18" s="1"/>
  <c r="I809" i="18"/>
  <c r="I539" i="7941" s="1"/>
  <c r="M299" i="18"/>
  <c r="N299" i="18" s="1"/>
  <c r="O299" i="18" s="1"/>
  <c r="E247" i="7945"/>
  <c r="F247" i="7945" s="1"/>
  <c r="J192" i="18"/>
  <c r="K262" i="18"/>
  <c r="L262" i="18" s="1"/>
  <c r="J58" i="18"/>
  <c r="K340" i="18"/>
  <c r="L340" i="18" s="1"/>
  <c r="M340" i="18" s="1"/>
  <c r="N340" i="18" s="1"/>
  <c r="J64" i="18"/>
  <c r="J57" i="18"/>
  <c r="K249" i="18"/>
  <c r="L249" i="18" s="1"/>
  <c r="M249" i="18" s="1"/>
  <c r="N249" i="18" s="1"/>
  <c r="K288" i="18"/>
  <c r="L288" i="18" s="1"/>
  <c r="J60" i="18"/>
  <c r="K275" i="18"/>
  <c r="J59" i="18"/>
  <c r="K327" i="18"/>
  <c r="J63" i="18"/>
  <c r="J270" i="18"/>
  <c r="I699" i="18"/>
  <c r="M145" i="18"/>
  <c r="E177" i="7945"/>
  <c r="F177" i="7945" s="1"/>
  <c r="O429" i="18"/>
  <c r="P429" i="18" s="1"/>
  <c r="K209" i="18"/>
  <c r="I816" i="18"/>
  <c r="I546" i="7941" s="1"/>
  <c r="E318" i="7945"/>
  <c r="F318" i="7945" s="1"/>
  <c r="G206" i="7947"/>
  <c r="J439" i="18"/>
  <c r="I808" i="18"/>
  <c r="I538" i="7941" s="1"/>
  <c r="K378" i="18"/>
  <c r="L378" i="18" s="1"/>
  <c r="L295" i="7942"/>
  <c r="L296" i="7942" s="1"/>
  <c r="M319" i="7942"/>
  <c r="J287" i="7942"/>
  <c r="K287" i="7942" s="1"/>
  <c r="L145" i="18"/>
  <c r="N145" i="18"/>
  <c r="K448" i="7942"/>
  <c r="L448" i="7942" s="1"/>
  <c r="M448" i="7942" s="1"/>
  <c r="I696" i="18"/>
  <c r="E95" i="7945"/>
  <c r="F95" i="7945" s="1"/>
  <c r="H536" i="18"/>
  <c r="H74" i="7941" s="1"/>
  <c r="L134" i="7942"/>
  <c r="L135" i="7942" s="1"/>
  <c r="L274" i="18"/>
  <c r="M274" i="18" s="1"/>
  <c r="J283" i="18"/>
  <c r="I804" i="18"/>
  <c r="I534" i="7941" s="1"/>
  <c r="M365" i="18"/>
  <c r="N365" i="18" s="1"/>
  <c r="O365" i="18" s="1"/>
  <c r="I814" i="18"/>
  <c r="I544" i="7941" s="1"/>
  <c r="E214" i="7947"/>
  <c r="E218" i="7947" s="1"/>
  <c r="E220" i="7947" s="1"/>
  <c r="F217" i="7947" s="1"/>
  <c r="J244" i="18"/>
  <c r="K352" i="18"/>
  <c r="L352" i="18" s="1"/>
  <c r="M352" i="18" s="1"/>
  <c r="J361" i="18"/>
  <c r="J205" i="18"/>
  <c r="J465" i="18"/>
  <c r="I801" i="18"/>
  <c r="I531" i="7941" s="1"/>
  <c r="E108" i="7945"/>
  <c r="F108" i="7945" s="1"/>
  <c r="K261" i="18"/>
  <c r="J231" i="18"/>
  <c r="J130" i="7942"/>
  <c r="K130" i="7942" s="1"/>
  <c r="L130" i="7942" s="1"/>
  <c r="K248" i="18"/>
  <c r="L248" i="18" s="1"/>
  <c r="M248" i="18" s="1"/>
  <c r="I819" i="18"/>
  <c r="I549" i="7941" s="1"/>
  <c r="P93" i="18"/>
  <c r="K93" i="18"/>
  <c r="K101" i="18" s="1"/>
  <c r="K957" i="18" s="1"/>
  <c r="L93" i="18"/>
  <c r="M93" i="18"/>
  <c r="O93" i="18"/>
  <c r="J45" i="18"/>
  <c r="J795" i="18" s="1"/>
  <c r="J525" i="7941" s="1"/>
  <c r="N93" i="18"/>
  <c r="E53" i="7945"/>
  <c r="J797" i="18"/>
  <c r="J527" i="7941" s="1"/>
  <c r="J53" i="18"/>
  <c r="K197" i="18"/>
  <c r="L197" i="18" s="1"/>
  <c r="M197" i="18" s="1"/>
  <c r="J71" i="18"/>
  <c r="K431" i="18"/>
  <c r="K439" i="18" s="1"/>
  <c r="K366" i="18"/>
  <c r="L366" i="18" s="1"/>
  <c r="M366" i="18" s="1"/>
  <c r="J66" i="18"/>
  <c r="J517" i="18"/>
  <c r="J55" i="7941" s="1"/>
  <c r="K418" i="18"/>
  <c r="L418" i="18" s="1"/>
  <c r="M418" i="18" s="1"/>
  <c r="J70" i="18"/>
  <c r="K210" i="18"/>
  <c r="L210" i="18" s="1"/>
  <c r="J54" i="18"/>
  <c r="K300" i="18"/>
  <c r="L300" i="18" s="1"/>
  <c r="J309" i="18"/>
  <c r="I803" i="18"/>
  <c r="I533" i="7941" s="1"/>
  <c r="I818" i="18"/>
  <c r="I548" i="7941" s="1"/>
  <c r="K313" i="18"/>
  <c r="L313" i="18" s="1"/>
  <c r="E262" i="7945" s="1"/>
  <c r="F262" i="7945" s="1"/>
  <c r="K171" i="18"/>
  <c r="M171" i="18"/>
  <c r="O171" i="18"/>
  <c r="J51" i="18"/>
  <c r="L171" i="18"/>
  <c r="N171" i="18"/>
  <c r="P171" i="18"/>
  <c r="K223" i="18"/>
  <c r="K231" i="18" s="1"/>
  <c r="J55" i="18"/>
  <c r="J805" i="18" s="1"/>
  <c r="J535" i="7941" s="1"/>
  <c r="M166" i="7942"/>
  <c r="M167" i="7942" s="1"/>
  <c r="K126" i="7942"/>
  <c r="L126" i="7942" s="1"/>
  <c r="M126" i="7942" s="1"/>
  <c r="J309" i="1"/>
  <c r="L458" i="7942"/>
  <c r="M458" i="7942" s="1"/>
  <c r="L459" i="7942" s="1"/>
  <c r="L183" i="18"/>
  <c r="M183" i="18" s="1"/>
  <c r="M234" i="18"/>
  <c r="J281" i="7942"/>
  <c r="K281" i="7942" s="1"/>
  <c r="L281" i="7942" s="1"/>
  <c r="L430" i="18"/>
  <c r="E388" i="7945" s="1"/>
  <c r="F388" i="7945" s="1"/>
  <c r="L339" i="18"/>
  <c r="M339" i="18" s="1"/>
  <c r="I175" i="7944"/>
  <c r="J165" i="7944"/>
  <c r="J175" i="7944" s="1"/>
  <c r="J12" i="18"/>
  <c r="J173" i="1"/>
  <c r="K7" i="18"/>
  <c r="K286" i="1"/>
  <c r="K151" i="1"/>
  <c r="K20" i="18" s="1"/>
  <c r="K290" i="1"/>
  <c r="K293" i="1"/>
  <c r="K296" i="1"/>
  <c r="K301" i="1"/>
  <c r="K304" i="1"/>
  <c r="K308" i="1"/>
  <c r="K159" i="1"/>
  <c r="K28" i="18" s="1"/>
  <c r="K170" i="1"/>
  <c r="K39" i="18" s="1"/>
  <c r="K287" i="1"/>
  <c r="K291" i="1"/>
  <c r="K294" i="1"/>
  <c r="K299" i="1"/>
  <c r="K302" i="1"/>
  <c r="K305" i="1"/>
  <c r="K152" i="1"/>
  <c r="K21" i="18" s="1"/>
  <c r="K154" i="1"/>
  <c r="K23" i="18" s="1"/>
  <c r="K156" i="1"/>
  <c r="K25" i="18" s="1"/>
  <c r="K157" i="1"/>
  <c r="K26" i="18" s="1"/>
  <c r="K516" i="18" s="1"/>
  <c r="K54" i="7941" s="1"/>
  <c r="K164" i="1"/>
  <c r="K33" i="18" s="1"/>
  <c r="K165" i="1"/>
  <c r="K34" i="18" s="1"/>
  <c r="K168" i="1"/>
  <c r="K37" i="18" s="1"/>
  <c r="K150" i="1"/>
  <c r="K19" i="18" s="1"/>
  <c r="K509" i="18" s="1"/>
  <c r="K47" i="7941" s="1"/>
  <c r="K298" i="1"/>
  <c r="K303" i="1"/>
  <c r="K153" i="1"/>
  <c r="K22" i="18" s="1"/>
  <c r="K162" i="1"/>
  <c r="K31" i="18" s="1"/>
  <c r="K521" i="18" s="1"/>
  <c r="K59" i="7941" s="1"/>
  <c r="K163" i="1"/>
  <c r="K32" i="18" s="1"/>
  <c r="K172" i="1"/>
  <c r="K41" i="18" s="1"/>
  <c r="F192" i="7947"/>
  <c r="K72" i="1" s="1"/>
  <c r="K288" i="1"/>
  <c r="K300" i="1"/>
  <c r="K306" i="1"/>
  <c r="K155" i="1"/>
  <c r="K24" i="18" s="1"/>
  <c r="K158" i="1"/>
  <c r="K27" i="18" s="1"/>
  <c r="K517" i="18" s="1"/>
  <c r="K55" i="7941" s="1"/>
  <c r="K292" i="1"/>
  <c r="K160" i="1"/>
  <c r="K29" i="18" s="1"/>
  <c r="K166" i="1"/>
  <c r="K35" i="18" s="1"/>
  <c r="K169" i="1"/>
  <c r="K38" i="18" s="1"/>
  <c r="K528" i="18" s="1"/>
  <c r="K66" i="7941" s="1"/>
  <c r="F122" i="7947"/>
  <c r="K295" i="1"/>
  <c r="K307" i="1"/>
  <c r="K161" i="1"/>
  <c r="K30" i="18" s="1"/>
  <c r="K520" i="18" s="1"/>
  <c r="K58" i="7941" s="1"/>
  <c r="K167" i="1"/>
  <c r="K36" i="18" s="1"/>
  <c r="K297" i="1"/>
  <c r="K171" i="1"/>
  <c r="K40" i="18" s="1"/>
  <c r="K289" i="1"/>
  <c r="K148" i="1"/>
  <c r="K17" i="18" s="1"/>
  <c r="K149" i="1"/>
  <c r="K18" i="18" s="1"/>
  <c r="K284" i="1"/>
  <c r="K147" i="1"/>
  <c r="K16" i="18" s="1"/>
  <c r="K506" i="18" s="1"/>
  <c r="K44" i="7941" s="1"/>
  <c r="K146" i="1"/>
  <c r="K15" i="18" s="1"/>
  <c r="K145" i="1"/>
  <c r="K14" i="18" s="1"/>
  <c r="K143" i="1"/>
  <c r="K285" i="1"/>
  <c r="K144" i="1"/>
  <c r="K13" i="18" s="1"/>
  <c r="K282" i="1"/>
  <c r="K47" i="18" s="1"/>
  <c r="K281" i="1"/>
  <c r="K46" i="18" s="1"/>
  <c r="K280" i="1"/>
  <c r="K279" i="1"/>
  <c r="K283" i="1"/>
  <c r="F219" i="7947"/>
  <c r="F226" i="7947" s="1"/>
  <c r="F207" i="7947"/>
  <c r="G207" i="7947" s="1"/>
  <c r="K392" i="18"/>
  <c r="L392" i="18" s="1"/>
  <c r="J68" i="18"/>
  <c r="K184" i="18"/>
  <c r="K192" i="18" s="1"/>
  <c r="J52" i="18"/>
  <c r="K444" i="18"/>
  <c r="J72" i="18"/>
  <c r="K236" i="18"/>
  <c r="J56" i="18"/>
  <c r="I810" i="18"/>
  <c r="I540" i="7941" s="1"/>
  <c r="J322" i="18"/>
  <c r="K456" i="7942"/>
  <c r="L456" i="7942" s="1"/>
  <c r="M456" i="7942" s="1"/>
  <c r="L457" i="7942" s="1"/>
  <c r="K145" i="18"/>
  <c r="K440" i="7942"/>
  <c r="L440" i="7942" s="1"/>
  <c r="M440" i="7942" s="1"/>
  <c r="L441" i="7942" s="1"/>
  <c r="I821" i="18"/>
  <c r="I551" i="7941" s="1"/>
  <c r="I811" i="18"/>
  <c r="I541" i="7941" s="1"/>
  <c r="J348" i="18"/>
  <c r="L377" i="18"/>
  <c r="I815" i="18"/>
  <c r="I545" i="7941" s="1"/>
  <c r="I813" i="18"/>
  <c r="I543" i="7941" s="1"/>
  <c r="K235" i="18"/>
  <c r="I807" i="18"/>
  <c r="I537" i="7941" s="1"/>
  <c r="K417" i="18"/>
  <c r="J426" i="18"/>
  <c r="L169" i="18"/>
  <c r="H51" i="18"/>
  <c r="J169" i="18"/>
  <c r="J179" i="18" s="1"/>
  <c r="N169" i="18"/>
  <c r="I169" i="18"/>
  <c r="I179" i="18" s="1"/>
  <c r="K169" i="18"/>
  <c r="O169" i="18"/>
  <c r="M169" i="18"/>
  <c r="P169" i="18"/>
  <c r="E39" i="7945"/>
  <c r="J796" i="18"/>
  <c r="J526" i="7941" s="1"/>
  <c r="J73" i="18"/>
  <c r="J823" i="18" s="1"/>
  <c r="J553" i="7941" s="1"/>
  <c r="K457" i="18"/>
  <c r="K379" i="18"/>
  <c r="L379" i="18" s="1"/>
  <c r="M379" i="18" s="1"/>
  <c r="N379" i="18" s="1"/>
  <c r="O379" i="18" s="1"/>
  <c r="J67" i="18"/>
  <c r="K314" i="18"/>
  <c r="J62" i="18"/>
  <c r="J69" i="18"/>
  <c r="K405" i="18"/>
  <c r="L405" i="18" s="1"/>
  <c r="J61" i="18"/>
  <c r="K301" i="18"/>
  <c r="L301" i="18" s="1"/>
  <c r="J65" i="18"/>
  <c r="K353" i="18"/>
  <c r="M127" i="7944"/>
  <c r="L153" i="7944"/>
  <c r="M153" i="7944" s="1"/>
  <c r="E66" i="7945"/>
  <c r="F66" i="7945" s="1"/>
  <c r="I798" i="18"/>
  <c r="I528" i="7941" s="1"/>
  <c r="I43" i="18"/>
  <c r="J101" i="18"/>
  <c r="J697" i="18" s="1"/>
  <c r="O131" i="18"/>
  <c r="P131" i="18" s="1"/>
  <c r="N127" i="7944"/>
  <c r="O127" i="7944" s="1"/>
  <c r="J66" i="7945"/>
  <c r="K66" i="7945" s="1"/>
  <c r="Q90" i="7944"/>
  <c r="P116" i="7944"/>
  <c r="Q116" i="7944" s="1"/>
  <c r="K139" i="7944"/>
  <c r="K149" i="7944" s="1"/>
  <c r="M114" i="7944"/>
  <c r="N114" i="7944" s="1"/>
  <c r="O114" i="7944" s="1"/>
  <c r="O157" i="18"/>
  <c r="P142" i="7944"/>
  <c r="Q142" i="7944" s="1"/>
  <c r="J97" i="7944"/>
  <c r="K87" i="7944"/>
  <c r="N100" i="7944"/>
  <c r="O100" i="7944" s="1"/>
  <c r="N115" i="7944"/>
  <c r="O115" i="7944" s="1"/>
  <c r="P115" i="7944" s="1"/>
  <c r="Q115" i="7944" s="1"/>
  <c r="O144" i="18"/>
  <c r="P144" i="18" s="1"/>
  <c r="F76" i="7947"/>
  <c r="F77" i="7947" s="1"/>
  <c r="G75" i="7947" s="1"/>
  <c r="J116" i="7942"/>
  <c r="K116" i="7942" s="1"/>
  <c r="F72" i="7947"/>
  <c r="F73" i="7947" s="1"/>
  <c r="G71" i="7947" s="1"/>
  <c r="F151" i="7947"/>
  <c r="F153" i="7947" s="1"/>
  <c r="G150" i="7947" s="1"/>
  <c r="N390" i="18"/>
  <c r="O390" i="18" s="1"/>
  <c r="P390" i="18" s="1"/>
  <c r="E401" i="7945"/>
  <c r="F401" i="7945" s="1"/>
  <c r="M442" i="18"/>
  <c r="F96" i="7947"/>
  <c r="F97" i="7947" s="1"/>
  <c r="G95" i="7947" s="1"/>
  <c r="G92" i="7947"/>
  <c r="G93" i="7947" s="1"/>
  <c r="H91" i="7947" s="1"/>
  <c r="F176" i="7947"/>
  <c r="F178" i="7947" s="1"/>
  <c r="G175" i="7947" s="1"/>
  <c r="F171" i="7947"/>
  <c r="F173" i="7947" s="1"/>
  <c r="G170" i="7947" s="1"/>
  <c r="G236" i="7941"/>
  <c r="H10" i="7941"/>
  <c r="G39" i="7941"/>
  <c r="F39" i="7947"/>
  <c r="F40" i="7947" s="1"/>
  <c r="G38" i="7947" s="1"/>
  <c r="F84" i="7947"/>
  <c r="F85" i="7947" s="1"/>
  <c r="G83" i="7947" s="1"/>
  <c r="J799" i="18"/>
  <c r="J529" i="7941" s="1"/>
  <c r="G237" i="7941"/>
  <c r="H11" i="7941"/>
  <c r="G682" i="7941"/>
  <c r="H498" i="7941"/>
  <c r="H524" i="7941"/>
  <c r="J114" i="18"/>
  <c r="O141" i="7944"/>
  <c r="P141" i="7944" s="1"/>
  <c r="Q141" i="7944" s="1"/>
  <c r="F68" i="7947"/>
  <c r="F69" i="7947" s="1"/>
  <c r="G67" i="7947" s="1"/>
  <c r="M450" i="7942"/>
  <c r="L451" i="7942" s="1"/>
  <c r="H540" i="18"/>
  <c r="H78" i="7941" s="1"/>
  <c r="H493" i="7941"/>
  <c r="G555" i="7941"/>
  <c r="G677" i="7941"/>
  <c r="E345" i="7945"/>
  <c r="F345" i="7945" s="1"/>
  <c r="I42" i="7941"/>
  <c r="I39" i="7941" s="1"/>
  <c r="I501" i="18"/>
  <c r="J438" i="7942"/>
  <c r="K325" i="7942"/>
  <c r="K303" i="7942"/>
  <c r="I524" i="7941"/>
  <c r="L312" i="18"/>
  <c r="H127" i="18"/>
  <c r="J115" i="18"/>
  <c r="J127" i="18" s="1"/>
  <c r="E219" i="7945"/>
  <c r="J10" i="7945"/>
  <c r="K10" i="7945" s="1"/>
  <c r="M75" i="7944"/>
  <c r="N75" i="7944" s="1"/>
  <c r="O75" i="7944" s="1"/>
  <c r="O416" i="18"/>
  <c r="P416" i="18" s="1"/>
  <c r="L283" i="7942"/>
  <c r="L284" i="7942" s="1"/>
  <c r="N182" i="18"/>
  <c r="K128" i="18"/>
  <c r="J140" i="18"/>
  <c r="I701" i="18"/>
  <c r="I961" i="18"/>
  <c r="N143" i="18"/>
  <c r="K110" i="7944"/>
  <c r="L148" i="7942"/>
  <c r="M148" i="7942" s="1"/>
  <c r="N148" i="7942" s="1"/>
  <c r="K301" i="7942"/>
  <c r="L301" i="7942" s="1"/>
  <c r="M301" i="7942" s="1"/>
  <c r="N130" i="18"/>
  <c r="O130" i="18" s="1"/>
  <c r="G240" i="7941"/>
  <c r="H14" i="7941"/>
  <c r="I140" i="18"/>
  <c r="L221" i="18"/>
  <c r="E163" i="7945" s="1"/>
  <c r="H9" i="7941"/>
  <c r="G235" i="7941"/>
  <c r="G71" i="7941"/>
  <c r="H991" i="18"/>
  <c r="E23" i="7945"/>
  <c r="F23" i="7945" s="1"/>
  <c r="H795" i="18"/>
  <c r="H525" i="7941" s="1"/>
  <c r="D180" i="7947"/>
  <c r="D141" i="7947"/>
  <c r="D181" i="7947" s="1"/>
  <c r="E110" i="7947"/>
  <c r="E118" i="7947" s="1"/>
  <c r="K10" i="7944"/>
  <c r="K442" i="7942"/>
  <c r="K464" i="7942"/>
  <c r="K323" i="7942"/>
  <c r="K269" i="7942"/>
  <c r="N195" i="18"/>
  <c r="O195" i="18" s="1"/>
  <c r="P195" i="18" s="1"/>
  <c r="D64" i="7947"/>
  <c r="D104" i="7947" s="1"/>
  <c r="E49" i="7947"/>
  <c r="E59" i="7947" s="1"/>
  <c r="M222" i="18"/>
  <c r="N222" i="18" s="1"/>
  <c r="J12" i="7944"/>
  <c r="J136" i="7944"/>
  <c r="K126" i="7944"/>
  <c r="K136" i="7944" s="1"/>
  <c r="G166" i="7947"/>
  <c r="G168" i="7947" s="1"/>
  <c r="H165" i="7947" s="1"/>
  <c r="F31" i="7947"/>
  <c r="F32" i="7947" s="1"/>
  <c r="G30" i="7947" s="1"/>
  <c r="O325" i="18"/>
  <c r="E121" i="7945"/>
  <c r="F121" i="7945" s="1"/>
  <c r="F156" i="7947"/>
  <c r="F158" i="7947" s="1"/>
  <c r="G155" i="7947" s="1"/>
  <c r="F100" i="7947"/>
  <c r="F101" i="7947" s="1"/>
  <c r="G99" i="7947" s="1"/>
  <c r="J37" i="7945"/>
  <c r="K291" i="7942"/>
  <c r="L291" i="7942" s="1"/>
  <c r="M291" i="7942" s="1"/>
  <c r="L444" i="7942"/>
  <c r="M444" i="7942" s="1"/>
  <c r="L445" i="7942" s="1"/>
  <c r="J432" i="7942"/>
  <c r="H101" i="18"/>
  <c r="E22" i="7945"/>
  <c r="P102" i="7944"/>
  <c r="Q102" i="7944" s="1"/>
  <c r="L101" i="7944"/>
  <c r="M101" i="7944" s="1"/>
  <c r="K123" i="7944"/>
  <c r="L113" i="7944"/>
  <c r="K285" i="7942"/>
  <c r="L285" i="7942" s="1"/>
  <c r="L286" i="7942" s="1"/>
  <c r="K327" i="7942"/>
  <c r="N403" i="18"/>
  <c r="J205" i="7947"/>
  <c r="K138" i="7942"/>
  <c r="G202" i="7947"/>
  <c r="H700" i="18"/>
  <c r="H538" i="18" s="1"/>
  <c r="H76" i="7941" s="1"/>
  <c r="H960" i="18"/>
  <c r="H830" i="18" s="1"/>
  <c r="H560" i="7941" s="1"/>
  <c r="E79" i="7945"/>
  <c r="F79" i="7945" s="1"/>
  <c r="H799" i="18"/>
  <c r="H494" i="7941"/>
  <c r="G678" i="7941"/>
  <c r="G523" i="7941"/>
  <c r="K289" i="7942"/>
  <c r="J52" i="7945"/>
  <c r="K52" i="7945" s="1"/>
  <c r="G679" i="7941"/>
  <c r="H495" i="7941"/>
  <c r="Q154" i="7944"/>
  <c r="K122" i="7942"/>
  <c r="L122" i="7942" s="1"/>
  <c r="L454" i="7942"/>
  <c r="K150" i="7942"/>
  <c r="L150" i="7942" s="1"/>
  <c r="M150" i="7942" s="1"/>
  <c r="E149" i="7945"/>
  <c r="K156" i="7942"/>
  <c r="L156" i="7942" s="1"/>
  <c r="M156" i="7942" s="1"/>
  <c r="I268" i="7942"/>
  <c r="H989" i="18"/>
  <c r="H761" i="18"/>
  <c r="E80" i="7945"/>
  <c r="F80" i="7945" s="1"/>
  <c r="I799" i="18"/>
  <c r="I529" i="7941" s="1"/>
  <c r="K11" i="7944"/>
  <c r="J146" i="7942"/>
  <c r="L364" i="18"/>
  <c r="J13" i="7944"/>
  <c r="K13" i="7944" s="1"/>
  <c r="F88" i="7947"/>
  <c r="F89" i="7947" s="1"/>
  <c r="G87" i="7947" s="1"/>
  <c r="I101" i="18"/>
  <c r="N338" i="18"/>
  <c r="O338" i="18" s="1"/>
  <c r="M273" i="18"/>
  <c r="N273" i="18" s="1"/>
  <c r="K297" i="7942"/>
  <c r="J273" i="7942"/>
  <c r="J271" i="7942"/>
  <c r="F289" i="7945"/>
  <c r="G161" i="7947"/>
  <c r="G163" i="7947" s="1"/>
  <c r="H160" i="7947" s="1"/>
  <c r="I114" i="7942"/>
  <c r="J114" i="7942" s="1"/>
  <c r="K462" i="7942"/>
  <c r="L462" i="7942" s="1"/>
  <c r="J153" i="18"/>
  <c r="E94" i="7945"/>
  <c r="F94" i="7945" s="1"/>
  <c r="I800" i="18"/>
  <c r="I530" i="7941" s="1"/>
  <c r="G80" i="7947"/>
  <c r="G81" i="7947" s="1"/>
  <c r="H79" i="7947" s="1"/>
  <c r="K313" i="7942"/>
  <c r="E65" i="7945"/>
  <c r="F65" i="7945" s="1"/>
  <c r="H798" i="18"/>
  <c r="F35" i="7947"/>
  <c r="F36" i="7947" s="1"/>
  <c r="G34" i="7947" s="1"/>
  <c r="K102" i="18"/>
  <c r="L102" i="18" s="1"/>
  <c r="L114" i="18" s="1"/>
  <c r="H729" i="18"/>
  <c r="H727" i="18" s="1"/>
  <c r="H469" i="18"/>
  <c r="E164" i="7945"/>
  <c r="F164" i="7945" s="1"/>
  <c r="O351" i="18"/>
  <c r="P351" i="18" s="1"/>
  <c r="L164" i="7942"/>
  <c r="M164" i="7942" s="1"/>
  <c r="K8" i="7944"/>
  <c r="K460" i="7942"/>
  <c r="J446" i="7942"/>
  <c r="H108" i="7942"/>
  <c r="I108" i="7942" s="1"/>
  <c r="G75" i="7942"/>
  <c r="J162" i="7942"/>
  <c r="L74" i="7944"/>
  <c r="F27" i="7947"/>
  <c r="F28" i="7947" s="1"/>
  <c r="G26" i="7947" s="1"/>
  <c r="H828" i="18"/>
  <c r="N128" i="7944"/>
  <c r="O128" i="7944" s="1"/>
  <c r="M140" i="7944"/>
  <c r="N140" i="7944" s="1"/>
  <c r="M208" i="18"/>
  <c r="N208" i="18" s="1"/>
  <c r="O315" i="7942"/>
  <c r="P315" i="7942" s="1"/>
  <c r="Q315" i="7942" s="1"/>
  <c r="Q316" i="7942" s="1"/>
  <c r="Q385" i="7941" s="1"/>
  <c r="H98" i="7941"/>
  <c r="I34" i="7941" s="1"/>
  <c r="I496" i="18"/>
  <c r="H569" i="7941"/>
  <c r="I775" i="18"/>
  <c r="H566" i="7941"/>
  <c r="I772" i="18"/>
  <c r="H571" i="7941"/>
  <c r="I777" i="18"/>
  <c r="L401" i="18"/>
  <c r="H573" i="7941"/>
  <c r="I779" i="18"/>
  <c r="H585" i="7941"/>
  <c r="I791" i="18"/>
  <c r="H86" i="7941"/>
  <c r="I22" i="7941" s="1"/>
  <c r="I484" i="18"/>
  <c r="H82" i="7941"/>
  <c r="I480" i="18"/>
  <c r="H564" i="7941"/>
  <c r="I770" i="18"/>
  <c r="H568" i="7941"/>
  <c r="I774" i="18"/>
  <c r="H88" i="7941"/>
  <c r="I24" i="7941" s="1"/>
  <c r="I486" i="18"/>
  <c r="H83" i="7941"/>
  <c r="I481" i="18"/>
  <c r="L280" i="7942"/>
  <c r="N193" i="18"/>
  <c r="O193" i="18" s="1"/>
  <c r="P193" i="18" s="1"/>
  <c r="H72" i="7941"/>
  <c r="I470" i="18"/>
  <c r="H101" i="7941"/>
  <c r="I37" i="7941" s="1"/>
  <c r="I499" i="18"/>
  <c r="H97" i="7941"/>
  <c r="I33" i="7941" s="1"/>
  <c r="I495" i="18"/>
  <c r="I15" i="7941"/>
  <c r="L275" i="7942"/>
  <c r="H582" i="7941"/>
  <c r="I788" i="18"/>
  <c r="H92" i="7941"/>
  <c r="I28" i="7941" s="1"/>
  <c r="I490" i="18"/>
  <c r="H584" i="7941"/>
  <c r="I790" i="18"/>
  <c r="M279" i="7942"/>
  <c r="I773" i="18"/>
  <c r="H567" i="7941"/>
  <c r="H575" i="7941"/>
  <c r="I781" i="18"/>
  <c r="I780" i="18"/>
  <c r="H574" i="7941"/>
  <c r="L321" i="7942"/>
  <c r="L311" i="7942"/>
  <c r="M311" i="7942" s="1"/>
  <c r="H95" i="7941"/>
  <c r="I31" i="7941" s="1"/>
  <c r="I493" i="18"/>
  <c r="H89" i="7941"/>
  <c r="I25" i="7941" s="1"/>
  <c r="I487" i="18"/>
  <c r="L167" i="7942"/>
  <c r="H93" i="7941"/>
  <c r="I29" i="7941" s="1"/>
  <c r="I491" i="18"/>
  <c r="H87" i="7941"/>
  <c r="I23" i="7941" s="1"/>
  <c r="I485" i="18"/>
  <c r="H96" i="7941"/>
  <c r="I32" i="7941" s="1"/>
  <c r="I494" i="18"/>
  <c r="H85" i="7941"/>
  <c r="I483" i="18"/>
  <c r="H577" i="7941"/>
  <c r="I783" i="18"/>
  <c r="H565" i="7941"/>
  <c r="I771" i="18"/>
  <c r="H579" i="7941"/>
  <c r="I785" i="18"/>
  <c r="M316" i="7942"/>
  <c r="N316" i="7942"/>
  <c r="L316" i="7942"/>
  <c r="M293" i="7942"/>
  <c r="M294" i="7942" s="1"/>
  <c r="L294" i="7942"/>
  <c r="I784" i="18"/>
  <c r="H578" i="7941"/>
  <c r="H572" i="7941"/>
  <c r="I778" i="18"/>
  <c r="H80" i="7941"/>
  <c r="I478" i="18"/>
  <c r="H81" i="7941"/>
  <c r="I479" i="18"/>
  <c r="N452" i="7942"/>
  <c r="M453" i="7942" s="1"/>
  <c r="H91" i="7941"/>
  <c r="I27" i="7941" s="1"/>
  <c r="I489" i="18"/>
  <c r="H556" i="7941"/>
  <c r="I762" i="18"/>
  <c r="H90" i="7941"/>
  <c r="I26" i="7941" s="1"/>
  <c r="I488" i="18"/>
  <c r="H580" i="7941"/>
  <c r="I786" i="18"/>
  <c r="M258" i="18"/>
  <c r="O388" i="18"/>
  <c r="P388" i="18" s="1"/>
  <c r="H576" i="7941"/>
  <c r="I782" i="18"/>
  <c r="H94" i="7941"/>
  <c r="I30" i="7941" s="1"/>
  <c r="I492" i="18"/>
  <c r="L180" i="18"/>
  <c r="H100" i="7941"/>
  <c r="I36" i="7941" s="1"/>
  <c r="I498" i="18"/>
  <c r="H570" i="7941"/>
  <c r="I776" i="18"/>
  <c r="H583" i="7941"/>
  <c r="I789" i="18"/>
  <c r="H99" i="7941"/>
  <c r="I35" i="7941" s="1"/>
  <c r="I497" i="18"/>
  <c r="E204" i="7945"/>
  <c r="L307" i="7942"/>
  <c r="L308" i="7942" s="1"/>
  <c r="H581" i="7941"/>
  <c r="I787" i="18"/>
  <c r="H84" i="7941"/>
  <c r="I482" i="18"/>
  <c r="I735" i="18"/>
  <c r="M309" i="7942"/>
  <c r="M310" i="7942" s="1"/>
  <c r="L111" i="7942"/>
  <c r="M111" i="7942"/>
  <c r="L132" i="7942"/>
  <c r="L152" i="7942"/>
  <c r="L142" i="7942"/>
  <c r="M158" i="7942"/>
  <c r="N110" i="7942"/>
  <c r="L140" i="7942"/>
  <c r="M140" i="7942" s="1"/>
  <c r="O284" i="18" l="1"/>
  <c r="P284" i="18" s="1"/>
  <c r="Q76" i="7944"/>
  <c r="P76" i="7944"/>
  <c r="E22" i="7947"/>
  <c r="E23" i="7947" s="1"/>
  <c r="E43" i="7947" s="1"/>
  <c r="D65" i="7947"/>
  <c r="D105" i="7947" s="1"/>
  <c r="D103" i="7947"/>
  <c r="O141" i="18"/>
  <c r="P141" i="18" s="1"/>
  <c r="L204" i="7947"/>
  <c r="M299" i="7942"/>
  <c r="M300" i="7942" s="1"/>
  <c r="H77" i="7941"/>
  <c r="E122" i="7945"/>
  <c r="F122" i="7945" s="1"/>
  <c r="O486" i="7942"/>
  <c r="N487" i="7942" s="1"/>
  <c r="N480" i="7942"/>
  <c r="M481" i="7942" s="1"/>
  <c r="M475" i="7942"/>
  <c r="O474" i="7942"/>
  <c r="M470" i="7942"/>
  <c r="L13" i="7944"/>
  <c r="L478" i="7942"/>
  <c r="M478" i="7942" s="1"/>
  <c r="N488" i="7942"/>
  <c r="P486" i="7942"/>
  <c r="O487" i="7942" s="1"/>
  <c r="M477" i="7942"/>
  <c r="P476" i="7942"/>
  <c r="O477" i="7942" s="1"/>
  <c r="K472" i="7942"/>
  <c r="L472" i="7942" s="1"/>
  <c r="L485" i="7942"/>
  <c r="O484" i="7942"/>
  <c r="K482" i="7942"/>
  <c r="L466" i="7942"/>
  <c r="M466" i="7942" s="1"/>
  <c r="N466" i="7942" s="1"/>
  <c r="J429" i="7942"/>
  <c r="P310" i="18"/>
  <c r="N317" i="7942"/>
  <c r="O317" i="7942" s="1"/>
  <c r="N155" i="7942"/>
  <c r="N128" i="7942"/>
  <c r="N160" i="7942"/>
  <c r="O160" i="7942" s="1"/>
  <c r="M137" i="7942"/>
  <c r="O154" i="7942"/>
  <c r="O155" i="7942" s="1"/>
  <c r="M155" i="7942"/>
  <c r="P349" i="18"/>
  <c r="L155" i="7942"/>
  <c r="L306" i="7942"/>
  <c r="K430" i="7942"/>
  <c r="L436" i="7942"/>
  <c r="L434" i="7942"/>
  <c r="O245" i="18"/>
  <c r="P245" i="18" s="1"/>
  <c r="M456" i="18"/>
  <c r="N456" i="18" s="1"/>
  <c r="P271" i="18"/>
  <c r="H987" i="18"/>
  <c r="K348" i="18"/>
  <c r="O414" i="18"/>
  <c r="P414" i="18" s="1"/>
  <c r="P167" i="18"/>
  <c r="Q3" i="18"/>
  <c r="P92" i="18"/>
  <c r="P78" i="18"/>
  <c r="P76" i="18"/>
  <c r="P91" i="18"/>
  <c r="P79" i="18"/>
  <c r="P89" i="18"/>
  <c r="P170" i="18"/>
  <c r="P336" i="18"/>
  <c r="Q336" i="18" s="1"/>
  <c r="K452" i="18"/>
  <c r="M206" i="18"/>
  <c r="N206" i="18" s="1"/>
  <c r="E346" i="7945"/>
  <c r="F346" i="7945" s="1"/>
  <c r="P455" i="18"/>
  <c r="M124" i="7942"/>
  <c r="N124" i="7942" s="1"/>
  <c r="O121" i="7942"/>
  <c r="N144" i="7942"/>
  <c r="N145" i="7942" s="1"/>
  <c r="N118" i="7942"/>
  <c r="O118" i="7942" s="1"/>
  <c r="O119" i="7942" s="1"/>
  <c r="N121" i="7942"/>
  <c r="M440" i="18"/>
  <c r="N440" i="18" s="1"/>
  <c r="G233" i="7941"/>
  <c r="P453" i="18"/>
  <c r="L323" i="18"/>
  <c r="E274" i="7945" s="1"/>
  <c r="M375" i="18"/>
  <c r="N375" i="18" s="1"/>
  <c r="P120" i="7942"/>
  <c r="Q120" i="7942" s="1"/>
  <c r="Q121" i="7942" s="1"/>
  <c r="Q304" i="7941" s="1"/>
  <c r="L154" i="18"/>
  <c r="E92" i="7945" s="1"/>
  <c r="P219" i="18"/>
  <c r="N305" i="7942"/>
  <c r="O305" i="7942" s="1"/>
  <c r="M306" i="7942"/>
  <c r="E11" i="7945"/>
  <c r="F11" i="7945" s="1"/>
  <c r="K400" i="18"/>
  <c r="K956" i="18"/>
  <c r="K257" i="18"/>
  <c r="J956" i="18"/>
  <c r="L139" i="7944"/>
  <c r="J79" i="7945" s="1"/>
  <c r="J268" i="7942"/>
  <c r="P132" i="18"/>
  <c r="J709" i="18"/>
  <c r="D225" i="7947"/>
  <c r="D4" i="7947" s="1"/>
  <c r="K270" i="18"/>
  <c r="H236" i="7941"/>
  <c r="K335" i="18"/>
  <c r="L312" i="7942"/>
  <c r="K413" i="18"/>
  <c r="K271" i="7942"/>
  <c r="L271" i="7942" s="1"/>
  <c r="D224" i="7947"/>
  <c r="E67" i="7945"/>
  <c r="F67" i="7945" s="1"/>
  <c r="M151" i="7942"/>
  <c r="N166" i="7942"/>
  <c r="N167" i="7942" s="1"/>
  <c r="J798" i="18"/>
  <c r="J528" i="7941" s="1"/>
  <c r="I472" i="18"/>
  <c r="I730" i="18" s="1"/>
  <c r="I536" i="18" s="1"/>
  <c r="L223" i="18"/>
  <c r="E165" i="7945" s="1"/>
  <c r="F165" i="7945" s="1"/>
  <c r="K179" i="18"/>
  <c r="K703" i="18" s="1"/>
  <c r="E234" i="7945"/>
  <c r="F234" i="7945" s="1"/>
  <c r="J723" i="18"/>
  <c r="J722" i="18"/>
  <c r="N443" i="18"/>
  <c r="O443" i="18" s="1"/>
  <c r="P443" i="18" s="1"/>
  <c r="L184" i="18"/>
  <c r="M184" i="18" s="1"/>
  <c r="N184" i="18" s="1"/>
  <c r="O184" i="18" s="1"/>
  <c r="E402" i="7945"/>
  <c r="F402" i="7945" s="1"/>
  <c r="M404" i="18"/>
  <c r="N404" i="18" s="1"/>
  <c r="J966" i="18"/>
  <c r="K218" i="18"/>
  <c r="P299" i="18"/>
  <c r="M300" i="18"/>
  <c r="N300" i="18" s="1"/>
  <c r="J43" i="18"/>
  <c r="J719" i="18"/>
  <c r="J957" i="18"/>
  <c r="N339" i="18"/>
  <c r="O339" i="18" s="1"/>
  <c r="E248" i="7945"/>
  <c r="F248" i="7945" s="1"/>
  <c r="M392" i="18"/>
  <c r="N392" i="18" s="1"/>
  <c r="O392" i="18" s="1"/>
  <c r="P392" i="18" s="1"/>
  <c r="K374" i="18"/>
  <c r="J971" i="18"/>
  <c r="K322" i="18"/>
  <c r="P145" i="18"/>
  <c r="E290" i="7945"/>
  <c r="F290" i="7945" s="1"/>
  <c r="J973" i="18"/>
  <c r="K153" i="18"/>
  <c r="K961" i="18" s="1"/>
  <c r="K205" i="18"/>
  <c r="K296" i="18"/>
  <c r="J704" i="18"/>
  <c r="L327" i="18"/>
  <c r="M327" i="18" s="1"/>
  <c r="L196" i="18"/>
  <c r="M196" i="18" s="1"/>
  <c r="O316" i="7942"/>
  <c r="M295" i="7942"/>
  <c r="N295" i="7942" s="1"/>
  <c r="M134" i="7942"/>
  <c r="N134" i="7942" s="1"/>
  <c r="N366" i="18"/>
  <c r="O366" i="18" s="1"/>
  <c r="O340" i="18"/>
  <c r="P340" i="18" s="1"/>
  <c r="M281" i="7942"/>
  <c r="N281" i="7942" s="1"/>
  <c r="L282" i="7942"/>
  <c r="M378" i="18"/>
  <c r="L287" i="7942"/>
  <c r="L288" i="7942" s="1"/>
  <c r="J811" i="18"/>
  <c r="J541" i="7941" s="1"/>
  <c r="E249" i="7945"/>
  <c r="F249" i="7945" s="1"/>
  <c r="H801" i="18"/>
  <c r="E107" i="7945"/>
  <c r="F107" i="7945" s="1"/>
  <c r="K54" i="18"/>
  <c r="L211" i="18"/>
  <c r="M211" i="18" s="1"/>
  <c r="K73" i="18"/>
  <c r="L458" i="18"/>
  <c r="M458" i="18" s="1"/>
  <c r="J816" i="18"/>
  <c r="J546" i="7941" s="1"/>
  <c r="E319" i="7945"/>
  <c r="F319" i="7945" s="1"/>
  <c r="J821" i="18"/>
  <c r="J551" i="7941" s="1"/>
  <c r="M326" i="18"/>
  <c r="N326" i="18" s="1"/>
  <c r="M377" i="18"/>
  <c r="N377" i="18" s="1"/>
  <c r="J712" i="18"/>
  <c r="J721" i="18"/>
  <c r="J975" i="18"/>
  <c r="J715" i="18"/>
  <c r="I703" i="18"/>
  <c r="I541" i="18" s="1"/>
  <c r="I963" i="18"/>
  <c r="K426" i="18"/>
  <c r="E276" i="7945"/>
  <c r="F276" i="7945" s="1"/>
  <c r="K796" i="18"/>
  <c r="K526" i="7941" s="1"/>
  <c r="E40" i="7945"/>
  <c r="K12" i="18"/>
  <c r="K173" i="1"/>
  <c r="O146" i="18"/>
  <c r="N146" i="18"/>
  <c r="M146" i="18"/>
  <c r="P146" i="18"/>
  <c r="K49" i="18"/>
  <c r="L146" i="18"/>
  <c r="L153" i="18" s="1"/>
  <c r="L961" i="18" s="1"/>
  <c r="K525" i="18"/>
  <c r="K63" i="7941" s="1"/>
  <c r="G208" i="7947"/>
  <c r="G214" i="7947" s="1"/>
  <c r="G218" i="7947" s="1"/>
  <c r="G219" i="7947"/>
  <c r="G226" i="7947" s="1"/>
  <c r="K527" i="18"/>
  <c r="K65" i="7941" s="1"/>
  <c r="K67" i="18"/>
  <c r="L380" i="18"/>
  <c r="L387" i="18" s="1"/>
  <c r="M313" i="18"/>
  <c r="F214" i="7947"/>
  <c r="F218" i="7947" s="1"/>
  <c r="F220" i="7947" s="1"/>
  <c r="G217" i="7947" s="1"/>
  <c r="J814" i="18"/>
  <c r="J544" i="7941" s="1"/>
  <c r="E291" i="7945"/>
  <c r="F291" i="7945" s="1"/>
  <c r="E220" i="7945"/>
  <c r="F220" i="7945" s="1"/>
  <c r="P316" i="7942"/>
  <c r="J714" i="18"/>
  <c r="J964" i="18"/>
  <c r="J976" i="18"/>
  <c r="N458" i="7942"/>
  <c r="J707" i="18"/>
  <c r="J983" i="18"/>
  <c r="J982" i="18"/>
  <c r="J711" i="18"/>
  <c r="J967" i="18"/>
  <c r="O222" i="18"/>
  <c r="P222" i="18" s="1"/>
  <c r="M283" i="7942"/>
  <c r="M284" i="7942" s="1"/>
  <c r="K697" i="18"/>
  <c r="J977" i="18"/>
  <c r="K162" i="7942"/>
  <c r="N287" i="18"/>
  <c r="O287" i="18" s="1"/>
  <c r="P287" i="18" s="1"/>
  <c r="M405" i="18"/>
  <c r="N405" i="18" s="1"/>
  <c r="O405" i="18" s="1"/>
  <c r="P405" i="18" s="1"/>
  <c r="L314" i="18"/>
  <c r="M314" i="18" s="1"/>
  <c r="P379" i="18"/>
  <c r="E304" i="7945"/>
  <c r="F304" i="7945" s="1"/>
  <c r="E233" i="7945"/>
  <c r="F233" i="7945" s="1"/>
  <c r="M286" i="18"/>
  <c r="M130" i="7942"/>
  <c r="L236" i="18"/>
  <c r="E179" i="7945" s="1"/>
  <c r="F179" i="7945" s="1"/>
  <c r="L444" i="18"/>
  <c r="J802" i="18"/>
  <c r="J532" i="7941" s="1"/>
  <c r="M133" i="18"/>
  <c r="P133" i="18"/>
  <c r="N133" i="18"/>
  <c r="L133" i="18"/>
  <c r="O133" i="18"/>
  <c r="K48" i="18"/>
  <c r="E54" i="7945"/>
  <c r="K797" i="18"/>
  <c r="K527" i="7941" s="1"/>
  <c r="K504" i="18"/>
  <c r="K42" i="7941" s="1"/>
  <c r="K508" i="18"/>
  <c r="K46" i="7941" s="1"/>
  <c r="L315" i="18"/>
  <c r="M315" i="18" s="1"/>
  <c r="K62" i="18"/>
  <c r="K60" i="18"/>
  <c r="L289" i="18"/>
  <c r="L296" i="18" s="1"/>
  <c r="K519" i="18"/>
  <c r="K57" i="7941" s="1"/>
  <c r="K71" i="18"/>
  <c r="L432" i="18"/>
  <c r="K531" i="18"/>
  <c r="K69" i="7941" s="1"/>
  <c r="K68" i="18"/>
  <c r="L393" i="18"/>
  <c r="K524" i="18"/>
  <c r="K62" i="7941" s="1"/>
  <c r="K513" i="18"/>
  <c r="K51" i="7941" s="1"/>
  <c r="L341" i="18"/>
  <c r="L348" i="18" s="1"/>
  <c r="K64" i="18"/>
  <c r="K529" i="18"/>
  <c r="K67" i="7941" s="1"/>
  <c r="K66" i="18"/>
  <c r="L367" i="18"/>
  <c r="L374" i="18" s="1"/>
  <c r="K510" i="18"/>
  <c r="K48" i="7941" s="1"/>
  <c r="J15" i="7944"/>
  <c r="K309" i="18"/>
  <c r="M210" i="18"/>
  <c r="N210" i="18" s="1"/>
  <c r="N418" i="18"/>
  <c r="O418" i="18" s="1"/>
  <c r="P418" i="18" s="1"/>
  <c r="L431" i="18"/>
  <c r="E389" i="7945" s="1"/>
  <c r="F389" i="7945" s="1"/>
  <c r="N197" i="18"/>
  <c r="O197" i="18" s="1"/>
  <c r="P197" i="18" s="1"/>
  <c r="E25" i="7945"/>
  <c r="F25" i="7945" s="1"/>
  <c r="N248" i="18"/>
  <c r="L235" i="18"/>
  <c r="E178" i="7945" s="1"/>
  <c r="F178" i="7945" s="1"/>
  <c r="K361" i="18"/>
  <c r="N352" i="18"/>
  <c r="O249" i="18"/>
  <c r="P249" i="18" s="1"/>
  <c r="N319" i="7942"/>
  <c r="M320" i="7942"/>
  <c r="H206" i="7947"/>
  <c r="J813" i="18"/>
  <c r="J543" i="7941" s="1"/>
  <c r="L275" i="18"/>
  <c r="M288" i="18"/>
  <c r="M262" i="18"/>
  <c r="J706" i="18"/>
  <c r="J965" i="18"/>
  <c r="J985" i="18"/>
  <c r="J717" i="18"/>
  <c r="J725" i="18"/>
  <c r="J724" i="18"/>
  <c r="J974" i="18"/>
  <c r="J972" i="18"/>
  <c r="J968" i="18"/>
  <c r="J713" i="18"/>
  <c r="J984" i="18"/>
  <c r="H207" i="7947"/>
  <c r="K165" i="7944"/>
  <c r="N456" i="7942"/>
  <c r="M457" i="7942" s="1"/>
  <c r="J812" i="18"/>
  <c r="J542" i="7941" s="1"/>
  <c r="E333" i="7945"/>
  <c r="F333" i="7945" s="1"/>
  <c r="J817" i="18"/>
  <c r="J547" i="7941" s="1"/>
  <c r="N94" i="18"/>
  <c r="K45" i="18"/>
  <c r="L94" i="18"/>
  <c r="L101" i="18" s="1"/>
  <c r="O94" i="18"/>
  <c r="P94" i="18"/>
  <c r="M94" i="18"/>
  <c r="O159" i="18"/>
  <c r="K50" i="18"/>
  <c r="N159" i="18"/>
  <c r="P159" i="18"/>
  <c r="L159" i="18"/>
  <c r="M159" i="18"/>
  <c r="K53" i="18"/>
  <c r="L198" i="18"/>
  <c r="L419" i="18"/>
  <c r="K70" i="18"/>
  <c r="L237" i="18"/>
  <c r="M237" i="18" s="1"/>
  <c r="K56" i="18"/>
  <c r="K58" i="18"/>
  <c r="L263" i="18"/>
  <c r="E235" i="7945"/>
  <c r="F235" i="7945" s="1"/>
  <c r="J810" i="18"/>
  <c r="J540" i="7941" s="1"/>
  <c r="K387" i="18"/>
  <c r="K283" i="18"/>
  <c r="J705" i="18"/>
  <c r="J969" i="18"/>
  <c r="J708" i="18"/>
  <c r="J710" i="18"/>
  <c r="L323" i="7942"/>
  <c r="L324" i="7942" s="1"/>
  <c r="E81" i="7945"/>
  <c r="F81" i="7945" s="1"/>
  <c r="J815" i="18"/>
  <c r="J545" i="7941" s="1"/>
  <c r="E191" i="7945"/>
  <c r="F191" i="7945" s="1"/>
  <c r="N247" i="18"/>
  <c r="E332" i="7945"/>
  <c r="F332" i="7945" s="1"/>
  <c r="J822" i="18"/>
  <c r="J552" i="7941" s="1"/>
  <c r="K530" i="18"/>
  <c r="K68" i="7941" s="1"/>
  <c r="K72" i="18"/>
  <c r="L445" i="18"/>
  <c r="M445" i="18" s="1"/>
  <c r="N445" i="18" s="1"/>
  <c r="K514" i="18"/>
  <c r="K52" i="7941" s="1"/>
  <c r="K512" i="18"/>
  <c r="K50" i="7941" s="1"/>
  <c r="K515" i="18"/>
  <c r="K53" i="7941" s="1"/>
  <c r="K52" i="18"/>
  <c r="L185" i="18"/>
  <c r="K69" i="18"/>
  <c r="L406" i="18"/>
  <c r="L413" i="18" s="1"/>
  <c r="K55" i="18"/>
  <c r="K805" i="18" s="1"/>
  <c r="K535" i="7941" s="1"/>
  <c r="L224" i="18"/>
  <c r="L153" i="1"/>
  <c r="L22" i="18" s="1"/>
  <c r="L155" i="1"/>
  <c r="L24" i="18" s="1"/>
  <c r="L158" i="1"/>
  <c r="L27" i="18" s="1"/>
  <c r="L161" i="1"/>
  <c r="L30" i="18" s="1"/>
  <c r="L162" i="1"/>
  <c r="L31" i="18" s="1"/>
  <c r="L163" i="1"/>
  <c r="L32" i="18" s="1"/>
  <c r="L167" i="1"/>
  <c r="L36" i="18" s="1"/>
  <c r="L171" i="1"/>
  <c r="L40" i="18" s="1"/>
  <c r="L172" i="1"/>
  <c r="L41" i="18" s="1"/>
  <c r="L150" i="1"/>
  <c r="L19" i="18" s="1"/>
  <c r="L159" i="1"/>
  <c r="L28" i="18" s="1"/>
  <c r="L151" i="1"/>
  <c r="L20" i="18" s="1"/>
  <c r="L160" i="1"/>
  <c r="L29" i="18" s="1"/>
  <c r="L166" i="1"/>
  <c r="L35" i="18" s="1"/>
  <c r="L169" i="1"/>
  <c r="L38" i="18" s="1"/>
  <c r="L306" i="1"/>
  <c r="L297" i="1"/>
  <c r="L301" i="1"/>
  <c r="L303" i="1"/>
  <c r="L290" i="1"/>
  <c r="L296" i="1"/>
  <c r="L145" i="1"/>
  <c r="L14" i="18" s="1"/>
  <c r="L147" i="1"/>
  <c r="L16" i="18" s="1"/>
  <c r="L152" i="1"/>
  <c r="L21" i="18" s="1"/>
  <c r="L156" i="1"/>
  <c r="L25" i="18" s="1"/>
  <c r="L165" i="1"/>
  <c r="L34" i="18" s="1"/>
  <c r="L168" i="1"/>
  <c r="L37" i="18" s="1"/>
  <c r="G122" i="7947"/>
  <c r="L291" i="1"/>
  <c r="L305" i="1"/>
  <c r="L298" i="1"/>
  <c r="L295" i="1"/>
  <c r="L308" i="1"/>
  <c r="L7" i="18"/>
  <c r="G192" i="7947"/>
  <c r="L72" i="1" s="1"/>
  <c r="L307" i="1"/>
  <c r="L299" i="1"/>
  <c r="L302" i="1"/>
  <c r="L292" i="1"/>
  <c r="L280" i="1"/>
  <c r="L154" i="1"/>
  <c r="L23" i="18" s="1"/>
  <c r="L164" i="1"/>
  <c r="L33" i="18" s="1"/>
  <c r="L523" i="18" s="1"/>
  <c r="L61" i="7941" s="1"/>
  <c r="L170" i="1"/>
  <c r="L39" i="18" s="1"/>
  <c r="L300" i="1"/>
  <c r="L294" i="1"/>
  <c r="L146" i="1"/>
  <c r="L15" i="18" s="1"/>
  <c r="L505" i="18" s="1"/>
  <c r="L43" i="7941" s="1"/>
  <c r="L148" i="1"/>
  <c r="L17" i="18" s="1"/>
  <c r="L283" i="1"/>
  <c r="L286" i="1"/>
  <c r="L157" i="1"/>
  <c r="L26" i="18" s="1"/>
  <c r="L516" i="18" s="1"/>
  <c r="L54" i="7941" s="1"/>
  <c r="L287" i="1"/>
  <c r="L304" i="1"/>
  <c r="L288" i="1"/>
  <c r="L293" i="1"/>
  <c r="L289" i="1"/>
  <c r="L143" i="1"/>
  <c r="L282" i="1"/>
  <c r="L47" i="18" s="1"/>
  <c r="L149" i="1"/>
  <c r="L18" i="18" s="1"/>
  <c r="L508" i="18" s="1"/>
  <c r="L46" i="7941" s="1"/>
  <c r="L144" i="1"/>
  <c r="L13" i="18" s="1"/>
  <c r="L279" i="1"/>
  <c r="L281" i="1"/>
  <c r="L46" i="18" s="1"/>
  <c r="L284" i="1"/>
  <c r="L285" i="1"/>
  <c r="J820" i="18"/>
  <c r="J550" i="7941" s="1"/>
  <c r="E375" i="7945"/>
  <c r="F375" i="7945" s="1"/>
  <c r="N274" i="18"/>
  <c r="L209" i="18"/>
  <c r="I474" i="18"/>
  <c r="I732" i="18" s="1"/>
  <c r="I10" i="7941"/>
  <c r="N311" i="7942"/>
  <c r="N312" i="7942" s="1"/>
  <c r="L165" i="7942"/>
  <c r="J718" i="18"/>
  <c r="J978" i="18"/>
  <c r="L127" i="7942"/>
  <c r="J716" i="18"/>
  <c r="J981" i="18"/>
  <c r="J979" i="18"/>
  <c r="J720" i="18"/>
  <c r="J980" i="18"/>
  <c r="J970" i="18"/>
  <c r="N440" i="7942"/>
  <c r="M441" i="7942" s="1"/>
  <c r="O403" i="18"/>
  <c r="L353" i="18"/>
  <c r="M301" i="18"/>
  <c r="N301" i="18" s="1"/>
  <c r="J819" i="18"/>
  <c r="J549" i="7941" s="1"/>
  <c r="E361" i="7945"/>
  <c r="F361" i="7945" s="1"/>
  <c r="L457" i="18"/>
  <c r="J963" i="18"/>
  <c r="J703" i="18"/>
  <c r="L417" i="18"/>
  <c r="E192" i="7945"/>
  <c r="F192" i="7945" s="1"/>
  <c r="L261" i="18"/>
  <c r="M261" i="18" s="1"/>
  <c r="N261" i="18" s="1"/>
  <c r="K244" i="18"/>
  <c r="E331" i="7945"/>
  <c r="F331" i="7945" s="1"/>
  <c r="N234" i="18"/>
  <c r="J806" i="18"/>
  <c r="J536" i="7941" s="1"/>
  <c r="J818" i="18"/>
  <c r="J548" i="7941" s="1"/>
  <c r="E347" i="7945"/>
  <c r="F347" i="7945" s="1"/>
  <c r="L81" i="18"/>
  <c r="L88" i="18" s="1"/>
  <c r="L696" i="18" s="1"/>
  <c r="P81" i="18"/>
  <c r="M81" i="18"/>
  <c r="K44" i="18"/>
  <c r="N81" i="18"/>
  <c r="K309" i="1"/>
  <c r="O81" i="18"/>
  <c r="K503" i="18"/>
  <c r="K41" i="7941" s="1"/>
  <c r="K505" i="18"/>
  <c r="K43" i="7941" s="1"/>
  <c r="K507" i="18"/>
  <c r="K45" i="7941" s="1"/>
  <c r="K526" i="18"/>
  <c r="K64" i="7941" s="1"/>
  <c r="L250" i="18"/>
  <c r="K57" i="18"/>
  <c r="K65" i="18"/>
  <c r="L354" i="18"/>
  <c r="K522" i="18"/>
  <c r="K60" i="7941" s="1"/>
  <c r="L328" i="18"/>
  <c r="M328" i="18" s="1"/>
  <c r="K63" i="18"/>
  <c r="K523" i="18"/>
  <c r="K61" i="7941" s="1"/>
  <c r="K511" i="18"/>
  <c r="K49" i="7941" s="1"/>
  <c r="K59" i="18"/>
  <c r="L276" i="18"/>
  <c r="K518" i="18"/>
  <c r="K56" i="7941" s="1"/>
  <c r="L302" i="18"/>
  <c r="M302" i="18" s="1"/>
  <c r="K61" i="18"/>
  <c r="L172" i="18"/>
  <c r="L179" i="18" s="1"/>
  <c r="N172" i="18"/>
  <c r="P172" i="18"/>
  <c r="K51" i="18"/>
  <c r="M172" i="18"/>
  <c r="O172" i="18"/>
  <c r="J11" i="18"/>
  <c r="J502" i="18"/>
  <c r="M430" i="18"/>
  <c r="N430" i="18" s="1"/>
  <c r="J801" i="18"/>
  <c r="J531" i="7941" s="1"/>
  <c r="E109" i="7945"/>
  <c r="F109" i="7945" s="1"/>
  <c r="E151" i="7945"/>
  <c r="F151" i="7945" s="1"/>
  <c r="J804" i="18"/>
  <c r="J534" i="7941" s="1"/>
  <c r="J803" i="18"/>
  <c r="J533" i="7941" s="1"/>
  <c r="E137" i="7945"/>
  <c r="F137" i="7945" s="1"/>
  <c r="L131" i="7942"/>
  <c r="P365" i="18"/>
  <c r="J809" i="18"/>
  <c r="J539" i="7941" s="1"/>
  <c r="J807" i="18"/>
  <c r="J537" i="7941" s="1"/>
  <c r="E193" i="7945"/>
  <c r="F193" i="7945" s="1"/>
  <c r="J808" i="18"/>
  <c r="J538" i="7941" s="1"/>
  <c r="E207" i="7945"/>
  <c r="F207" i="7945" s="1"/>
  <c r="M391" i="18"/>
  <c r="N391" i="18" s="1"/>
  <c r="K465" i="18"/>
  <c r="P127" i="7944"/>
  <c r="Q127" i="7944" s="1"/>
  <c r="J94" i="7945"/>
  <c r="O143" i="18"/>
  <c r="P143" i="18" s="1"/>
  <c r="N153" i="7944"/>
  <c r="O153" i="7944" s="1"/>
  <c r="P153" i="7944" s="1"/>
  <c r="P157" i="18"/>
  <c r="K97" i="7944"/>
  <c r="L87" i="7944"/>
  <c r="K9" i="7944"/>
  <c r="G27" i="7947"/>
  <c r="G28" i="7947" s="1"/>
  <c r="H26" i="7947" s="1"/>
  <c r="K114" i="7942"/>
  <c r="L114" i="7942" s="1"/>
  <c r="G156" i="7947"/>
  <c r="G158" i="7947" s="1"/>
  <c r="H155" i="7947" s="1"/>
  <c r="H161" i="7947"/>
  <c r="H163" i="7947" s="1"/>
  <c r="I160" i="7947" s="1"/>
  <c r="N448" i="7942"/>
  <c r="L449" i="7942"/>
  <c r="L123" i="7942"/>
  <c r="G68" i="7947"/>
  <c r="G69" i="7947" s="1"/>
  <c r="H67" i="7947" s="1"/>
  <c r="G39" i="7947"/>
  <c r="G40" i="7947" s="1"/>
  <c r="H38" i="7947" s="1"/>
  <c r="P128" i="7944"/>
  <c r="Q128" i="7944" s="1"/>
  <c r="G88" i="7947"/>
  <c r="G89" i="7947" s="1"/>
  <c r="H87" i="7947" s="1"/>
  <c r="G72" i="7947"/>
  <c r="G73" i="7947" s="1"/>
  <c r="H71" i="7947" s="1"/>
  <c r="G151" i="7947"/>
  <c r="G153" i="7947" s="1"/>
  <c r="H150" i="7947" s="1"/>
  <c r="G100" i="7947"/>
  <c r="G101" i="7947" s="1"/>
  <c r="H99" i="7947" s="1"/>
  <c r="G31" i="7947"/>
  <c r="G32" i="7947" s="1"/>
  <c r="H30" i="7947" s="1"/>
  <c r="G96" i="7947"/>
  <c r="G97" i="7947" s="1"/>
  <c r="H95" i="7947" s="1"/>
  <c r="M157" i="7942"/>
  <c r="L157" i="7942"/>
  <c r="N156" i="7942"/>
  <c r="K446" i="7942"/>
  <c r="L446" i="7942" s="1"/>
  <c r="F163" i="7945"/>
  <c r="L138" i="7942"/>
  <c r="K273" i="7942"/>
  <c r="L273" i="7942" s="1"/>
  <c r="P75" i="7944"/>
  <c r="Q75" i="7944" s="1"/>
  <c r="K432" i="7942"/>
  <c r="K37" i="7945"/>
  <c r="N164" i="7942"/>
  <c r="N165" i="7942" s="1"/>
  <c r="H166" i="7947"/>
  <c r="H168" i="7947" s="1"/>
  <c r="N101" i="7944"/>
  <c r="M122" i="7942"/>
  <c r="N122" i="7942" s="1"/>
  <c r="L442" i="7942"/>
  <c r="M442" i="7942" s="1"/>
  <c r="L302" i="7942"/>
  <c r="K140" i="18"/>
  <c r="H699" i="18"/>
  <c r="H537" i="18" s="1"/>
  <c r="H959" i="18"/>
  <c r="H829" i="18" s="1"/>
  <c r="M312" i="18"/>
  <c r="N312" i="18" s="1"/>
  <c r="M364" i="18"/>
  <c r="N364" i="18" s="1"/>
  <c r="O208" i="18"/>
  <c r="P208" i="18" s="1"/>
  <c r="H491" i="7941"/>
  <c r="M277" i="7942"/>
  <c r="J698" i="18"/>
  <c r="J958" i="18"/>
  <c r="N301" i="7942"/>
  <c r="N450" i="7942"/>
  <c r="N126" i="7942"/>
  <c r="O126" i="7942" s="1"/>
  <c r="P126" i="7942" s="1"/>
  <c r="L325" i="7942"/>
  <c r="L326" i="7942" s="1"/>
  <c r="L116" i="7942"/>
  <c r="L8" i="7944"/>
  <c r="G35" i="7947"/>
  <c r="G36" i="7947" s="1"/>
  <c r="H34" i="7947" s="1"/>
  <c r="H957" i="18"/>
  <c r="H697" i="18"/>
  <c r="H75" i="18"/>
  <c r="L10" i="7944"/>
  <c r="J700" i="18"/>
  <c r="J960" i="18"/>
  <c r="F219" i="7945"/>
  <c r="L698" i="18"/>
  <c r="L958" i="18"/>
  <c r="G171" i="7947"/>
  <c r="G173" i="7947" s="1"/>
  <c r="H170" i="7947" s="1"/>
  <c r="M127" i="7942"/>
  <c r="P325" i="18"/>
  <c r="G76" i="7947"/>
  <c r="G77" i="7947" s="1"/>
  <c r="H75" i="7947" s="1"/>
  <c r="N150" i="7942"/>
  <c r="I764" i="18"/>
  <c r="I990" i="18" s="1"/>
  <c r="I828" i="18" s="1"/>
  <c r="H558" i="7941"/>
  <c r="L84" i="7944"/>
  <c r="M74" i="7944"/>
  <c r="N74" i="7944" s="1"/>
  <c r="J9" i="7945"/>
  <c r="J108" i="7942"/>
  <c r="I107" i="7942"/>
  <c r="K114" i="18"/>
  <c r="M102" i="18"/>
  <c r="N102" i="18" s="1"/>
  <c r="H528" i="7941"/>
  <c r="I766" i="18"/>
  <c r="H80" i="7947"/>
  <c r="H81" i="7947" s="1"/>
  <c r="I79" i="7947" s="1"/>
  <c r="J701" i="18"/>
  <c r="J961" i="18"/>
  <c r="L297" i="7942"/>
  <c r="M297" i="7942" s="1"/>
  <c r="L151" i="7942"/>
  <c r="M462" i="7942"/>
  <c r="N462" i="7942" s="1"/>
  <c r="M463" i="7942" s="1"/>
  <c r="O140" i="7944"/>
  <c r="L460" i="7942"/>
  <c r="M460" i="7942" s="1"/>
  <c r="L461" i="7942" s="1"/>
  <c r="M165" i="7942"/>
  <c r="L126" i="7944"/>
  <c r="I957" i="18"/>
  <c r="I697" i="18"/>
  <c r="E317" i="7945"/>
  <c r="O273" i="18"/>
  <c r="P114" i="7944"/>
  <c r="Q114" i="7944" s="1"/>
  <c r="O182" i="18"/>
  <c r="P182" i="18" s="1"/>
  <c r="M285" i="7942"/>
  <c r="L123" i="7944"/>
  <c r="M123" i="7944" s="1"/>
  <c r="N123" i="7944" s="1"/>
  <c r="O123" i="7944" s="1"/>
  <c r="J51" i="7945"/>
  <c r="M113" i="7944"/>
  <c r="N113" i="7944" s="1"/>
  <c r="P100" i="7944"/>
  <c r="Q100" i="7944" s="1"/>
  <c r="N444" i="7942"/>
  <c r="M445" i="7942" s="1"/>
  <c r="N291" i="7942"/>
  <c r="O291" i="7942" s="1"/>
  <c r="M292" i="7942"/>
  <c r="L110" i="7944"/>
  <c r="M110" i="7944" s="1"/>
  <c r="K115" i="18"/>
  <c r="P338" i="18"/>
  <c r="N183" i="18"/>
  <c r="D143" i="7947"/>
  <c r="H7" i="7941"/>
  <c r="M221" i="18"/>
  <c r="H202" i="7947"/>
  <c r="I202" i="7947" s="1"/>
  <c r="K438" i="7942"/>
  <c r="L438" i="7942" s="1"/>
  <c r="M438" i="7942" s="1"/>
  <c r="L439" i="7942" s="1"/>
  <c r="J38" i="7945"/>
  <c r="K38" i="7945" s="1"/>
  <c r="P130" i="18"/>
  <c r="L289" i="7942"/>
  <c r="N442" i="18"/>
  <c r="O442" i="18" s="1"/>
  <c r="P442" i="18" s="1"/>
  <c r="L313" i="7942"/>
  <c r="L149" i="7944"/>
  <c r="L327" i="7942"/>
  <c r="M204" i="7947"/>
  <c r="J699" i="18"/>
  <c r="J959" i="18"/>
  <c r="I523" i="7941"/>
  <c r="H107" i="7942"/>
  <c r="E42" i="7947"/>
  <c r="J524" i="7941"/>
  <c r="L11" i="7944"/>
  <c r="F149" i="7945"/>
  <c r="H529" i="7941"/>
  <c r="I767" i="18"/>
  <c r="K205" i="7947"/>
  <c r="L292" i="7942"/>
  <c r="K12" i="7944"/>
  <c r="O260" i="18"/>
  <c r="P260" i="18" s="1"/>
  <c r="M454" i="7942"/>
  <c r="L464" i="7942"/>
  <c r="M464" i="7942" s="1"/>
  <c r="I700" i="18"/>
  <c r="I960" i="18"/>
  <c r="L149" i="7942"/>
  <c r="O148" i="7942"/>
  <c r="N149" i="7942"/>
  <c r="L128" i="18"/>
  <c r="E64" i="7945" s="1"/>
  <c r="E261" i="7945"/>
  <c r="I793" i="18"/>
  <c r="G675" i="7941"/>
  <c r="E36" i="7945"/>
  <c r="G84" i="7947"/>
  <c r="G85" i="7947" s="1"/>
  <c r="H83" i="7947" s="1"/>
  <c r="G176" i="7947"/>
  <c r="G178" i="7947" s="1"/>
  <c r="H175" i="7947" s="1"/>
  <c r="M302" i="7942"/>
  <c r="H92" i="7947"/>
  <c r="H93" i="7947" s="1"/>
  <c r="I91" i="7947" s="1"/>
  <c r="M149" i="7942"/>
  <c r="L303" i="7942"/>
  <c r="L269" i="7942"/>
  <c r="K146" i="7942"/>
  <c r="I1012" i="18"/>
  <c r="I16" i="7941"/>
  <c r="H242" i="7941"/>
  <c r="I1011" i="18"/>
  <c r="I21" i="7941"/>
  <c r="H247" i="7941"/>
  <c r="H258" i="7941"/>
  <c r="I733" i="18"/>
  <c r="L322" i="7942"/>
  <c r="H695" i="7941"/>
  <c r="I511" i="7941"/>
  <c r="M280" i="7942"/>
  <c r="I1016" i="18"/>
  <c r="I1014" i="18"/>
  <c r="H250" i="7941"/>
  <c r="I504" i="7941"/>
  <c r="H688" i="7941"/>
  <c r="I738" i="18"/>
  <c r="I742" i="18"/>
  <c r="I1017" i="18"/>
  <c r="I1005" i="18"/>
  <c r="E358" i="7945"/>
  <c r="I1003" i="18"/>
  <c r="I754" i="18"/>
  <c r="O362" i="18"/>
  <c r="P362" i="18" s="1"/>
  <c r="Q362" i="18" s="1"/>
  <c r="H696" i="7941"/>
  <c r="I512" i="7941"/>
  <c r="I988" i="18"/>
  <c r="I747" i="18"/>
  <c r="H243" i="7941"/>
  <c r="I17" i="7941"/>
  <c r="I1004" i="18"/>
  <c r="H699" i="7941"/>
  <c r="I515" i="7941"/>
  <c r="I1009" i="18"/>
  <c r="I743" i="18"/>
  <c r="I745" i="18"/>
  <c r="I503" i="7941"/>
  <c r="H687" i="7941"/>
  <c r="H704" i="7941"/>
  <c r="I520" i="7941"/>
  <c r="H702" i="7941"/>
  <c r="I518" i="7941"/>
  <c r="I739" i="18"/>
  <c r="H248" i="7941"/>
  <c r="O452" i="7942"/>
  <c r="N453" i="7942" s="1"/>
  <c r="H705" i="7941"/>
  <c r="I521" i="7941"/>
  <c r="H693" i="7941"/>
  <c r="I509" i="7941"/>
  <c r="H260" i="7941"/>
  <c r="I517" i="7941"/>
  <c r="H701" i="7941"/>
  <c r="H261" i="7941"/>
  <c r="I506" i="7941"/>
  <c r="H690" i="7941"/>
  <c r="I750" i="18"/>
  <c r="N258" i="18"/>
  <c r="O258" i="18" s="1"/>
  <c r="I746" i="18"/>
  <c r="I492" i="7941"/>
  <c r="H676" i="7941"/>
  <c r="H253" i="7941"/>
  <c r="M469" i="7942"/>
  <c r="M180" i="18"/>
  <c r="N180" i="18" s="1"/>
  <c r="O180" i="18" s="1"/>
  <c r="N309" i="7942"/>
  <c r="O309" i="7942" s="1"/>
  <c r="I508" i="7941"/>
  <c r="H692" i="7941"/>
  <c r="I1010" i="18"/>
  <c r="I997" i="18"/>
  <c r="H697" i="7941"/>
  <c r="I513" i="7941"/>
  <c r="H249" i="7941"/>
  <c r="I749" i="18"/>
  <c r="H251" i="7941"/>
  <c r="M312" i="7942"/>
  <c r="I1006" i="18"/>
  <c r="I999" i="18"/>
  <c r="I748" i="18"/>
  <c r="H259" i="7941"/>
  <c r="I8" i="7941"/>
  <c r="H234" i="7941"/>
  <c r="N279" i="7942"/>
  <c r="O279" i="7942" s="1"/>
  <c r="O280" i="7942" s="1"/>
  <c r="I19" i="7941"/>
  <c r="H245" i="7941"/>
  <c r="I996" i="18"/>
  <c r="I998" i="18"/>
  <c r="I1001" i="18"/>
  <c r="M141" i="7942"/>
  <c r="I20" i="7941"/>
  <c r="H246" i="7941"/>
  <c r="I519" i="7941"/>
  <c r="H703" i="7941"/>
  <c r="H262" i="7941"/>
  <c r="I1008" i="18"/>
  <c r="I737" i="18"/>
  <c r="H257" i="7941"/>
  <c r="H263" i="7941"/>
  <c r="E120" i="7945"/>
  <c r="I1013" i="18"/>
  <c r="I755" i="18"/>
  <c r="I1002" i="18"/>
  <c r="H700" i="7941"/>
  <c r="I516" i="7941"/>
  <c r="H698" i="7941"/>
  <c r="I514" i="7941"/>
  <c r="H239" i="7941"/>
  <c r="I13" i="7941"/>
  <c r="M321" i="7942"/>
  <c r="H694" i="7941"/>
  <c r="I510" i="7941"/>
  <c r="I753" i="18"/>
  <c r="I728" i="18"/>
  <c r="M401" i="18"/>
  <c r="N401" i="18" s="1"/>
  <c r="H244" i="7941"/>
  <c r="I18" i="7941"/>
  <c r="H691" i="7941"/>
  <c r="I507" i="7941"/>
  <c r="I740" i="18"/>
  <c r="I1015" i="18"/>
  <c r="I756" i="18"/>
  <c r="H256" i="7941"/>
  <c r="H252" i="7941"/>
  <c r="I736" i="18"/>
  <c r="H238" i="7941"/>
  <c r="I12" i="7941"/>
  <c r="H685" i="7941"/>
  <c r="I501" i="7941"/>
  <c r="I741" i="18"/>
  <c r="I752" i="18"/>
  <c r="H255" i="7941"/>
  <c r="I751" i="18"/>
  <c r="I1007" i="18"/>
  <c r="H254" i="7941"/>
  <c r="I757" i="18"/>
  <c r="I744" i="18"/>
  <c r="I1000" i="18"/>
  <c r="I500" i="7941"/>
  <c r="H684" i="7941"/>
  <c r="L276" i="7942"/>
  <c r="I502" i="7941"/>
  <c r="H686" i="7941"/>
  <c r="H689" i="7941"/>
  <c r="I505" i="7941"/>
  <c r="N293" i="7942"/>
  <c r="O293" i="7942" s="1"/>
  <c r="M307" i="7942"/>
  <c r="M275" i="7942"/>
  <c r="M276" i="7942" s="1"/>
  <c r="L143" i="7942"/>
  <c r="M142" i="7942"/>
  <c r="M143" i="7942" s="1"/>
  <c r="N111" i="7942"/>
  <c r="O110" i="7942"/>
  <c r="O111" i="7942" s="1"/>
  <c r="O136" i="7942"/>
  <c r="P136" i="7942" s="1"/>
  <c r="N140" i="7942"/>
  <c r="O140" i="7942" s="1"/>
  <c r="M112" i="7942"/>
  <c r="N112" i="7942" s="1"/>
  <c r="O112" i="7942" s="1"/>
  <c r="M159" i="7942"/>
  <c r="L113" i="7942"/>
  <c r="L141" i="7942"/>
  <c r="M132" i="7942"/>
  <c r="L133" i="7942"/>
  <c r="M152" i="7942"/>
  <c r="M153" i="7942" s="1"/>
  <c r="L153" i="7942"/>
  <c r="N158" i="7942"/>
  <c r="Q245" i="18" l="1"/>
  <c r="E63" i="7947"/>
  <c r="M139" i="7944"/>
  <c r="N139" i="7944" s="1"/>
  <c r="O139" i="7944" s="1"/>
  <c r="P139" i="7944" s="1"/>
  <c r="Q139" i="7944" s="1"/>
  <c r="N299" i="7942"/>
  <c r="N300" i="7942" s="1"/>
  <c r="M296" i="7942"/>
  <c r="O480" i="7942"/>
  <c r="N481" i="7942" s="1"/>
  <c r="N306" i="7942"/>
  <c r="L231" i="18"/>
  <c r="M231" i="18" s="1"/>
  <c r="N231" i="18" s="1"/>
  <c r="O231" i="18" s="1"/>
  <c r="E123" i="7945"/>
  <c r="F123" i="7945" s="1"/>
  <c r="O161" i="7942"/>
  <c r="N318" i="7942"/>
  <c r="L479" i="7942"/>
  <c r="N485" i="7942"/>
  <c r="P484" i="7942"/>
  <c r="O485" i="7942" s="1"/>
  <c r="Q476" i="7942"/>
  <c r="L471" i="7942"/>
  <c r="N470" i="7942"/>
  <c r="M489" i="7942"/>
  <c r="O488" i="7942"/>
  <c r="N489" i="7942" s="1"/>
  <c r="M472" i="7942"/>
  <c r="L473" i="7942" s="1"/>
  <c r="M13" i="7944"/>
  <c r="N12" i="7946" s="1"/>
  <c r="L482" i="7942"/>
  <c r="Q486" i="7942"/>
  <c r="N478" i="7942"/>
  <c r="N475" i="7942"/>
  <c r="P474" i="7942"/>
  <c r="O475" i="7942" s="1"/>
  <c r="Q746" i="7941"/>
  <c r="O144" i="7942"/>
  <c r="O145" i="7942" s="1"/>
  <c r="O318" i="7942"/>
  <c r="O466" i="7942"/>
  <c r="P466" i="7942" s="1"/>
  <c r="P317" i="7942"/>
  <c r="Q317" i="7942" s="1"/>
  <c r="Q318" i="7942" s="1"/>
  <c r="Q386" i="7941" s="1"/>
  <c r="K429" i="7942"/>
  <c r="N161" i="7942"/>
  <c r="M125" i="7942"/>
  <c r="P160" i="7942"/>
  <c r="P161" i="7942" s="1"/>
  <c r="O462" i="7942"/>
  <c r="N463" i="7942" s="1"/>
  <c r="O128" i="7942"/>
  <c r="N129" i="7942"/>
  <c r="L430" i="7942"/>
  <c r="P154" i="7942"/>
  <c r="Q154" i="7942" s="1"/>
  <c r="O311" i="7942"/>
  <c r="O312" i="7942" s="1"/>
  <c r="L432" i="7942"/>
  <c r="M434" i="7942"/>
  <c r="M436" i="7942"/>
  <c r="Q157" i="18"/>
  <c r="Q222" i="18"/>
  <c r="Q443" i="18"/>
  <c r="Q132" i="18"/>
  <c r="E263" i="7945"/>
  <c r="F263" i="7945" s="1"/>
  <c r="O206" i="18"/>
  <c r="P206" i="18" s="1"/>
  <c r="Q206" i="18" s="1"/>
  <c r="R3" i="18"/>
  <c r="Q167" i="18"/>
  <c r="Q92" i="18"/>
  <c r="Q76" i="18"/>
  <c r="Q78" i="18"/>
  <c r="Q79" i="18"/>
  <c r="Q89" i="18"/>
  <c r="Q170" i="18"/>
  <c r="Q91" i="18"/>
  <c r="Q271" i="18"/>
  <c r="Q93" i="18"/>
  <c r="Q169" i="18"/>
  <c r="Q80" i="18"/>
  <c r="Q171" i="18"/>
  <c r="Q158" i="18"/>
  <c r="Q260" i="18"/>
  <c r="Q365" i="18"/>
  <c r="Q81" i="18"/>
  <c r="Q249" i="18"/>
  <c r="Q297" i="18"/>
  <c r="Q232" i="18"/>
  <c r="Q390" i="18"/>
  <c r="Q349" i="18"/>
  <c r="Q427" i="18"/>
  <c r="Q193" i="18"/>
  <c r="Q338" i="18"/>
  <c r="Q182" i="18"/>
  <c r="Q144" i="18"/>
  <c r="Q143" i="18"/>
  <c r="Q195" i="18"/>
  <c r="Q287" i="18"/>
  <c r="Q299" i="18"/>
  <c r="Q219" i="18"/>
  <c r="Q453" i="18"/>
  <c r="Q455" i="18"/>
  <c r="Q141" i="18"/>
  <c r="Q414" i="18"/>
  <c r="Q388" i="18"/>
  <c r="Q310" i="18"/>
  <c r="O440" i="18"/>
  <c r="P440" i="18" s="1"/>
  <c r="Q440" i="18" s="1"/>
  <c r="Q130" i="18"/>
  <c r="Q325" i="18"/>
  <c r="Q418" i="18"/>
  <c r="Q172" i="18"/>
  <c r="Q94" i="18"/>
  <c r="L322" i="18"/>
  <c r="M322" i="18" s="1"/>
  <c r="N322" i="18" s="1"/>
  <c r="O322" i="18" s="1"/>
  <c r="Q379" i="18"/>
  <c r="Q145" i="18"/>
  <c r="Q131" i="18"/>
  <c r="Q351" i="18"/>
  <c r="Q429" i="18"/>
  <c r="Q416" i="18"/>
  <c r="Q284" i="18"/>
  <c r="L701" i="18"/>
  <c r="N283" i="7942"/>
  <c r="O283" i="7942" s="1"/>
  <c r="N119" i="7942"/>
  <c r="P121" i="7942"/>
  <c r="M154" i="18"/>
  <c r="N154" i="18" s="1"/>
  <c r="O375" i="18"/>
  <c r="P375" i="18" s="1"/>
  <c r="M323" i="18"/>
  <c r="N323" i="18" s="1"/>
  <c r="K963" i="18"/>
  <c r="M296" i="18"/>
  <c r="N296" i="18" s="1"/>
  <c r="O456" i="7942"/>
  <c r="N457" i="7942" s="1"/>
  <c r="O295" i="7942"/>
  <c r="P295" i="7942" s="1"/>
  <c r="Q295" i="7942" s="1"/>
  <c r="N296" i="7942"/>
  <c r="M271" i="7942"/>
  <c r="M272" i="7942" s="1"/>
  <c r="M289" i="18"/>
  <c r="L272" i="7942"/>
  <c r="O166" i="7942"/>
  <c r="O167" i="7942" s="1"/>
  <c r="E24" i="7947"/>
  <c r="E44" i="7947" s="1"/>
  <c r="P339" i="18"/>
  <c r="Q339" i="18" s="1"/>
  <c r="K713" i="18"/>
  <c r="N135" i="7942"/>
  <c r="K974" i="18"/>
  <c r="E277" i="7945"/>
  <c r="F277" i="7945" s="1"/>
  <c r="L335" i="18"/>
  <c r="M335" i="18" s="1"/>
  <c r="N335" i="18" s="1"/>
  <c r="O335" i="18" s="1"/>
  <c r="M341" i="18"/>
  <c r="N341" i="18" s="1"/>
  <c r="L439" i="18"/>
  <c r="M439" i="18" s="1"/>
  <c r="N439" i="18" s="1"/>
  <c r="O439" i="18" s="1"/>
  <c r="P439" i="18" s="1"/>
  <c r="Q439" i="18" s="1"/>
  <c r="K973" i="18"/>
  <c r="Q197" i="18"/>
  <c r="M223" i="18"/>
  <c r="N223" i="18" s="1"/>
  <c r="O223" i="18" s="1"/>
  <c r="P223" i="18" s="1"/>
  <c r="Q223" i="18" s="1"/>
  <c r="O404" i="18"/>
  <c r="P404" i="18" s="1"/>
  <c r="Q404" i="18" s="1"/>
  <c r="K714" i="18"/>
  <c r="L361" i="18"/>
  <c r="M361" i="18" s="1"/>
  <c r="N361" i="18" s="1"/>
  <c r="L511" i="18"/>
  <c r="L49" i="7941" s="1"/>
  <c r="L519" i="18"/>
  <c r="L57" i="7941" s="1"/>
  <c r="L531" i="18"/>
  <c r="L69" i="7941" s="1"/>
  <c r="L521" i="18"/>
  <c r="L59" i="7941" s="1"/>
  <c r="L512" i="18"/>
  <c r="L50" i="7941" s="1"/>
  <c r="K717" i="18"/>
  <c r="P184" i="18"/>
  <c r="Q184" i="18" s="1"/>
  <c r="L205" i="18"/>
  <c r="M205" i="18" s="1"/>
  <c r="G220" i="7947"/>
  <c r="H217" i="7947" s="1"/>
  <c r="N314" i="18"/>
  <c r="O314" i="18" s="1"/>
  <c r="P314" i="18" s="1"/>
  <c r="Q314" i="18" s="1"/>
  <c r="M380" i="18"/>
  <c r="N380" i="18" s="1"/>
  <c r="O326" i="18"/>
  <c r="K965" i="18"/>
  <c r="K964" i="18"/>
  <c r="Q133" i="18"/>
  <c r="N288" i="18"/>
  <c r="O288" i="18" s="1"/>
  <c r="P288" i="18" s="1"/>
  <c r="K701" i="18"/>
  <c r="Q159" i="18"/>
  <c r="O300" i="18"/>
  <c r="P300" i="18" s="1"/>
  <c r="Q300" i="18" s="1"/>
  <c r="O210" i="18"/>
  <c r="P210" i="18" s="1"/>
  <c r="Q210" i="18" s="1"/>
  <c r="Q146" i="18"/>
  <c r="M153" i="18"/>
  <c r="N153" i="18" s="1"/>
  <c r="O153" i="18" s="1"/>
  <c r="Q340" i="18"/>
  <c r="J793" i="18"/>
  <c r="K969" i="18"/>
  <c r="E136" i="7945"/>
  <c r="F136" i="7945" s="1"/>
  <c r="N196" i="18"/>
  <c r="O196" i="18" s="1"/>
  <c r="K705" i="18"/>
  <c r="K707" i="18"/>
  <c r="Q405" i="18"/>
  <c r="K724" i="18"/>
  <c r="O301" i="18"/>
  <c r="P301" i="18" s="1"/>
  <c r="Q301" i="18" s="1"/>
  <c r="O445" i="18"/>
  <c r="P445" i="18" s="1"/>
  <c r="Q445" i="18" s="1"/>
  <c r="M198" i="18"/>
  <c r="N198" i="18" s="1"/>
  <c r="N327" i="18"/>
  <c r="O327" i="18" s="1"/>
  <c r="L443" i="7942"/>
  <c r="N442" i="7942"/>
  <c r="M443" i="7942" s="1"/>
  <c r="L463" i="7942"/>
  <c r="N123" i="7942"/>
  <c r="L298" i="7942"/>
  <c r="M135" i="7942"/>
  <c r="N280" i="7942"/>
  <c r="O440" i="7942"/>
  <c r="O134" i="7942"/>
  <c r="L963" i="18"/>
  <c r="L703" i="18"/>
  <c r="M179" i="18"/>
  <c r="P305" i="7942"/>
  <c r="Q305" i="7942" s="1"/>
  <c r="O306" i="7942"/>
  <c r="L146" i="7942"/>
  <c r="L147" i="7942" s="1"/>
  <c r="O150" i="7942"/>
  <c r="O151" i="7942" s="1"/>
  <c r="N151" i="7942"/>
  <c r="O312" i="18"/>
  <c r="P312" i="18" s="1"/>
  <c r="Q312" i="18" s="1"/>
  <c r="M449" i="7942"/>
  <c r="O448" i="7942"/>
  <c r="N449" i="7942" s="1"/>
  <c r="E250" i="7945"/>
  <c r="F250" i="7945" s="1"/>
  <c r="K811" i="18"/>
  <c r="K541" i="7941" s="1"/>
  <c r="O82" i="18"/>
  <c r="N82" i="18"/>
  <c r="L44" i="18"/>
  <c r="M82" i="18"/>
  <c r="P82" i="18"/>
  <c r="Q82" i="18"/>
  <c r="L309" i="1"/>
  <c r="L12" i="18"/>
  <c r="L173" i="1"/>
  <c r="M407" i="18"/>
  <c r="L69" i="18"/>
  <c r="L48" i="18"/>
  <c r="P134" i="18"/>
  <c r="N134" i="18"/>
  <c r="O134" i="18"/>
  <c r="M134" i="18"/>
  <c r="Q134" i="18"/>
  <c r="L65" i="18"/>
  <c r="M355" i="18"/>
  <c r="N355" i="18" s="1"/>
  <c r="O95" i="18"/>
  <c r="L45" i="18"/>
  <c r="N95" i="18"/>
  <c r="Q95" i="18"/>
  <c r="M95" i="18"/>
  <c r="P95" i="18"/>
  <c r="L72" i="18"/>
  <c r="M446" i="18"/>
  <c r="N446" i="18" s="1"/>
  <c r="L60" i="18"/>
  <c r="M290" i="18"/>
  <c r="N290" i="18" s="1"/>
  <c r="M303" i="18"/>
  <c r="N303" i="18" s="1"/>
  <c r="L61" i="18"/>
  <c r="L62" i="18"/>
  <c r="M316" i="18"/>
  <c r="N316" i="18" s="1"/>
  <c r="O316" i="18" s="1"/>
  <c r="M185" i="18"/>
  <c r="N185" i="18" s="1"/>
  <c r="O185" i="18" s="1"/>
  <c r="L192" i="18"/>
  <c r="M192" i="18" s="1"/>
  <c r="N192" i="18" s="1"/>
  <c r="O192" i="18" s="1"/>
  <c r="O247" i="18"/>
  <c r="P247" i="18" s="1"/>
  <c r="M419" i="18"/>
  <c r="N419" i="18" s="1"/>
  <c r="O419" i="18" s="1"/>
  <c r="P419" i="18" s="1"/>
  <c r="K803" i="18"/>
  <c r="K533" i="7941" s="1"/>
  <c r="E138" i="7945"/>
  <c r="F138" i="7945" s="1"/>
  <c r="M275" i="18"/>
  <c r="O352" i="18"/>
  <c r="P352" i="18" s="1"/>
  <c r="Q352" i="18" s="1"/>
  <c r="O248" i="18"/>
  <c r="P248" i="18" s="1"/>
  <c r="Q248" i="18" s="1"/>
  <c r="M348" i="18"/>
  <c r="N348" i="18" s="1"/>
  <c r="K818" i="18"/>
  <c r="K548" i="7941" s="1"/>
  <c r="E348" i="7945"/>
  <c r="F348" i="7945" s="1"/>
  <c r="N315" i="18"/>
  <c r="O315" i="18" s="1"/>
  <c r="P315" i="18" s="1"/>
  <c r="M236" i="18"/>
  <c r="N236" i="18" s="1"/>
  <c r="N313" i="18"/>
  <c r="O313" i="18" s="1"/>
  <c r="E334" i="7945"/>
  <c r="F334" i="7945" s="1"/>
  <c r="K817" i="18"/>
  <c r="K547" i="7941" s="1"/>
  <c r="H208" i="7947"/>
  <c r="K718" i="18"/>
  <c r="K712" i="18"/>
  <c r="K970" i="18"/>
  <c r="M374" i="18"/>
  <c r="N374" i="18" s="1"/>
  <c r="O374" i="18" s="1"/>
  <c r="P374" i="18" s="1"/>
  <c r="Q374" i="18" s="1"/>
  <c r="I494" i="7941"/>
  <c r="H678" i="7941"/>
  <c r="M116" i="7942"/>
  <c r="M117" i="7942" s="1"/>
  <c r="L117" i="7942"/>
  <c r="M354" i="18"/>
  <c r="N354" i="18" s="1"/>
  <c r="E417" i="7945"/>
  <c r="F417" i="7945" s="1"/>
  <c r="L465" i="18"/>
  <c r="M465" i="18" s="1"/>
  <c r="N465" i="18" s="1"/>
  <c r="O465" i="18" s="1"/>
  <c r="M457" i="18"/>
  <c r="E305" i="7945"/>
  <c r="F305" i="7945" s="1"/>
  <c r="M353" i="18"/>
  <c r="N353" i="18" s="1"/>
  <c r="L218" i="18"/>
  <c r="M218" i="18" s="1"/>
  <c r="N218" i="18" s="1"/>
  <c r="E150" i="7945"/>
  <c r="F150" i="7945" s="1"/>
  <c r="M209" i="18"/>
  <c r="N209" i="18" s="1"/>
  <c r="M406" i="18"/>
  <c r="N406" i="18" s="1"/>
  <c r="K800" i="18"/>
  <c r="K530" i="7941" s="1"/>
  <c r="E96" i="7945"/>
  <c r="F96" i="7945" s="1"/>
  <c r="K175" i="7944"/>
  <c r="L165" i="7944"/>
  <c r="M165" i="7944" s="1"/>
  <c r="M367" i="18"/>
  <c r="N367" i="18" s="1"/>
  <c r="O367" i="18" s="1"/>
  <c r="K812" i="18"/>
  <c r="K542" i="7941" s="1"/>
  <c r="E264" i="7945"/>
  <c r="F264" i="7945" s="1"/>
  <c r="Q392" i="18"/>
  <c r="N157" i="7942"/>
  <c r="O156" i="7942"/>
  <c r="O157" i="7942" s="1"/>
  <c r="O391" i="18"/>
  <c r="P391" i="18" s="1"/>
  <c r="N302" i="18"/>
  <c r="L309" i="18"/>
  <c r="M309" i="18" s="1"/>
  <c r="M276" i="18"/>
  <c r="K815" i="18"/>
  <c r="K545" i="7941" s="1"/>
  <c r="E306" i="7945"/>
  <c r="F306" i="7945" s="1"/>
  <c r="M250" i="18"/>
  <c r="N250" i="18" s="1"/>
  <c r="L956" i="18"/>
  <c r="M88" i="18"/>
  <c r="P403" i="18"/>
  <c r="Q403" i="18" s="1"/>
  <c r="O274" i="18"/>
  <c r="P274" i="18" s="1"/>
  <c r="L49" i="18"/>
  <c r="M147" i="18"/>
  <c r="P147" i="18"/>
  <c r="Q147" i="18"/>
  <c r="N147" i="18"/>
  <c r="O147" i="18"/>
  <c r="L58" i="18"/>
  <c r="M264" i="18"/>
  <c r="M381" i="18"/>
  <c r="L67" i="18"/>
  <c r="M420" i="18"/>
  <c r="N420" i="18" s="1"/>
  <c r="L70" i="18"/>
  <c r="L524" i="18"/>
  <c r="L62" i="7941" s="1"/>
  <c r="L504" i="18"/>
  <c r="L42" i="7941" s="1"/>
  <c r="L68" i="18"/>
  <c r="M394" i="18"/>
  <c r="N394" i="18" s="1"/>
  <c r="O394" i="18" s="1"/>
  <c r="P394" i="18" s="1"/>
  <c r="Q394" i="18" s="1"/>
  <c r="L528" i="18"/>
  <c r="L66" i="7941" s="1"/>
  <c r="L518" i="18"/>
  <c r="L56" i="7941" s="1"/>
  <c r="L526" i="18"/>
  <c r="L64" i="7941" s="1"/>
  <c r="L517" i="18"/>
  <c r="L55" i="7941" s="1"/>
  <c r="E166" i="7945"/>
  <c r="F166" i="7945" s="1"/>
  <c r="M224" i="18"/>
  <c r="N224" i="18" s="1"/>
  <c r="K819" i="18"/>
  <c r="K549" i="7941" s="1"/>
  <c r="E362" i="7945"/>
  <c r="F362" i="7945" s="1"/>
  <c r="L257" i="18"/>
  <c r="M387" i="18"/>
  <c r="M263" i="18"/>
  <c r="N263" i="18" s="1"/>
  <c r="I207" i="7947"/>
  <c r="N262" i="18"/>
  <c r="O262" i="18" s="1"/>
  <c r="O319" i="7942"/>
  <c r="O320" i="7942" s="1"/>
  <c r="N320" i="7942"/>
  <c r="O456" i="18"/>
  <c r="K15" i="7944"/>
  <c r="N286" i="18"/>
  <c r="O286" i="18" s="1"/>
  <c r="P286" i="18" s="1"/>
  <c r="M459" i="7942"/>
  <c r="K710" i="18"/>
  <c r="K725" i="18"/>
  <c r="K977" i="18"/>
  <c r="K968" i="18"/>
  <c r="O458" i="7942"/>
  <c r="P458" i="7942" s="1"/>
  <c r="O459" i="7942" s="1"/>
  <c r="K972" i="18"/>
  <c r="M289" i="7942"/>
  <c r="N289" i="7942" s="1"/>
  <c r="O183" i="18"/>
  <c r="P183" i="18" s="1"/>
  <c r="K982" i="18"/>
  <c r="N127" i="7942"/>
  <c r="P127" i="7942"/>
  <c r="O364" i="18"/>
  <c r="P364" i="18" s="1"/>
  <c r="E221" i="7945"/>
  <c r="F221" i="7945" s="1"/>
  <c r="J40" i="7941"/>
  <c r="J39" i="7941" s="1"/>
  <c r="J501" i="18"/>
  <c r="K801" i="18"/>
  <c r="K531" i="7941" s="1"/>
  <c r="E110" i="7945"/>
  <c r="F110" i="7945" s="1"/>
  <c r="K809" i="18"/>
  <c r="K539" i="7941" s="1"/>
  <c r="E222" i="7945"/>
  <c r="F222" i="7945" s="1"/>
  <c r="N328" i="18"/>
  <c r="O328" i="18" s="1"/>
  <c r="P328" i="18" s="1"/>
  <c r="K721" i="18"/>
  <c r="K975" i="18"/>
  <c r="K967" i="18"/>
  <c r="K722" i="18"/>
  <c r="K723" i="18"/>
  <c r="K979" i="18"/>
  <c r="K976" i="18"/>
  <c r="K966" i="18"/>
  <c r="K715" i="18"/>
  <c r="K985" i="18"/>
  <c r="K980" i="18"/>
  <c r="K708" i="18"/>
  <c r="K704" i="18"/>
  <c r="K709" i="18"/>
  <c r="K984" i="18"/>
  <c r="K981" i="18"/>
  <c r="K983" i="18"/>
  <c r="K719" i="18"/>
  <c r="K720" i="18"/>
  <c r="K716" i="18"/>
  <c r="K706" i="18"/>
  <c r="K978" i="18"/>
  <c r="K711" i="18"/>
  <c r="K971" i="18"/>
  <c r="L283" i="18"/>
  <c r="E404" i="7945"/>
  <c r="F404" i="7945" s="1"/>
  <c r="K822" i="18"/>
  <c r="K552" i="7941" s="1"/>
  <c r="K806" i="18"/>
  <c r="K536" i="7941" s="1"/>
  <c r="E180" i="7945"/>
  <c r="F180" i="7945" s="1"/>
  <c r="L697" i="18"/>
  <c r="L957" i="18"/>
  <c r="M101" i="18"/>
  <c r="M697" i="18" s="1"/>
  <c r="M393" i="18"/>
  <c r="L400" i="18"/>
  <c r="M432" i="18"/>
  <c r="K810" i="18"/>
  <c r="K540" i="7941" s="1"/>
  <c r="E236" i="7945"/>
  <c r="F236" i="7945" s="1"/>
  <c r="E68" i="7945"/>
  <c r="F68" i="7945" s="1"/>
  <c r="K798" i="18"/>
  <c r="K528" i="7941" s="1"/>
  <c r="L452" i="18"/>
  <c r="M444" i="18"/>
  <c r="N444" i="18" s="1"/>
  <c r="O444" i="18" s="1"/>
  <c r="P444" i="18" s="1"/>
  <c r="E403" i="7945"/>
  <c r="F403" i="7945" s="1"/>
  <c r="L162" i="7942"/>
  <c r="M162" i="7942" s="1"/>
  <c r="K799" i="18"/>
  <c r="K529" i="7941" s="1"/>
  <c r="E82" i="7945"/>
  <c r="F82" i="7945" s="1"/>
  <c r="N378" i="18"/>
  <c r="E194" i="7945"/>
  <c r="F194" i="7945" s="1"/>
  <c r="K807" i="18"/>
  <c r="K537" i="7941" s="1"/>
  <c r="L270" i="18"/>
  <c r="E41" i="7945"/>
  <c r="L796" i="18"/>
  <c r="L526" i="7941" s="1"/>
  <c r="E55" i="7945"/>
  <c r="L797" i="18"/>
  <c r="L527" i="7941" s="1"/>
  <c r="L53" i="18"/>
  <c r="M199" i="18"/>
  <c r="N199" i="18" s="1"/>
  <c r="O199" i="18" s="1"/>
  <c r="L51" i="18"/>
  <c r="O173" i="18"/>
  <c r="Q173" i="18"/>
  <c r="M173" i="18"/>
  <c r="N173" i="18"/>
  <c r="P173" i="18"/>
  <c r="L59" i="18"/>
  <c r="M277" i="18"/>
  <c r="N277" i="18" s="1"/>
  <c r="L513" i="18"/>
  <c r="L51" i="7941" s="1"/>
  <c r="L64" i="18"/>
  <c r="M342" i="18"/>
  <c r="N342" i="18" s="1"/>
  <c r="O342" i="18" s="1"/>
  <c r="P342" i="18" s="1"/>
  <c r="L73" i="18"/>
  <c r="M459" i="18"/>
  <c r="L56" i="18"/>
  <c r="M238" i="18"/>
  <c r="N238" i="18" s="1"/>
  <c r="L515" i="18"/>
  <c r="L53" i="7941" s="1"/>
  <c r="M285" i="1"/>
  <c r="M304" i="1"/>
  <c r="M154" i="1"/>
  <c r="M23" i="18" s="1"/>
  <c r="M148" i="1"/>
  <c r="M17" i="18" s="1"/>
  <c r="M171" i="1"/>
  <c r="M40" i="18" s="1"/>
  <c r="M303" i="1"/>
  <c r="M158" i="1"/>
  <c r="M27" i="18" s="1"/>
  <c r="M289" i="1"/>
  <c r="M161" i="1"/>
  <c r="M30" i="18" s="1"/>
  <c r="H122" i="7947"/>
  <c r="M288" i="1"/>
  <c r="M151" i="1"/>
  <c r="M20" i="18" s="1"/>
  <c r="M145" i="1"/>
  <c r="M14" i="18" s="1"/>
  <c r="M153" i="1"/>
  <c r="M22" i="18" s="1"/>
  <c r="M301" i="1"/>
  <c r="M279" i="1"/>
  <c r="M284" i="1"/>
  <c r="M300" i="1"/>
  <c r="M282" i="1"/>
  <c r="M47" i="18" s="1"/>
  <c r="M295" i="1"/>
  <c r="M280" i="1"/>
  <c r="M159" i="1"/>
  <c r="M28" i="18" s="1"/>
  <c r="M281" i="1"/>
  <c r="M46" i="18" s="1"/>
  <c r="M290" i="1"/>
  <c r="M7" i="18"/>
  <c r="M296" i="1"/>
  <c r="M305" i="1"/>
  <c r="M294" i="1"/>
  <c r="H192" i="7947"/>
  <c r="M147" i="1"/>
  <c r="M16" i="18" s="1"/>
  <c r="M150" i="1"/>
  <c r="M19" i="18" s="1"/>
  <c r="M166" i="1"/>
  <c r="M35" i="18" s="1"/>
  <c r="M168" i="1"/>
  <c r="M37" i="18" s="1"/>
  <c r="M160" i="1"/>
  <c r="M29" i="18" s="1"/>
  <c r="M172" i="1"/>
  <c r="M41" i="18" s="1"/>
  <c r="M149" i="1"/>
  <c r="M18" i="18" s="1"/>
  <c r="M167" i="1"/>
  <c r="M36" i="18" s="1"/>
  <c r="M297" i="1"/>
  <c r="M157" i="1"/>
  <c r="M26" i="18" s="1"/>
  <c r="M156" i="1"/>
  <c r="M25" i="18" s="1"/>
  <c r="M169" i="1"/>
  <c r="M38" i="18" s="1"/>
  <c r="M170" i="1"/>
  <c r="M39" i="18" s="1"/>
  <c r="M162" i="1"/>
  <c r="M31" i="18" s="1"/>
  <c r="M306" i="1"/>
  <c r="M291" i="1"/>
  <c r="M143" i="1"/>
  <c r="M146" i="1"/>
  <c r="M15" i="18" s="1"/>
  <c r="M144" i="1"/>
  <c r="M13" i="18" s="1"/>
  <c r="M164" i="1"/>
  <c r="M33" i="18" s="1"/>
  <c r="M308" i="1"/>
  <c r="M155" i="1"/>
  <c r="M24" i="18" s="1"/>
  <c r="M298" i="1"/>
  <c r="M292" i="1"/>
  <c r="M287" i="1"/>
  <c r="M307" i="1"/>
  <c r="M152" i="1"/>
  <c r="M21" i="18" s="1"/>
  <c r="M302" i="1"/>
  <c r="M163" i="1"/>
  <c r="M32" i="18" s="1"/>
  <c r="M293" i="1"/>
  <c r="M165" i="1"/>
  <c r="M34" i="18" s="1"/>
  <c r="M299" i="1"/>
  <c r="M286" i="1"/>
  <c r="M283" i="1"/>
  <c r="L66" i="18"/>
  <c r="M368" i="18"/>
  <c r="N368" i="18" s="1"/>
  <c r="O368" i="18" s="1"/>
  <c r="L525" i="18"/>
  <c r="L63" i="7941" s="1"/>
  <c r="L509" i="18"/>
  <c r="L47" i="7941" s="1"/>
  <c r="L522" i="18"/>
  <c r="L60" i="7941" s="1"/>
  <c r="L514" i="18"/>
  <c r="L52" i="7941" s="1"/>
  <c r="K802" i="18"/>
  <c r="K532" i="7941" s="1"/>
  <c r="E124" i="7945"/>
  <c r="F124" i="7945" s="1"/>
  <c r="K808" i="18"/>
  <c r="K538" i="7941" s="1"/>
  <c r="E208" i="7945"/>
  <c r="F208" i="7945" s="1"/>
  <c r="N237" i="18"/>
  <c r="I206" i="7947"/>
  <c r="J206" i="7947" s="1"/>
  <c r="L244" i="18"/>
  <c r="M244" i="18" s="1"/>
  <c r="N244" i="18" s="1"/>
  <c r="M431" i="18"/>
  <c r="N431" i="18" s="1"/>
  <c r="O261" i="18"/>
  <c r="P261" i="18" s="1"/>
  <c r="Q261" i="18" s="1"/>
  <c r="E292" i="7945"/>
  <c r="F292" i="7945" s="1"/>
  <c r="K814" i="18"/>
  <c r="K544" i="7941" s="1"/>
  <c r="M131" i="7942"/>
  <c r="N130" i="7942"/>
  <c r="O430" i="18"/>
  <c r="P430" i="18" s="1"/>
  <c r="O234" i="18"/>
  <c r="P234" i="18" s="1"/>
  <c r="E418" i="7945"/>
  <c r="F418" i="7945" s="1"/>
  <c r="K823" i="18"/>
  <c r="K553" i="7941" s="1"/>
  <c r="E152" i="7945"/>
  <c r="F152" i="7945" s="1"/>
  <c r="K804" i="18"/>
  <c r="K534" i="7941" s="1"/>
  <c r="M287" i="7942"/>
  <c r="K11" i="18"/>
  <c r="K502" i="18"/>
  <c r="N458" i="18"/>
  <c r="N211" i="18"/>
  <c r="I769" i="18"/>
  <c r="H531" i="7941"/>
  <c r="P366" i="18"/>
  <c r="Q366" i="18" s="1"/>
  <c r="M282" i="7942"/>
  <c r="J523" i="7941"/>
  <c r="E278" i="7945"/>
  <c r="F278" i="7945" s="1"/>
  <c r="K813" i="18"/>
  <c r="K543" i="7941" s="1"/>
  <c r="K43" i="18"/>
  <c r="E12" i="7945"/>
  <c r="F12" i="7945" s="1"/>
  <c r="K794" i="18"/>
  <c r="L426" i="18"/>
  <c r="E374" i="7945"/>
  <c r="F374" i="7945" s="1"/>
  <c r="M417" i="18"/>
  <c r="O377" i="18"/>
  <c r="P377" i="18" s="1"/>
  <c r="Q377" i="18" s="1"/>
  <c r="M160" i="18"/>
  <c r="Q160" i="18"/>
  <c r="O160" i="18"/>
  <c r="N160" i="18"/>
  <c r="L50" i="18"/>
  <c r="P160" i="18"/>
  <c r="L503" i="18"/>
  <c r="L41" i="7941" s="1"/>
  <c r="L54" i="18"/>
  <c r="M212" i="18"/>
  <c r="N212" i="18" s="1"/>
  <c r="O212" i="18" s="1"/>
  <c r="P212" i="18" s="1"/>
  <c r="L52" i="18"/>
  <c r="M186" i="18"/>
  <c r="L507" i="18"/>
  <c r="L45" i="7941" s="1"/>
  <c r="L529" i="18"/>
  <c r="L67" i="7941" s="1"/>
  <c r="M251" i="18"/>
  <c r="N251" i="18" s="1"/>
  <c r="L57" i="18"/>
  <c r="H209" i="7947"/>
  <c r="I209" i="7947" s="1"/>
  <c r="H219" i="7947"/>
  <c r="H226" i="7947" s="1"/>
  <c r="L63" i="18"/>
  <c r="M329" i="18"/>
  <c r="N329" i="18" s="1"/>
  <c r="L527" i="18"/>
  <c r="L65" i="7941" s="1"/>
  <c r="L506" i="18"/>
  <c r="L44" i="7941" s="1"/>
  <c r="M225" i="18"/>
  <c r="N225" i="18" s="1"/>
  <c r="O225" i="18" s="1"/>
  <c r="P225" i="18" s="1"/>
  <c r="L55" i="18"/>
  <c r="L71" i="18"/>
  <c r="M433" i="18"/>
  <c r="N433" i="18" s="1"/>
  <c r="O433" i="18" s="1"/>
  <c r="L510" i="18"/>
  <c r="L48" i="7941" s="1"/>
  <c r="L530" i="18"/>
  <c r="L68" i="7941" s="1"/>
  <c r="L520" i="18"/>
  <c r="L58" i="7941" s="1"/>
  <c r="K820" i="18"/>
  <c r="K550" i="7941" s="1"/>
  <c r="E376" i="7945"/>
  <c r="F376" i="7945" s="1"/>
  <c r="E26" i="7945"/>
  <c r="F26" i="7945" s="1"/>
  <c r="K795" i="18"/>
  <c r="K525" i="7941" s="1"/>
  <c r="E206" i="7945"/>
  <c r="F206" i="7945" s="1"/>
  <c r="K816" i="18"/>
  <c r="K546" i="7941" s="1"/>
  <c r="E320" i="7945"/>
  <c r="F320" i="7945" s="1"/>
  <c r="E390" i="7945"/>
  <c r="F390" i="7945" s="1"/>
  <c r="K821" i="18"/>
  <c r="K551" i="7941" s="1"/>
  <c r="M235" i="18"/>
  <c r="M323" i="7942"/>
  <c r="K94" i="7945"/>
  <c r="Q153" i="7944"/>
  <c r="L97" i="7944"/>
  <c r="M87" i="7944"/>
  <c r="N87" i="7944" s="1"/>
  <c r="L115" i="7942"/>
  <c r="M114" i="7942"/>
  <c r="N114" i="7942" s="1"/>
  <c r="J23" i="7945"/>
  <c r="L9" i="7944"/>
  <c r="H84" i="7947"/>
  <c r="H85" i="7947" s="1"/>
  <c r="H96" i="7947"/>
  <c r="H97" i="7947" s="1"/>
  <c r="I95" i="7947" s="1"/>
  <c r="M298" i="7942"/>
  <c r="N297" i="7942"/>
  <c r="O297" i="7942" s="1"/>
  <c r="I80" i="7947"/>
  <c r="I81" i="7947" s="1"/>
  <c r="J79" i="7947" s="1"/>
  <c r="F53" i="7947"/>
  <c r="H76" i="7947"/>
  <c r="H77" i="7947" s="1"/>
  <c r="I75" i="7947" s="1"/>
  <c r="H35" i="7947"/>
  <c r="H36" i="7947" s="1"/>
  <c r="I34" i="7947" s="1"/>
  <c r="H72" i="7947"/>
  <c r="H73" i="7947" s="1"/>
  <c r="I71" i="7947" s="1"/>
  <c r="H39" i="7947"/>
  <c r="H40" i="7947" s="1"/>
  <c r="I38" i="7947" s="1"/>
  <c r="L465" i="7942"/>
  <c r="O74" i="7944"/>
  <c r="M446" i="7942"/>
  <c r="L447" i="7942" s="1"/>
  <c r="H27" i="7947"/>
  <c r="H28" i="7947" s="1"/>
  <c r="I26" i="7947" s="1"/>
  <c r="M269" i="7942"/>
  <c r="N269" i="7942" s="1"/>
  <c r="L270" i="7942"/>
  <c r="F261" i="7945"/>
  <c r="O149" i="7942"/>
  <c r="L205" i="7947"/>
  <c r="M128" i="18"/>
  <c r="N128" i="18" s="1"/>
  <c r="O128" i="18" s="1"/>
  <c r="J47" i="7945"/>
  <c r="K47" i="7945" s="1"/>
  <c r="O9" i="7946" s="1"/>
  <c r="H31" i="7947"/>
  <c r="H32" i="7947" s="1"/>
  <c r="I30" i="7947" s="1"/>
  <c r="H151" i="7947"/>
  <c r="H153" i="7947" s="1"/>
  <c r="I150" i="7947" s="1"/>
  <c r="H156" i="7947"/>
  <c r="H158" i="7947" s="1"/>
  <c r="I155" i="7947" s="1"/>
  <c r="P123" i="7944"/>
  <c r="Q123" i="7944" s="1"/>
  <c r="I993" i="18"/>
  <c r="I831" i="18" s="1"/>
  <c r="I561" i="7941" s="1"/>
  <c r="O122" i="7942"/>
  <c r="O123" i="7942" s="1"/>
  <c r="F22" i="7947"/>
  <c r="M149" i="7944"/>
  <c r="N149" i="7944" s="1"/>
  <c r="J65" i="7945"/>
  <c r="N438" i="7942"/>
  <c r="M439" i="7942" s="1"/>
  <c r="N110" i="7944"/>
  <c r="K51" i="7945"/>
  <c r="J61" i="7945"/>
  <c r="K61" i="7945" s="1"/>
  <c r="O10" i="7946" s="1"/>
  <c r="M286" i="7942"/>
  <c r="K9" i="7945"/>
  <c r="J19" i="7945"/>
  <c r="M84" i="7944"/>
  <c r="N84" i="7944" s="1"/>
  <c r="N464" i="7942"/>
  <c r="M465" i="7942" s="1"/>
  <c r="M10" i="7944"/>
  <c r="N10" i="7944" s="1"/>
  <c r="H535" i="18"/>
  <c r="H695" i="18"/>
  <c r="O301" i="7942"/>
  <c r="N302" i="7942"/>
  <c r="N277" i="7942"/>
  <c r="O277" i="7942" s="1"/>
  <c r="M278" i="7942"/>
  <c r="H559" i="7941"/>
  <c r="I765" i="18"/>
  <c r="J202" i="7947"/>
  <c r="K202" i="7947" s="1"/>
  <c r="E103" i="7947"/>
  <c r="E64" i="7947"/>
  <c r="E104" i="7947" s="1"/>
  <c r="M123" i="7942"/>
  <c r="L139" i="7942"/>
  <c r="M138" i="7942"/>
  <c r="P148" i="7942"/>
  <c r="Q148" i="7942" s="1"/>
  <c r="L467" i="7942"/>
  <c r="L140" i="18"/>
  <c r="L136" i="7944"/>
  <c r="P140" i="7944"/>
  <c r="Q140" i="7944" s="1"/>
  <c r="O292" i="7942"/>
  <c r="M8" i="7944"/>
  <c r="N8" i="7944" s="1"/>
  <c r="H88" i="7947"/>
  <c r="H89" i="7947" s="1"/>
  <c r="I87" i="7947" s="1"/>
  <c r="H68" i="7947"/>
  <c r="H69" i="7947" s="1"/>
  <c r="I67" i="7947" s="1"/>
  <c r="F114" i="7947"/>
  <c r="I161" i="7947"/>
  <c r="I163" i="7947" s="1"/>
  <c r="J160" i="7947" s="1"/>
  <c r="M413" i="18"/>
  <c r="N413" i="18" s="1"/>
  <c r="P452" i="7942"/>
  <c r="L455" i="7942"/>
  <c r="L12" i="7944"/>
  <c r="H681" i="7941"/>
  <c r="I497" i="7941"/>
  <c r="L290" i="7942"/>
  <c r="L328" i="7942"/>
  <c r="O281" i="7942"/>
  <c r="N282" i="7942"/>
  <c r="M313" i="7942"/>
  <c r="M314" i="7942" s="1"/>
  <c r="P273" i="18"/>
  <c r="Q273" i="18" s="1"/>
  <c r="E140" i="7947"/>
  <c r="D183" i="7947"/>
  <c r="D227" i="7947" s="1"/>
  <c r="D5" i="7947" s="1"/>
  <c r="N292" i="7942"/>
  <c r="O113" i="7944"/>
  <c r="P113" i="7944" s="1"/>
  <c r="N285" i="7942"/>
  <c r="N286" i="7942" s="1"/>
  <c r="N460" i="7942"/>
  <c r="M461" i="7942" s="1"/>
  <c r="I992" i="18"/>
  <c r="I830" i="18" s="1"/>
  <c r="K958" i="18"/>
  <c r="K698" i="18"/>
  <c r="J107" i="7942"/>
  <c r="K108" i="7942"/>
  <c r="Q126" i="7942"/>
  <c r="Q127" i="7942" s="1"/>
  <c r="O127" i="7942"/>
  <c r="H827" i="18"/>
  <c r="H955" i="18"/>
  <c r="M273" i="7942"/>
  <c r="N273" i="7942" s="1"/>
  <c r="M325" i="7942"/>
  <c r="M114" i="18"/>
  <c r="O444" i="7942"/>
  <c r="N445" i="7942" s="1"/>
  <c r="Q208" i="18"/>
  <c r="H75" i="7941"/>
  <c r="I473" i="18"/>
  <c r="I731" i="18" s="1"/>
  <c r="I537" i="18" s="1"/>
  <c r="K700" i="18"/>
  <c r="K960" i="18"/>
  <c r="M126" i="7944"/>
  <c r="O164" i="7942"/>
  <c r="N454" i="7942"/>
  <c r="P279" i="7942"/>
  <c r="M303" i="7942"/>
  <c r="F56" i="7947"/>
  <c r="I92" i="7947"/>
  <c r="I93" i="7947" s="1"/>
  <c r="J91" i="7947" s="1"/>
  <c r="H176" i="7947"/>
  <c r="H178" i="7947" s="1"/>
  <c r="M11" i="7944"/>
  <c r="N10" i="7946" s="1"/>
  <c r="L268" i="7942"/>
  <c r="N204" i="7947"/>
  <c r="M327" i="7942"/>
  <c r="K79" i="7945"/>
  <c r="J89" i="7945"/>
  <c r="Q442" i="18"/>
  <c r="N221" i="18"/>
  <c r="K127" i="18"/>
  <c r="L115" i="18"/>
  <c r="P291" i="7942"/>
  <c r="Q291" i="7942" s="1"/>
  <c r="F317" i="7945"/>
  <c r="L314" i="7942"/>
  <c r="I496" i="7941"/>
  <c r="H680" i="7941"/>
  <c r="O102" i="18"/>
  <c r="P102" i="18" s="1"/>
  <c r="Q102" i="18" s="1"/>
  <c r="H171" i="7947"/>
  <c r="H173" i="7947" s="1"/>
  <c r="M451" i="7942"/>
  <c r="O450" i="7942"/>
  <c r="L304" i="7942"/>
  <c r="I165" i="7947"/>
  <c r="C239" i="7947"/>
  <c r="D274" i="7947" s="1"/>
  <c r="L274" i="7942"/>
  <c r="K268" i="7942"/>
  <c r="H100" i="7947"/>
  <c r="H101" i="7947" s="1"/>
  <c r="I99" i="7947" s="1"/>
  <c r="O101" i="7944"/>
  <c r="P180" i="18"/>
  <c r="Q180" i="18" s="1"/>
  <c r="N307" i="7942"/>
  <c r="N308" i="7942" s="1"/>
  <c r="I838" i="18"/>
  <c r="I558" i="18"/>
  <c r="I542" i="18"/>
  <c r="I839" i="18"/>
  <c r="I836" i="18"/>
  <c r="I552" i="18"/>
  <c r="I545" i="18"/>
  <c r="N321" i="7942"/>
  <c r="O321" i="7942" s="1"/>
  <c r="O322" i="7942" s="1"/>
  <c r="I551" i="18"/>
  <c r="I847" i="18"/>
  <c r="I548" i="18"/>
  <c r="I852" i="18"/>
  <c r="I849" i="18"/>
  <c r="I850" i="18"/>
  <c r="N294" i="7942"/>
  <c r="O294" i="7942"/>
  <c r="P293" i="7942"/>
  <c r="Q293" i="7942" s="1"/>
  <c r="Q294" i="7942" s="1"/>
  <c r="Q374" i="7941" s="1"/>
  <c r="I546" i="18"/>
  <c r="I561" i="18"/>
  <c r="I851" i="18"/>
  <c r="I543" i="18"/>
  <c r="O401" i="18"/>
  <c r="P401" i="18" s="1"/>
  <c r="Q401" i="18" s="1"/>
  <c r="I844" i="18"/>
  <c r="I835" i="18"/>
  <c r="I848" i="18"/>
  <c r="P258" i="18"/>
  <c r="Q258" i="18" s="1"/>
  <c r="N275" i="7942"/>
  <c r="I845" i="18"/>
  <c r="I557" i="18"/>
  <c r="I547" i="18"/>
  <c r="I853" i="18"/>
  <c r="M308" i="7942"/>
  <c r="I534" i="18"/>
  <c r="I559" i="18"/>
  <c r="I74" i="7941"/>
  <c r="J472" i="18"/>
  <c r="I554" i="18"/>
  <c r="I837" i="18"/>
  <c r="I555" i="18"/>
  <c r="L469" i="7942"/>
  <c r="I556" i="18"/>
  <c r="I549" i="18"/>
  <c r="I842" i="18"/>
  <c r="I553" i="18"/>
  <c r="I560" i="18"/>
  <c r="I855" i="18"/>
  <c r="I544" i="18"/>
  <c r="I539" i="18"/>
  <c r="I550" i="18"/>
  <c r="I563" i="18"/>
  <c r="M322" i="7942"/>
  <c r="I562" i="18"/>
  <c r="I840" i="18"/>
  <c r="I846" i="18"/>
  <c r="I834" i="18"/>
  <c r="I538" i="18"/>
  <c r="N310" i="7942"/>
  <c r="O310" i="7942"/>
  <c r="P309" i="7942"/>
  <c r="P310" i="7942" s="1"/>
  <c r="I558" i="7941"/>
  <c r="J764" i="18"/>
  <c r="I826" i="18"/>
  <c r="I841" i="18"/>
  <c r="I843" i="18"/>
  <c r="I854" i="18"/>
  <c r="I79" i="7941"/>
  <c r="J477" i="18"/>
  <c r="P110" i="7942"/>
  <c r="Q110" i="7942" s="1"/>
  <c r="N152" i="7942"/>
  <c r="M113" i="7942"/>
  <c r="N113" i="7942"/>
  <c r="N142" i="7942"/>
  <c r="N143" i="7942" s="1"/>
  <c r="M133" i="7942"/>
  <c r="N132" i="7942"/>
  <c r="N159" i="7942"/>
  <c r="O158" i="7942"/>
  <c r="P158" i="7942" s="1"/>
  <c r="Q158" i="7942" s="1"/>
  <c r="P118" i="7942"/>
  <c r="P119" i="7942" s="1"/>
  <c r="O141" i="7942"/>
  <c r="P112" i="7942"/>
  <c r="O113" i="7942"/>
  <c r="N141" i="7942"/>
  <c r="P140" i="7942"/>
  <c r="Q140" i="7942" s="1"/>
  <c r="Q141" i="7942" s="1"/>
  <c r="Q136" i="7942"/>
  <c r="Q137" i="7942" s="1"/>
  <c r="P137" i="7942"/>
  <c r="O124" i="7942"/>
  <c r="O137" i="7942"/>
  <c r="N125" i="7942"/>
  <c r="O299" i="7942" l="1"/>
  <c r="O300" i="7942" s="1"/>
  <c r="P462" i="7942"/>
  <c r="O463" i="7942" s="1"/>
  <c r="P480" i="7942"/>
  <c r="O481" i="7942" s="1"/>
  <c r="P318" i="7942"/>
  <c r="Q487" i="7942"/>
  <c r="Q454" i="7941" s="1"/>
  <c r="P487" i="7942"/>
  <c r="N472" i="7942"/>
  <c r="N13" i="7944"/>
  <c r="O13" i="7944" s="1"/>
  <c r="N284" i="7942"/>
  <c r="Q474" i="7942"/>
  <c r="M482" i="7942"/>
  <c r="N482" i="7942" s="1"/>
  <c r="M483" i="7942" s="1"/>
  <c r="Q477" i="7942"/>
  <c r="Q449" i="7941" s="1"/>
  <c r="P477" i="7942"/>
  <c r="P488" i="7942"/>
  <c r="Q484" i="7942"/>
  <c r="M479" i="7942"/>
  <c r="O478" i="7942"/>
  <c r="M471" i="7942"/>
  <c r="O470" i="7942"/>
  <c r="P144" i="7942"/>
  <c r="P145" i="7942" s="1"/>
  <c r="Q155" i="7942"/>
  <c r="Q763" i="7941" s="1"/>
  <c r="L429" i="7942"/>
  <c r="P155" i="7942"/>
  <c r="Q466" i="7942"/>
  <c r="N271" i="7942"/>
  <c r="N272" i="7942" s="1"/>
  <c r="Q160" i="7942"/>
  <c r="Q161" i="7942" s="1"/>
  <c r="Q766" i="7941" s="1"/>
  <c r="O284" i="7942"/>
  <c r="P283" i="7942"/>
  <c r="P284" i="7942" s="1"/>
  <c r="M432" i="7942"/>
  <c r="L433" i="7942" s="1"/>
  <c r="Q306" i="7942"/>
  <c r="Q380" i="7941" s="1"/>
  <c r="M430" i="7942"/>
  <c r="O129" i="7942"/>
  <c r="P128" i="7942"/>
  <c r="P311" i="7942"/>
  <c r="Q311" i="7942" s="1"/>
  <c r="P166" i="7942"/>
  <c r="Q166" i="7942" s="1"/>
  <c r="Q167" i="7942" s="1"/>
  <c r="Q327" i="7941" s="1"/>
  <c r="O296" i="7942"/>
  <c r="O442" i="7942"/>
  <c r="N443" i="7942" s="1"/>
  <c r="L437" i="7942"/>
  <c r="N436" i="7942"/>
  <c r="L435" i="7942"/>
  <c r="N434" i="7942"/>
  <c r="N289" i="18"/>
  <c r="O289" i="18" s="1"/>
  <c r="P289" i="18" s="1"/>
  <c r="Q289" i="18" s="1"/>
  <c r="P456" i="7942"/>
  <c r="O457" i="7942" s="1"/>
  <c r="N459" i="7942"/>
  <c r="O154" i="18"/>
  <c r="P154" i="18" s="1"/>
  <c r="Q154" i="18" s="1"/>
  <c r="Q375" i="18"/>
  <c r="O323" i="18"/>
  <c r="Q296" i="7942"/>
  <c r="Q375" i="7941" s="1"/>
  <c r="O218" i="18"/>
  <c r="P218" i="18" s="1"/>
  <c r="Q218" i="18" s="1"/>
  <c r="N116" i="7942"/>
  <c r="N117" i="7942" s="1"/>
  <c r="L163" i="7942"/>
  <c r="M957" i="18"/>
  <c r="H214" i="7947"/>
  <c r="H218" i="7947" s="1"/>
  <c r="H220" i="7947" s="1"/>
  <c r="I217" i="7947" s="1"/>
  <c r="L329" i="7942"/>
  <c r="P128" i="18"/>
  <c r="Q128" i="18" s="1"/>
  <c r="P296" i="7942"/>
  <c r="M290" i="7942"/>
  <c r="M163" i="7942"/>
  <c r="P156" i="7942"/>
  <c r="P157" i="7942" s="1"/>
  <c r="P141" i="7942"/>
  <c r="L980" i="18"/>
  <c r="M524" i="18"/>
  <c r="M62" i="7941" s="1"/>
  <c r="M503" i="18"/>
  <c r="M41" i="7941" s="1"/>
  <c r="M525" i="18"/>
  <c r="M63" i="7941" s="1"/>
  <c r="I208" i="7947"/>
  <c r="J208" i="7947" s="1"/>
  <c r="K208" i="7947" s="1"/>
  <c r="M511" i="18"/>
  <c r="M49" i="7941" s="1"/>
  <c r="M515" i="18"/>
  <c r="M53" i="7941" s="1"/>
  <c r="M508" i="18"/>
  <c r="M46" i="7941" s="1"/>
  <c r="P335" i="18"/>
  <c r="Q335" i="18" s="1"/>
  <c r="N205" i="18"/>
  <c r="O205" i="18" s="1"/>
  <c r="N101" i="18"/>
  <c r="N697" i="18" s="1"/>
  <c r="J209" i="7947"/>
  <c r="K209" i="7947" s="1"/>
  <c r="M522" i="18"/>
  <c r="M60" i="7941" s="1"/>
  <c r="M529" i="18"/>
  <c r="M67" i="7941" s="1"/>
  <c r="M519" i="18"/>
  <c r="M57" i="7941" s="1"/>
  <c r="M506" i="18"/>
  <c r="M44" i="7941" s="1"/>
  <c r="M517" i="18"/>
  <c r="M55" i="7941" s="1"/>
  <c r="P326" i="18"/>
  <c r="Q326" i="18" s="1"/>
  <c r="L718" i="18"/>
  <c r="L716" i="18"/>
  <c r="L720" i="18"/>
  <c r="O380" i="18"/>
  <c r="L978" i="18"/>
  <c r="L982" i="18"/>
  <c r="L968" i="18"/>
  <c r="O250" i="18"/>
  <c r="P250" i="18" s="1"/>
  <c r="Q250" i="18" s="1"/>
  <c r="P313" i="18"/>
  <c r="Q313" i="18" s="1"/>
  <c r="L966" i="18"/>
  <c r="L983" i="18"/>
  <c r="L965" i="18"/>
  <c r="L977" i="18"/>
  <c r="L721" i="18"/>
  <c r="L15" i="7944"/>
  <c r="Q288" i="18"/>
  <c r="L715" i="18"/>
  <c r="L714" i="18"/>
  <c r="P367" i="18"/>
  <c r="Q367" i="18" s="1"/>
  <c r="M701" i="18"/>
  <c r="M961" i="18"/>
  <c r="L973" i="18"/>
  <c r="L709" i="18"/>
  <c r="L969" i="18"/>
  <c r="L713" i="18"/>
  <c r="L979" i="18"/>
  <c r="L970" i="18"/>
  <c r="Q364" i="18"/>
  <c r="P456" i="18"/>
  <c r="Q456" i="18" s="1"/>
  <c r="P262" i="18"/>
  <c r="Q262" i="18" s="1"/>
  <c r="O209" i="18"/>
  <c r="P209" i="18" s="1"/>
  <c r="Q209" i="18" s="1"/>
  <c r="O236" i="18"/>
  <c r="P236" i="18" s="1"/>
  <c r="Q236" i="18" s="1"/>
  <c r="Q247" i="18"/>
  <c r="P196" i="18"/>
  <c r="Q196" i="18" s="1"/>
  <c r="P327" i="18"/>
  <c r="Q327" i="18" s="1"/>
  <c r="M270" i="7942"/>
  <c r="M514" i="18"/>
  <c r="M52" i="7941" s="1"/>
  <c r="M505" i="18"/>
  <c r="M43" i="7941" s="1"/>
  <c r="M521" i="18"/>
  <c r="M59" i="7941" s="1"/>
  <c r="M516" i="18"/>
  <c r="M54" i="7941" s="1"/>
  <c r="M531" i="18"/>
  <c r="M69" i="7941" s="1"/>
  <c r="M509" i="18"/>
  <c r="M47" i="7941" s="1"/>
  <c r="M510" i="18"/>
  <c r="M48" i="7941" s="1"/>
  <c r="M507" i="18"/>
  <c r="M45" i="7941" s="1"/>
  <c r="O296" i="18"/>
  <c r="P296" i="18" s="1"/>
  <c r="O420" i="18"/>
  <c r="P420" i="18" s="1"/>
  <c r="Q420" i="18" s="1"/>
  <c r="O348" i="18"/>
  <c r="P348" i="18" s="1"/>
  <c r="Q348" i="18" s="1"/>
  <c r="O361" i="18"/>
  <c r="P361" i="18" s="1"/>
  <c r="Q361" i="18" s="1"/>
  <c r="M513" i="18"/>
  <c r="M51" i="7941" s="1"/>
  <c r="N381" i="18"/>
  <c r="O381" i="18" s="1"/>
  <c r="O135" i="7942"/>
  <c r="P134" i="7942"/>
  <c r="P135" i="7942" s="1"/>
  <c r="M146" i="7942"/>
  <c r="N146" i="7942" s="1"/>
  <c r="N701" i="18"/>
  <c r="P465" i="18"/>
  <c r="Q465" i="18" s="1"/>
  <c r="M523" i="18"/>
  <c r="M61" i="7941" s="1"/>
  <c r="M528" i="18"/>
  <c r="M66" i="7941" s="1"/>
  <c r="M526" i="18"/>
  <c r="M64" i="7941" s="1"/>
  <c r="M527" i="18"/>
  <c r="M65" i="7941" s="1"/>
  <c r="M518" i="18"/>
  <c r="M56" i="7941" s="1"/>
  <c r="M512" i="18"/>
  <c r="M50" i="7941" s="1"/>
  <c r="O238" i="18"/>
  <c r="P238" i="18" s="1"/>
  <c r="N441" i="7942"/>
  <c r="P440" i="7942"/>
  <c r="P316" i="18"/>
  <c r="Q316" i="18" s="1"/>
  <c r="O355" i="18"/>
  <c r="P355" i="18" s="1"/>
  <c r="Q355" i="18" s="1"/>
  <c r="N270" i="7942"/>
  <c r="O269" i="7942"/>
  <c r="O270" i="7942" s="1"/>
  <c r="O289" i="7942"/>
  <c r="P289" i="7942" s="1"/>
  <c r="P290" i="7942" s="1"/>
  <c r="N290" i="7942"/>
  <c r="O290" i="18"/>
  <c r="P290" i="18" s="1"/>
  <c r="O251" i="18"/>
  <c r="L724" i="18"/>
  <c r="P153" i="18"/>
  <c r="Q153" i="18" s="1"/>
  <c r="P433" i="18"/>
  <c r="Q433" i="18" s="1"/>
  <c r="L821" i="18"/>
  <c r="L551" i="7941" s="1"/>
  <c r="E391" i="7945"/>
  <c r="F391" i="7945" s="1"/>
  <c r="O329" i="18"/>
  <c r="P329" i="18" s="1"/>
  <c r="L813" i="18"/>
  <c r="L543" i="7941" s="1"/>
  <c r="E279" i="7945"/>
  <c r="F279" i="7945" s="1"/>
  <c r="Q212" i="18"/>
  <c r="K524" i="7941"/>
  <c r="K523" i="7941" s="1"/>
  <c r="K793" i="18"/>
  <c r="I995" i="18"/>
  <c r="I833" i="18" s="1"/>
  <c r="I563" i="7941" s="1"/>
  <c r="O458" i="18"/>
  <c r="P458" i="18" s="1"/>
  <c r="Q458" i="18" s="1"/>
  <c r="O237" i="18"/>
  <c r="P237" i="18" s="1"/>
  <c r="Q237" i="18" s="1"/>
  <c r="N343" i="18"/>
  <c r="M64" i="18"/>
  <c r="N382" i="18"/>
  <c r="O382" i="18" s="1"/>
  <c r="P382" i="18" s="1"/>
  <c r="M67" i="18"/>
  <c r="M57" i="18"/>
  <c r="N252" i="18"/>
  <c r="O252" i="18" s="1"/>
  <c r="P252" i="18" s="1"/>
  <c r="N239" i="18"/>
  <c r="O239" i="18" s="1"/>
  <c r="P239" i="18" s="1"/>
  <c r="Q239" i="18" s="1"/>
  <c r="M56" i="18"/>
  <c r="I219" i="7947"/>
  <c r="I226" i="7947" s="1"/>
  <c r="I210" i="7947"/>
  <c r="J210" i="7947" s="1"/>
  <c r="N304" i="18"/>
  <c r="O304" i="18" s="1"/>
  <c r="M61" i="18"/>
  <c r="M65" i="18"/>
  <c r="N356" i="18"/>
  <c r="O356" i="18" s="1"/>
  <c r="P356" i="18" s="1"/>
  <c r="Q356" i="18" s="1"/>
  <c r="M68" i="18"/>
  <c r="N395" i="18"/>
  <c r="O395" i="18" s="1"/>
  <c r="N408" i="18"/>
  <c r="O408" i="18" s="1"/>
  <c r="P408" i="18" s="1"/>
  <c r="Q408" i="18" s="1"/>
  <c r="M69" i="18"/>
  <c r="N459" i="18"/>
  <c r="O459" i="18" s="1"/>
  <c r="P459" i="18" s="1"/>
  <c r="Q459" i="18" s="1"/>
  <c r="E111" i="7945"/>
  <c r="F111" i="7945" s="1"/>
  <c r="L801" i="18"/>
  <c r="L531" i="7941" s="1"/>
  <c r="Q444" i="18"/>
  <c r="M400" i="18"/>
  <c r="N400" i="18" s="1"/>
  <c r="O400" i="18" s="1"/>
  <c r="P400" i="18" s="1"/>
  <c r="O263" i="18"/>
  <c r="P263" i="18" s="1"/>
  <c r="Q263" i="18" s="1"/>
  <c r="L820" i="18"/>
  <c r="L550" i="7941" s="1"/>
  <c r="E377" i="7945"/>
  <c r="N264" i="18"/>
  <c r="O264" i="18" s="1"/>
  <c r="N276" i="18"/>
  <c r="N309" i="18"/>
  <c r="O309" i="18" s="1"/>
  <c r="O341" i="18"/>
  <c r="L175" i="7944"/>
  <c r="M175" i="7944" s="1"/>
  <c r="N175" i="7944" s="1"/>
  <c r="N165" i="7944"/>
  <c r="O165" i="7944" s="1"/>
  <c r="N457" i="18"/>
  <c r="O457" i="18" s="1"/>
  <c r="O354" i="18"/>
  <c r="P354" i="18" s="1"/>
  <c r="L705" i="18"/>
  <c r="Q419" i="18"/>
  <c r="O303" i="18"/>
  <c r="P303" i="18" s="1"/>
  <c r="Q303" i="18" s="1"/>
  <c r="E307" i="7945"/>
  <c r="F307" i="7945" s="1"/>
  <c r="L815" i="18"/>
  <c r="L545" i="7941" s="1"/>
  <c r="E363" i="7945"/>
  <c r="F363" i="7945" s="1"/>
  <c r="L819" i="18"/>
  <c r="L549" i="7941" s="1"/>
  <c r="L502" i="18"/>
  <c r="L11" i="18"/>
  <c r="O276" i="18"/>
  <c r="P276" i="18" s="1"/>
  <c r="L711" i="18"/>
  <c r="L719" i="18"/>
  <c r="L976" i="18"/>
  <c r="P231" i="18"/>
  <c r="Q231" i="18" s="1"/>
  <c r="L706" i="18"/>
  <c r="L723" i="18"/>
  <c r="L984" i="18"/>
  <c r="L708" i="18"/>
  <c r="L964" i="18"/>
  <c r="L985" i="18"/>
  <c r="P322" i="18"/>
  <c r="Q322" i="18" s="1"/>
  <c r="L707" i="18"/>
  <c r="L725" i="18"/>
  <c r="Q458" i="7942"/>
  <c r="P459" i="7942" s="1"/>
  <c r="P306" i="7942"/>
  <c r="O114" i="7942"/>
  <c r="N446" i="7942"/>
  <c r="M447" i="7942" s="1"/>
  <c r="O464" i="7942"/>
  <c r="N465" i="7942" s="1"/>
  <c r="Q225" i="18"/>
  <c r="N186" i="18"/>
  <c r="O186" i="18" s="1"/>
  <c r="O211" i="18"/>
  <c r="P211" i="18" s="1"/>
  <c r="Q430" i="18"/>
  <c r="Q315" i="18"/>
  <c r="P368" i="18"/>
  <c r="Q368" i="18" s="1"/>
  <c r="E321" i="7945"/>
  <c r="F321" i="7945" s="1"/>
  <c r="L816" i="18"/>
  <c r="L546" i="7941" s="1"/>
  <c r="M63" i="18"/>
  <c r="N330" i="18"/>
  <c r="O330" i="18" s="1"/>
  <c r="P330" i="18" s="1"/>
  <c r="Q330" i="18" s="1"/>
  <c r="N434" i="18"/>
  <c r="O434" i="18" s="1"/>
  <c r="M71" i="18"/>
  <c r="N278" i="18"/>
  <c r="O278" i="18" s="1"/>
  <c r="M59" i="18"/>
  <c r="O96" i="18"/>
  <c r="Q96" i="18"/>
  <c r="P96" i="18"/>
  <c r="N96" i="18"/>
  <c r="M45" i="18"/>
  <c r="M49" i="18"/>
  <c r="N148" i="18"/>
  <c r="P148" i="18"/>
  <c r="Q148" i="18"/>
  <c r="O148" i="18"/>
  <c r="M504" i="18"/>
  <c r="M42" i="7941" s="1"/>
  <c r="M520" i="18"/>
  <c r="M58" i="7941" s="1"/>
  <c r="M530" i="18"/>
  <c r="M68" i="7941" s="1"/>
  <c r="M50" i="18"/>
  <c r="P161" i="18"/>
  <c r="Q161" i="18"/>
  <c r="N161" i="18"/>
  <c r="O161" i="18"/>
  <c r="Q342" i="18"/>
  <c r="L814" i="18"/>
  <c r="L544" i="7941" s="1"/>
  <c r="E293" i="7945"/>
  <c r="F293" i="7945" s="1"/>
  <c r="O277" i="18"/>
  <c r="P277" i="18" s="1"/>
  <c r="Q277" i="18" s="1"/>
  <c r="P199" i="18"/>
  <c r="Q199" i="18" s="1"/>
  <c r="E139" i="7945"/>
  <c r="L803" i="18"/>
  <c r="L533" i="7941" s="1"/>
  <c r="O378" i="18"/>
  <c r="P378" i="18" s="1"/>
  <c r="Q378" i="18" s="1"/>
  <c r="N162" i="7942"/>
  <c r="M452" i="18"/>
  <c r="N432" i="18"/>
  <c r="O432" i="18" s="1"/>
  <c r="M283" i="18"/>
  <c r="O244" i="18"/>
  <c r="P244" i="18" s="1"/>
  <c r="P448" i="7942"/>
  <c r="O449" i="7942" s="1"/>
  <c r="O198" i="18"/>
  <c r="P198" i="18" s="1"/>
  <c r="N387" i="18"/>
  <c r="L818" i="18"/>
  <c r="L548" i="7941" s="1"/>
  <c r="E349" i="7945"/>
  <c r="L817" i="18"/>
  <c r="L547" i="7941" s="1"/>
  <c r="E335" i="7945"/>
  <c r="M956" i="18"/>
  <c r="M696" i="18"/>
  <c r="J107" i="7945"/>
  <c r="O353" i="18"/>
  <c r="P353" i="18" s="1"/>
  <c r="Q353" i="18" s="1"/>
  <c r="N275" i="18"/>
  <c r="O275" i="18" s="1"/>
  <c r="E251" i="7945"/>
  <c r="L811" i="18"/>
  <c r="L541" i="7941" s="1"/>
  <c r="E237" i="7945"/>
  <c r="L810" i="18"/>
  <c r="L540" i="7941" s="1"/>
  <c r="O446" i="18"/>
  <c r="P446" i="18" s="1"/>
  <c r="Q446" i="18" s="1"/>
  <c r="N407" i="18"/>
  <c r="O407" i="18" s="1"/>
  <c r="P407" i="18" s="1"/>
  <c r="Q407" i="18" s="1"/>
  <c r="L794" i="18"/>
  <c r="L43" i="18"/>
  <c r="E13" i="7945"/>
  <c r="F13" i="7945" s="1"/>
  <c r="N323" i="7942"/>
  <c r="O323" i="7942" s="1"/>
  <c r="M324" i="7942"/>
  <c r="E167" i="7945"/>
  <c r="L805" i="18"/>
  <c r="L535" i="7941" s="1"/>
  <c r="E195" i="7945"/>
  <c r="F195" i="7945" s="1"/>
  <c r="L807" i="18"/>
  <c r="L537" i="7941" s="1"/>
  <c r="L800" i="18"/>
  <c r="L530" i="7941" s="1"/>
  <c r="E97" i="7945"/>
  <c r="M426" i="18"/>
  <c r="M48" i="18"/>
  <c r="P135" i="18"/>
  <c r="O135" i="18"/>
  <c r="N135" i="18"/>
  <c r="Q135" i="18"/>
  <c r="N265" i="18"/>
  <c r="O265" i="18" s="1"/>
  <c r="M58" i="18"/>
  <c r="M72" i="18"/>
  <c r="N447" i="18"/>
  <c r="O447" i="18" s="1"/>
  <c r="M70" i="18"/>
  <c r="N421" i="18"/>
  <c r="O421" i="18" s="1"/>
  <c r="P421" i="18" s="1"/>
  <c r="Q421" i="18" s="1"/>
  <c r="M55" i="18"/>
  <c r="N226" i="18"/>
  <c r="O226" i="18" s="1"/>
  <c r="N291" i="18"/>
  <c r="O291" i="18" s="1"/>
  <c r="P291" i="18" s="1"/>
  <c r="M60" i="18"/>
  <c r="O83" i="18"/>
  <c r="M44" i="18"/>
  <c r="Q83" i="18"/>
  <c r="M309" i="1"/>
  <c r="P83" i="18"/>
  <c r="N83" i="18"/>
  <c r="M54" i="18"/>
  <c r="N213" i="18"/>
  <c r="O213" i="18" s="1"/>
  <c r="E223" i="7945"/>
  <c r="L809" i="18"/>
  <c r="L539" i="7941" s="1"/>
  <c r="M270" i="18"/>
  <c r="N270" i="18" s="1"/>
  <c r="E83" i="7945"/>
  <c r="L799" i="18"/>
  <c r="L529" i="7941" s="1"/>
  <c r="L812" i="18"/>
  <c r="L542" i="7941" s="1"/>
  <c r="E265" i="7945"/>
  <c r="L822" i="18"/>
  <c r="L552" i="7941" s="1"/>
  <c r="E405" i="7945"/>
  <c r="F405" i="7945" s="1"/>
  <c r="E69" i="7945"/>
  <c r="L798" i="18"/>
  <c r="L528" i="7941" s="1"/>
  <c r="M703" i="18"/>
  <c r="M963" i="18"/>
  <c r="L712" i="18"/>
  <c r="L972" i="18"/>
  <c r="L722" i="18"/>
  <c r="L981" i="18"/>
  <c r="L971" i="18"/>
  <c r="L704" i="18"/>
  <c r="L717" i="18"/>
  <c r="L967" i="18"/>
  <c r="L710" i="18"/>
  <c r="L974" i="18"/>
  <c r="L975" i="18"/>
  <c r="M274" i="7942"/>
  <c r="O438" i="7942"/>
  <c r="P438" i="7942" s="1"/>
  <c r="P150" i="7942"/>
  <c r="N961" i="18"/>
  <c r="N235" i="18"/>
  <c r="O235" i="18" s="1"/>
  <c r="E125" i="7945"/>
  <c r="L802" i="18"/>
  <c r="L532" i="7941" s="1"/>
  <c r="L804" i="18"/>
  <c r="L534" i="7941" s="1"/>
  <c r="E153" i="7945"/>
  <c r="N417" i="18"/>
  <c r="O417" i="18" s="1"/>
  <c r="P417" i="18" s="1"/>
  <c r="Q417" i="18" s="1"/>
  <c r="I499" i="7941"/>
  <c r="H683" i="7941"/>
  <c r="K501" i="18"/>
  <c r="K40" i="7941"/>
  <c r="K39" i="7941" s="1"/>
  <c r="M288" i="7942"/>
  <c r="Q234" i="18"/>
  <c r="N131" i="7942"/>
  <c r="O130" i="7942"/>
  <c r="O431" i="18"/>
  <c r="P431" i="18" s="1"/>
  <c r="K206" i="7947"/>
  <c r="O174" i="18"/>
  <c r="P174" i="18"/>
  <c r="M51" i="18"/>
  <c r="Q174" i="18"/>
  <c r="N174" i="18"/>
  <c r="N187" i="18"/>
  <c r="O187" i="18" s="1"/>
  <c r="P187" i="18" s="1"/>
  <c r="Q187" i="18" s="1"/>
  <c r="M52" i="18"/>
  <c r="N460" i="18"/>
  <c r="M73" i="18"/>
  <c r="M173" i="1"/>
  <c r="M12" i="18"/>
  <c r="N317" i="18"/>
  <c r="O317" i="18" s="1"/>
  <c r="P317" i="18" s="1"/>
  <c r="Q317" i="18" s="1"/>
  <c r="M62" i="18"/>
  <c r="N291" i="1"/>
  <c r="N293" i="1"/>
  <c r="N153" i="1"/>
  <c r="N22" i="18" s="1"/>
  <c r="N143" i="1"/>
  <c r="N299" i="1"/>
  <c r="N289" i="1"/>
  <c r="N151" i="1"/>
  <c r="N20" i="18" s="1"/>
  <c r="N298" i="1"/>
  <c r="N292" i="1"/>
  <c r="N302" i="1"/>
  <c r="N159" i="1"/>
  <c r="N28" i="18" s="1"/>
  <c r="I192" i="7947"/>
  <c r="N160" i="1"/>
  <c r="N29" i="18" s="1"/>
  <c r="N308" i="1"/>
  <c r="N280" i="1"/>
  <c r="N149" i="1"/>
  <c r="N18" i="18" s="1"/>
  <c r="N301" i="1"/>
  <c r="N170" i="1"/>
  <c r="N39" i="18" s="1"/>
  <c r="N166" i="1"/>
  <c r="N35" i="18" s="1"/>
  <c r="N168" i="1"/>
  <c r="N37" i="18" s="1"/>
  <c r="N152" i="1"/>
  <c r="N21" i="18" s="1"/>
  <c r="N279" i="1"/>
  <c r="N295" i="1"/>
  <c r="N157" i="1"/>
  <c r="N26" i="18" s="1"/>
  <c r="N147" i="1"/>
  <c r="N16" i="18" s="1"/>
  <c r="N161" i="1"/>
  <c r="N30" i="18" s="1"/>
  <c r="N296" i="1"/>
  <c r="I122" i="7947"/>
  <c r="N162" i="1"/>
  <c r="N31" i="18" s="1"/>
  <c r="N145" i="1"/>
  <c r="N14" i="18" s="1"/>
  <c r="N144" i="1"/>
  <c r="N13" i="18" s="1"/>
  <c r="N282" i="1"/>
  <c r="N47" i="18" s="1"/>
  <c r="N167" i="1"/>
  <c r="N36" i="18" s="1"/>
  <c r="N148" i="1"/>
  <c r="N17" i="18" s="1"/>
  <c r="N171" i="1"/>
  <c r="N40" i="18" s="1"/>
  <c r="N169" i="1"/>
  <c r="N38" i="18" s="1"/>
  <c r="N281" i="1"/>
  <c r="N46" i="18" s="1"/>
  <c r="N156" i="1"/>
  <c r="N25" i="18" s="1"/>
  <c r="N294" i="1"/>
  <c r="N304" i="1"/>
  <c r="N150" i="1"/>
  <c r="N19" i="18" s="1"/>
  <c r="N158" i="1"/>
  <c r="N27" i="18" s="1"/>
  <c r="N288" i="1"/>
  <c r="N307" i="1"/>
  <c r="N285" i="1"/>
  <c r="N306" i="1"/>
  <c r="N165" i="1"/>
  <c r="N34" i="18" s="1"/>
  <c r="N154" i="1"/>
  <c r="N23" i="18" s="1"/>
  <c r="N300" i="1"/>
  <c r="N305" i="1"/>
  <c r="N283" i="1"/>
  <c r="N287" i="1"/>
  <c r="N290" i="1"/>
  <c r="N164" i="1"/>
  <c r="N33" i="18" s="1"/>
  <c r="N297" i="1"/>
  <c r="N163" i="1"/>
  <c r="N32" i="18" s="1"/>
  <c r="N7" i="18"/>
  <c r="N172" i="1"/>
  <c r="N41" i="18" s="1"/>
  <c r="N286" i="1"/>
  <c r="N146" i="1"/>
  <c r="N15" i="18" s="1"/>
  <c r="N155" i="1"/>
  <c r="N24" i="18" s="1"/>
  <c r="N514" i="18" s="1"/>
  <c r="N52" i="7941" s="1"/>
  <c r="N284" i="1"/>
  <c r="N303" i="1"/>
  <c r="O961" i="18"/>
  <c r="E42" i="7945"/>
  <c r="M796" i="18"/>
  <c r="M526" i="7941" s="1"/>
  <c r="E56" i="7945"/>
  <c r="M797" i="18"/>
  <c r="M527" i="7941" s="1"/>
  <c r="N369" i="18"/>
  <c r="O369" i="18" s="1"/>
  <c r="P369" i="18" s="1"/>
  <c r="M66" i="18"/>
  <c r="M53" i="18"/>
  <c r="N200" i="18"/>
  <c r="L806" i="18"/>
  <c r="L536" i="7941" s="1"/>
  <c r="E181" i="7945"/>
  <c r="F181" i="7945" s="1"/>
  <c r="L823" i="18"/>
  <c r="L553" i="7941" s="1"/>
  <c r="E419" i="7945"/>
  <c r="N287" i="7942"/>
  <c r="N288" i="7942" s="1"/>
  <c r="N393" i="18"/>
  <c r="O393" i="18" s="1"/>
  <c r="P185" i="18"/>
  <c r="Q185" i="18" s="1"/>
  <c r="Q328" i="18"/>
  <c r="Q286" i="18"/>
  <c r="P319" i="7942"/>
  <c r="P320" i="7942" s="1"/>
  <c r="J207" i="7947"/>
  <c r="K207" i="7947" s="1"/>
  <c r="M257" i="18"/>
  <c r="O224" i="18"/>
  <c r="P224" i="18" s="1"/>
  <c r="Q224" i="18" s="1"/>
  <c r="E209" i="7945"/>
  <c r="F209" i="7945" s="1"/>
  <c r="L808" i="18"/>
  <c r="L538" i="7941" s="1"/>
  <c r="Q274" i="18"/>
  <c r="O302" i="18"/>
  <c r="Q391" i="18"/>
  <c r="Q183" i="18"/>
  <c r="O406" i="18"/>
  <c r="L795" i="18"/>
  <c r="L525" i="7941" s="1"/>
  <c r="E27" i="7945"/>
  <c r="F27" i="7945" s="1"/>
  <c r="N179" i="18"/>
  <c r="N88" i="18"/>
  <c r="M115" i="7942"/>
  <c r="N115" i="7942"/>
  <c r="K19" i="7945"/>
  <c r="O7" i="7946" s="1"/>
  <c r="M9" i="7944"/>
  <c r="N8" i="7946" s="1"/>
  <c r="P101" i="7944"/>
  <c r="Q101" i="7944" s="1"/>
  <c r="J33" i="7945"/>
  <c r="K23" i="7945"/>
  <c r="O87" i="7944"/>
  <c r="P87" i="7944" s="1"/>
  <c r="P74" i="7944"/>
  <c r="Q74" i="7944" s="1"/>
  <c r="M97" i="7944"/>
  <c r="N97" i="7944" s="1"/>
  <c r="O97" i="7944" s="1"/>
  <c r="I560" i="7941"/>
  <c r="I680" i="7941" s="1"/>
  <c r="J766" i="18"/>
  <c r="L202" i="7947"/>
  <c r="M202" i="7947" s="1"/>
  <c r="P277" i="7942"/>
  <c r="Q277" i="7942" s="1"/>
  <c r="Q278" i="7942" s="1"/>
  <c r="Q366" i="7941" s="1"/>
  <c r="F17" i="7947"/>
  <c r="I39" i="7947"/>
  <c r="I40" i="7947" s="1"/>
  <c r="J38" i="7947" s="1"/>
  <c r="F51" i="7947"/>
  <c r="I72" i="7947"/>
  <c r="I73" i="7947" s="1"/>
  <c r="J71" i="7947" s="1"/>
  <c r="F50" i="7947"/>
  <c r="I68" i="7947"/>
  <c r="I69" i="7947" s="1"/>
  <c r="J67" i="7947" s="1"/>
  <c r="O8" i="7944"/>
  <c r="P297" i="7942"/>
  <c r="Q297" i="7942" s="1"/>
  <c r="Q298" i="7942" s="1"/>
  <c r="Q376" i="7941" s="1"/>
  <c r="J92" i="7947"/>
  <c r="J93" i="7947" s="1"/>
  <c r="K91" i="7947" s="1"/>
  <c r="N274" i="7942"/>
  <c r="I151" i="7947"/>
  <c r="I153" i="7947" s="1"/>
  <c r="J150" i="7947" s="1"/>
  <c r="F112" i="7947"/>
  <c r="F58" i="7947"/>
  <c r="I100" i="7947"/>
  <c r="I101" i="7947" s="1"/>
  <c r="J99" i="7947" s="1"/>
  <c r="F15" i="7947"/>
  <c r="I31" i="7947"/>
  <c r="I32" i="7947" s="1"/>
  <c r="J30" i="7947" s="1"/>
  <c r="F14" i="7947"/>
  <c r="I27" i="7947"/>
  <c r="I28" i="7947" s="1"/>
  <c r="J26" i="7947" s="1"/>
  <c r="J80" i="7947"/>
  <c r="J81" i="7947"/>
  <c r="K79" i="7947" s="1"/>
  <c r="C238" i="7947"/>
  <c r="D272" i="7947" s="1"/>
  <c r="I83" i="7947"/>
  <c r="O142" i="7942"/>
  <c r="P142" i="7942" s="1"/>
  <c r="N451" i="7942"/>
  <c r="P450" i="7942"/>
  <c r="O451" i="7942" s="1"/>
  <c r="C241" i="7947"/>
  <c r="D276" i="7947" s="1"/>
  <c r="I175" i="7947"/>
  <c r="D234" i="7947"/>
  <c r="P280" i="7942"/>
  <c r="M698" i="18"/>
  <c r="M958" i="18"/>
  <c r="N325" i="7942"/>
  <c r="O325" i="7942" s="1"/>
  <c r="P325" i="7942" s="1"/>
  <c r="Q325" i="7942" s="1"/>
  <c r="L108" i="7942"/>
  <c r="L109" i="7942" s="1"/>
  <c r="K107" i="7942"/>
  <c r="O453" i="7942"/>
  <c r="Q452" i="7942"/>
  <c r="F55" i="7947"/>
  <c r="I88" i="7947"/>
  <c r="I89" i="7947" s="1"/>
  <c r="J87" i="7947" s="1"/>
  <c r="K699" i="18"/>
  <c r="K959" i="18"/>
  <c r="M455" i="7942"/>
  <c r="H237" i="7941"/>
  <c r="I11" i="7941"/>
  <c r="H557" i="7941"/>
  <c r="I763" i="18"/>
  <c r="H825" i="18"/>
  <c r="Q292" i="7942"/>
  <c r="Q373" i="7941" s="1"/>
  <c r="O282" i="7942"/>
  <c r="P281" i="7942"/>
  <c r="Q281" i="7942" s="1"/>
  <c r="J497" i="7941"/>
  <c r="I681" i="7941"/>
  <c r="M12" i="7944"/>
  <c r="Q279" i="7942"/>
  <c r="Q280" i="7942" s="1"/>
  <c r="Q367" i="7941" s="1"/>
  <c r="O273" i="7942"/>
  <c r="P273" i="7942" s="1"/>
  <c r="P292" i="7942"/>
  <c r="I991" i="18"/>
  <c r="I829" i="18" s="1"/>
  <c r="I559" i="7941" s="1"/>
  <c r="O302" i="7942"/>
  <c r="P301" i="7942"/>
  <c r="H73" i="7941"/>
  <c r="I471" i="18"/>
  <c r="H533" i="18"/>
  <c r="O149" i="7944"/>
  <c r="P149" i="7944" s="1"/>
  <c r="Q149" i="7944" s="1"/>
  <c r="P122" i="7942"/>
  <c r="P149" i="7942"/>
  <c r="O298" i="7942"/>
  <c r="N298" i="7942"/>
  <c r="E50" i="7945"/>
  <c r="L127" i="18"/>
  <c r="M115" i="18"/>
  <c r="N327" i="7942"/>
  <c r="O327" i="7942" s="1"/>
  <c r="M328" i="7942"/>
  <c r="M136" i="7944"/>
  <c r="M139" i="7942"/>
  <c r="N138" i="7942"/>
  <c r="N139" i="7942" s="1"/>
  <c r="O110" i="7944"/>
  <c r="K65" i="7945"/>
  <c r="J75" i="7945"/>
  <c r="I156" i="7947"/>
  <c r="I158" i="7947" s="1"/>
  <c r="J155" i="7947" s="1"/>
  <c r="F113" i="7947"/>
  <c r="F16" i="7947"/>
  <c r="I35" i="7947"/>
  <c r="I36" i="7947" s="1"/>
  <c r="J34" i="7947" s="1"/>
  <c r="N114" i="18"/>
  <c r="O114" i="18" s="1"/>
  <c r="P114" i="18" s="1"/>
  <c r="Q118" i="7942"/>
  <c r="Q119" i="7942" s="1"/>
  <c r="M268" i="7942"/>
  <c r="M329" i="7942" s="1"/>
  <c r="I166" i="7947"/>
  <c r="I168" i="7947" s="1"/>
  <c r="J165" i="7947" s="1"/>
  <c r="F115" i="7947"/>
  <c r="K89" i="7945"/>
  <c r="O12" i="7946" s="1"/>
  <c r="N11" i="7944"/>
  <c r="M304" i="7942"/>
  <c r="P164" i="7942"/>
  <c r="Q164" i="7942" s="1"/>
  <c r="O165" i="7942"/>
  <c r="Q749" i="7941"/>
  <c r="Q307" i="7941"/>
  <c r="O285" i="7942"/>
  <c r="P285" i="7942" s="1"/>
  <c r="Q285" i="7942" s="1"/>
  <c r="E180" i="7947"/>
  <c r="E224" i="7947" s="1"/>
  <c r="E141" i="7947"/>
  <c r="E181" i="7947" s="1"/>
  <c r="E225" i="7947" s="1"/>
  <c r="E4" i="7947" s="1"/>
  <c r="N313" i="7942"/>
  <c r="O454" i="7942"/>
  <c r="P454" i="7942" s="1"/>
  <c r="O455" i="7942" s="1"/>
  <c r="L700" i="18"/>
  <c r="L960" i="18"/>
  <c r="M140" i="18"/>
  <c r="N140" i="18" s="1"/>
  <c r="P299" i="7942"/>
  <c r="P300" i="7942" s="1"/>
  <c r="H679" i="7941"/>
  <c r="I495" i="7941"/>
  <c r="M205" i="7947"/>
  <c r="N9" i="7946"/>
  <c r="O10" i="7944"/>
  <c r="O84" i="7944"/>
  <c r="P84" i="7944" s="1"/>
  <c r="F42" i="7947"/>
  <c r="F23" i="7947"/>
  <c r="F43" i="7947" s="1"/>
  <c r="J767" i="18"/>
  <c r="Q149" i="7942"/>
  <c r="I76" i="7947"/>
  <c r="I77" i="7947" s="1"/>
  <c r="J75" i="7947" s="1"/>
  <c r="F52" i="7947"/>
  <c r="I96" i="7947"/>
  <c r="I97" i="7947" s="1"/>
  <c r="J95" i="7947" s="1"/>
  <c r="F57" i="7947"/>
  <c r="O307" i="7942"/>
  <c r="P307" i="7942" s="1"/>
  <c r="P308" i="7942" s="1"/>
  <c r="C240" i="7947"/>
  <c r="D275" i="7947" s="1"/>
  <c r="I170" i="7947"/>
  <c r="O221" i="18"/>
  <c r="P221" i="18" s="1"/>
  <c r="Q221" i="18" s="1"/>
  <c r="M326" i="7942"/>
  <c r="P444" i="7942"/>
  <c r="Q113" i="7944"/>
  <c r="N7" i="7946"/>
  <c r="N126" i="7944"/>
  <c r="E65" i="7947"/>
  <c r="O278" i="7942"/>
  <c r="N278" i="7942"/>
  <c r="O204" i="7947"/>
  <c r="O460" i="7942"/>
  <c r="N303" i="7942"/>
  <c r="I573" i="7941"/>
  <c r="J779" i="18"/>
  <c r="I576" i="7941"/>
  <c r="J782" i="18"/>
  <c r="I101" i="7941"/>
  <c r="J37" i="7941" s="1"/>
  <c r="J499" i="18"/>
  <c r="I82" i="7941"/>
  <c r="J480" i="18"/>
  <c r="I98" i="7941"/>
  <c r="J34" i="7941" s="1"/>
  <c r="J496" i="18"/>
  <c r="I572" i="7941"/>
  <c r="J778" i="18"/>
  <c r="N469" i="7942"/>
  <c r="O469" i="7942"/>
  <c r="I93" i="7941"/>
  <c r="J29" i="7941" s="1"/>
  <c r="J491" i="18"/>
  <c r="I92" i="7941"/>
  <c r="J28" i="7941" s="1"/>
  <c r="J490" i="18"/>
  <c r="I95" i="7941"/>
  <c r="J31" i="7941" s="1"/>
  <c r="J493" i="18"/>
  <c r="N276" i="7942"/>
  <c r="O275" i="7942"/>
  <c r="P275" i="7942" s="1"/>
  <c r="I582" i="7941"/>
  <c r="J788" i="18"/>
  <c r="I577" i="7941"/>
  <c r="J783" i="18"/>
  <c r="I566" i="7941"/>
  <c r="J772" i="18"/>
  <c r="J735" i="18"/>
  <c r="I584" i="7941"/>
  <c r="J790" i="18"/>
  <c r="I76" i="7941"/>
  <c r="J474" i="18"/>
  <c r="I578" i="7941"/>
  <c r="J784" i="18"/>
  <c r="I581" i="7941"/>
  <c r="J787" i="18"/>
  <c r="N322" i="7942"/>
  <c r="I80" i="7941"/>
  <c r="J478" i="18"/>
  <c r="I241" i="7941"/>
  <c r="J15" i="7941"/>
  <c r="I571" i="7941"/>
  <c r="J777" i="18"/>
  <c r="J990" i="18"/>
  <c r="I564" i="7941"/>
  <c r="J770" i="18"/>
  <c r="Q462" i="7942"/>
  <c r="I88" i="7941"/>
  <c r="J24" i="7941" s="1"/>
  <c r="J486" i="18"/>
  <c r="I585" i="7941"/>
  <c r="J791" i="18"/>
  <c r="I567" i="7941"/>
  <c r="J773" i="18"/>
  <c r="I236" i="7941"/>
  <c r="J10" i="7941"/>
  <c r="I72" i="7941"/>
  <c r="J470" i="18"/>
  <c r="I583" i="7941"/>
  <c r="J789" i="18"/>
  <c r="I75" i="7941"/>
  <c r="J473" i="18"/>
  <c r="I81" i="7941"/>
  <c r="J479" i="18"/>
  <c r="P294" i="7942"/>
  <c r="I89" i="7941"/>
  <c r="J25" i="7941" s="1"/>
  <c r="J487" i="18"/>
  <c r="P192" i="18"/>
  <c r="I569" i="7941"/>
  <c r="J775" i="18"/>
  <c r="I96" i="7941"/>
  <c r="J32" i="7941" s="1"/>
  <c r="J494" i="18"/>
  <c r="I568" i="7941"/>
  <c r="J774" i="18"/>
  <c r="I574" i="7941"/>
  <c r="J780" i="18"/>
  <c r="I580" i="7941"/>
  <c r="J786" i="18"/>
  <c r="O132" i="7942"/>
  <c r="O133" i="7942" s="1"/>
  <c r="Q309" i="7942"/>
  <c r="Q310" i="7942" s="1"/>
  <c r="Q382" i="7941" s="1"/>
  <c r="I570" i="7941"/>
  <c r="J776" i="18"/>
  <c r="I91" i="7941"/>
  <c r="J27" i="7941" s="1"/>
  <c r="J489" i="18"/>
  <c r="J730" i="18"/>
  <c r="I85" i="7941"/>
  <c r="J483" i="18"/>
  <c r="I556" i="7941"/>
  <c r="J762" i="18"/>
  <c r="J494" i="7941"/>
  <c r="I678" i="7941"/>
  <c r="I100" i="7941"/>
  <c r="J36" i="7941" s="1"/>
  <c r="J498" i="18"/>
  <c r="I77" i="7941"/>
  <c r="J475" i="18"/>
  <c r="P321" i="7942"/>
  <c r="Q321" i="7942" s="1"/>
  <c r="Q322" i="7942" s="1"/>
  <c r="Q388" i="7941" s="1"/>
  <c r="I87" i="7941"/>
  <c r="J23" i="7941" s="1"/>
  <c r="J485" i="18"/>
  <c r="I94" i="7941"/>
  <c r="J30" i="7941" s="1"/>
  <c r="J492" i="18"/>
  <c r="I97" i="7941"/>
  <c r="J33" i="7941" s="1"/>
  <c r="J495" i="18"/>
  <c r="I575" i="7941"/>
  <c r="J781" i="18"/>
  <c r="I565" i="7941"/>
  <c r="J771" i="18"/>
  <c r="I99" i="7941"/>
  <c r="J35" i="7941" s="1"/>
  <c r="J497" i="18"/>
  <c r="O413" i="18"/>
  <c r="P413" i="18" s="1"/>
  <c r="I84" i="7941"/>
  <c r="J482" i="18"/>
  <c r="I579" i="7941"/>
  <c r="J785" i="18"/>
  <c r="I86" i="7941"/>
  <c r="J22" i="7941" s="1"/>
  <c r="J484" i="18"/>
  <c r="I83" i="7941"/>
  <c r="J481" i="18"/>
  <c r="I90" i="7941"/>
  <c r="J26" i="7941" s="1"/>
  <c r="J488" i="18"/>
  <c r="N153" i="7942"/>
  <c r="Q111" i="7942"/>
  <c r="P111" i="7942"/>
  <c r="O152" i="7942"/>
  <c r="Q314" i="7941"/>
  <c r="Q756" i="7941"/>
  <c r="Q754" i="7941"/>
  <c r="Q312" i="7941"/>
  <c r="P124" i="7942"/>
  <c r="P125" i="7942" s="1"/>
  <c r="P113" i="7942"/>
  <c r="O125" i="7942"/>
  <c r="Q112" i="7942"/>
  <c r="N133" i="7942"/>
  <c r="P159" i="7942"/>
  <c r="Q159" i="7942"/>
  <c r="O159" i="7942"/>
  <c r="P13" i="7944" l="1"/>
  <c r="Q13" i="7944" s="1"/>
  <c r="Q321" i="7941"/>
  <c r="Q480" i="7942"/>
  <c r="Q481" i="7942" s="1"/>
  <c r="Q451" i="7941" s="1"/>
  <c r="Q144" i="7942"/>
  <c r="Q145" i="7942" s="1"/>
  <c r="Q758" i="7941" s="1"/>
  <c r="O271" i="7942"/>
  <c r="O272" i="7942" s="1"/>
  <c r="O175" i="7944"/>
  <c r="P175" i="7944" s="1"/>
  <c r="Q175" i="7944" s="1"/>
  <c r="P475" i="7942"/>
  <c r="Q475" i="7942"/>
  <c r="Q448" i="7941" s="1"/>
  <c r="Q283" i="7942"/>
  <c r="Q284" i="7942" s="1"/>
  <c r="Q369" i="7941" s="1"/>
  <c r="N471" i="7942"/>
  <c r="P470" i="7942"/>
  <c r="P485" i="7942"/>
  <c r="Q485" i="7942"/>
  <c r="Q453" i="7941" s="1"/>
  <c r="N479" i="7942"/>
  <c r="P478" i="7942"/>
  <c r="F24" i="7947"/>
  <c r="O489" i="7942"/>
  <c r="Q488" i="7942"/>
  <c r="L483" i="7942"/>
  <c r="O482" i="7942"/>
  <c r="M473" i="7942"/>
  <c r="O472" i="7942"/>
  <c r="Q324" i="7941"/>
  <c r="N430" i="7942"/>
  <c r="M431" i="7942" s="1"/>
  <c r="M429" i="7942"/>
  <c r="L490" i="7942" s="1"/>
  <c r="P312" i="7942"/>
  <c r="Q312" i="7942"/>
  <c r="Q383" i="7941" s="1"/>
  <c r="P442" i="7942"/>
  <c r="O443" i="7942" s="1"/>
  <c r="Q769" i="7941"/>
  <c r="L431" i="7942"/>
  <c r="N432" i="7942"/>
  <c r="M433" i="7942" s="1"/>
  <c r="P129" i="7942"/>
  <c r="Q128" i="7942"/>
  <c r="Q129" i="7942" s="1"/>
  <c r="O116" i="7942"/>
  <c r="P116" i="7942" s="1"/>
  <c r="Q116" i="7942" s="1"/>
  <c r="P167" i="7942"/>
  <c r="Q456" i="7942"/>
  <c r="P457" i="7942" s="1"/>
  <c r="O436" i="7942"/>
  <c r="M437" i="7942"/>
  <c r="M435" i="7942"/>
  <c r="O434" i="7942"/>
  <c r="P226" i="18"/>
  <c r="Q226" i="18" s="1"/>
  <c r="P464" i="7942"/>
  <c r="O465" i="7942" s="1"/>
  <c r="M147" i="7942"/>
  <c r="P205" i="18"/>
  <c r="Q205" i="18" s="1"/>
  <c r="P323" i="18"/>
  <c r="Q323" i="18" s="1"/>
  <c r="N147" i="7942"/>
  <c r="Q156" i="7942"/>
  <c r="Q157" i="7942" s="1"/>
  <c r="Q322" i="7941" s="1"/>
  <c r="N957" i="18"/>
  <c r="O101" i="18"/>
  <c r="P101" i="18" s="1"/>
  <c r="P957" i="18" s="1"/>
  <c r="O276" i="7942"/>
  <c r="Q469" i="7942"/>
  <c r="Q445" i="7941" s="1"/>
  <c r="N439" i="7942"/>
  <c r="O138" i="7942"/>
  <c r="O139" i="7942" s="1"/>
  <c r="I214" i="7947"/>
  <c r="I218" i="7947" s="1"/>
  <c r="I220" i="7947" s="1"/>
  <c r="J217" i="7947" s="1"/>
  <c r="Q450" i="7942"/>
  <c r="Q451" i="7942" s="1"/>
  <c r="Q436" i="7941" s="1"/>
  <c r="Q275" i="7942"/>
  <c r="Q276" i="7942" s="1"/>
  <c r="Q365" i="7941" s="1"/>
  <c r="N115" i="18"/>
  <c r="O115" i="18" s="1"/>
  <c r="P115" i="18" s="1"/>
  <c r="Q115" i="18" s="1"/>
  <c r="P278" i="7942"/>
  <c r="M15" i="7944"/>
  <c r="O146" i="7942"/>
  <c r="P146" i="7942" s="1"/>
  <c r="M108" i="7942"/>
  <c r="M107" i="7942" s="1"/>
  <c r="Q296" i="18"/>
  <c r="P380" i="18"/>
  <c r="Q380" i="18" s="1"/>
  <c r="N531" i="18"/>
  <c r="N69" i="7941" s="1"/>
  <c r="N523" i="18"/>
  <c r="N61" i="7941" s="1"/>
  <c r="N517" i="18"/>
  <c r="N55" i="7941" s="1"/>
  <c r="N515" i="18"/>
  <c r="N53" i="7941" s="1"/>
  <c r="N507" i="18"/>
  <c r="N45" i="7941" s="1"/>
  <c r="N504" i="18"/>
  <c r="N42" i="7941" s="1"/>
  <c r="N520" i="18"/>
  <c r="N58" i="7941" s="1"/>
  <c r="N529" i="18"/>
  <c r="N67" i="7941" s="1"/>
  <c r="J769" i="18"/>
  <c r="J995" i="18" s="1"/>
  <c r="J833" i="18" s="1"/>
  <c r="J563" i="7941" s="1"/>
  <c r="Q431" i="18"/>
  <c r="Q198" i="18"/>
  <c r="L208" i="7947"/>
  <c r="P341" i="18"/>
  <c r="Q341" i="18" s="1"/>
  <c r="N505" i="18"/>
  <c r="N43" i="7941" s="1"/>
  <c r="N522" i="18"/>
  <c r="N60" i="7941" s="1"/>
  <c r="N513" i="18"/>
  <c r="N51" i="7941" s="1"/>
  <c r="N528" i="18"/>
  <c r="N66" i="7941" s="1"/>
  <c r="N516" i="18"/>
  <c r="N54" i="7941" s="1"/>
  <c r="N527" i="18"/>
  <c r="N65" i="7941" s="1"/>
  <c r="N508" i="18"/>
  <c r="N46" i="7941" s="1"/>
  <c r="Q329" i="18"/>
  <c r="P265" i="18"/>
  <c r="Q265" i="18" s="1"/>
  <c r="Q286" i="7942"/>
  <c r="Q370" i="7941" s="1"/>
  <c r="P274" i="7942"/>
  <c r="P278" i="18"/>
  <c r="Q278" i="18" s="1"/>
  <c r="P434" i="18"/>
  <c r="Q434" i="18" s="1"/>
  <c r="P381" i="18"/>
  <c r="Q381" i="18" s="1"/>
  <c r="P304" i="18"/>
  <c r="Q304" i="18" s="1"/>
  <c r="Q134" i="7942"/>
  <c r="Q135" i="7942" s="1"/>
  <c r="P165" i="7942"/>
  <c r="P276" i="7942"/>
  <c r="O274" i="7942"/>
  <c r="N328" i="7942"/>
  <c r="N524" i="18"/>
  <c r="N62" i="7941" s="1"/>
  <c r="N530" i="18"/>
  <c r="N68" i="7941" s="1"/>
  <c r="N503" i="18"/>
  <c r="N41" i="7941" s="1"/>
  <c r="N525" i="18"/>
  <c r="N63" i="7941" s="1"/>
  <c r="N518" i="18"/>
  <c r="N56" i="7941" s="1"/>
  <c r="N510" i="18"/>
  <c r="N48" i="7941" s="1"/>
  <c r="N512" i="18"/>
  <c r="N50" i="7941" s="1"/>
  <c r="N426" i="18"/>
  <c r="O426" i="18" s="1"/>
  <c r="Q238" i="18"/>
  <c r="O343" i="18"/>
  <c r="P343" i="18" s="1"/>
  <c r="Q290" i="18"/>
  <c r="Q289" i="7942"/>
  <c r="Q290" i="7942" s="1"/>
  <c r="Q372" i="7941" s="1"/>
  <c r="Q440" i="7942"/>
  <c r="O441" i="7942"/>
  <c r="P457" i="18"/>
  <c r="Q457" i="18" s="1"/>
  <c r="K210" i="7947"/>
  <c r="P143" i="7942"/>
  <c r="Q142" i="7942"/>
  <c r="Q143" i="7942" s="1"/>
  <c r="P213" i="18"/>
  <c r="Q213" i="18" s="1"/>
  <c r="P447" i="18"/>
  <c r="Q447" i="18" s="1"/>
  <c r="N51" i="18"/>
  <c r="O175" i="18"/>
  <c r="P175" i="18"/>
  <c r="Q175" i="18"/>
  <c r="N62" i="18"/>
  <c r="O318" i="18"/>
  <c r="P318" i="18" s="1"/>
  <c r="Q318" i="18" s="1"/>
  <c r="O136" i="18"/>
  <c r="N48" i="18"/>
  <c r="P136" i="18"/>
  <c r="Q136" i="18"/>
  <c r="N53" i="18"/>
  <c r="O201" i="18"/>
  <c r="P201" i="18" s="1"/>
  <c r="N45" i="18"/>
  <c r="P97" i="18"/>
  <c r="Q97" i="18"/>
  <c r="O97" i="18"/>
  <c r="M812" i="18"/>
  <c r="M542" i="7941" s="1"/>
  <c r="E266" i="7945"/>
  <c r="F266" i="7945" s="1"/>
  <c r="L206" i="7947"/>
  <c r="E154" i="7945"/>
  <c r="F154" i="7945" s="1"/>
  <c r="M804" i="18"/>
  <c r="M534" i="7941" s="1"/>
  <c r="M798" i="18"/>
  <c r="M528" i="7941" s="1"/>
  <c r="E70" i="7945"/>
  <c r="F70" i="7945" s="1"/>
  <c r="F97" i="7945"/>
  <c r="F251" i="7945"/>
  <c r="Q244" i="18"/>
  <c r="O162" i="7942"/>
  <c r="P162" i="7942" s="1"/>
  <c r="Q162" i="7942" s="1"/>
  <c r="Q163" i="7942" s="1"/>
  <c r="Q325" i="7941" s="1"/>
  <c r="N163" i="7942"/>
  <c r="O179" i="18"/>
  <c r="P179" i="18" s="1"/>
  <c r="N257" i="18"/>
  <c r="M982" i="18"/>
  <c r="M983" i="18"/>
  <c r="M974" i="18"/>
  <c r="M978" i="18"/>
  <c r="M970" i="18"/>
  <c r="M722" i="18"/>
  <c r="M716" i="18"/>
  <c r="M981" i="18"/>
  <c r="M704" i="18"/>
  <c r="M979" i="18"/>
  <c r="M709" i="18"/>
  <c r="M976" i="18"/>
  <c r="M984" i="18"/>
  <c r="M967" i="18"/>
  <c r="M968" i="18"/>
  <c r="M971" i="18"/>
  <c r="M966" i="18"/>
  <c r="M972" i="18"/>
  <c r="M977" i="18"/>
  <c r="M712" i="18"/>
  <c r="M718" i="18"/>
  <c r="M711" i="18"/>
  <c r="M707" i="18"/>
  <c r="M710" i="18"/>
  <c r="M965" i="18"/>
  <c r="M719" i="18"/>
  <c r="M980" i="18"/>
  <c r="M714" i="18"/>
  <c r="M721" i="18"/>
  <c r="M725" i="18"/>
  <c r="M985" i="18"/>
  <c r="M975" i="18"/>
  <c r="M705" i="18"/>
  <c r="M969" i="18"/>
  <c r="M973" i="18"/>
  <c r="M715" i="18"/>
  <c r="M717" i="18"/>
  <c r="M723" i="18"/>
  <c r="M708" i="18"/>
  <c r="M706" i="18"/>
  <c r="M964" i="18"/>
  <c r="M720" i="18"/>
  <c r="M713" i="18"/>
  <c r="M724" i="18"/>
  <c r="E140" i="7945"/>
  <c r="F140" i="7945" s="1"/>
  <c r="M803" i="18"/>
  <c r="M533" i="7941" s="1"/>
  <c r="N49" i="18"/>
  <c r="Q149" i="18"/>
  <c r="O149" i="18"/>
  <c r="P149" i="18"/>
  <c r="N44" i="18"/>
  <c r="P84" i="18"/>
  <c r="N309" i="1"/>
  <c r="O84" i="18"/>
  <c r="Q84" i="18"/>
  <c r="O461" i="18"/>
  <c r="N73" i="18"/>
  <c r="N58" i="18"/>
  <c r="O266" i="18"/>
  <c r="P266" i="18" s="1"/>
  <c r="Q266" i="18" s="1"/>
  <c r="P406" i="18"/>
  <c r="Q406" i="18" s="1"/>
  <c r="O270" i="18"/>
  <c r="P270" i="18" s="1"/>
  <c r="Q270" i="18" s="1"/>
  <c r="L524" i="7941"/>
  <c r="L523" i="7941" s="1"/>
  <c r="L793" i="18"/>
  <c r="P264" i="18"/>
  <c r="Q264" i="18" s="1"/>
  <c r="E224" i="7945"/>
  <c r="F224" i="7945" s="1"/>
  <c r="M809" i="18"/>
  <c r="M539" i="7941" s="1"/>
  <c r="Q400" i="18"/>
  <c r="E336" i="7945"/>
  <c r="F336" i="7945" s="1"/>
  <c r="M817" i="18"/>
  <c r="M547" i="7941" s="1"/>
  <c r="M814" i="18"/>
  <c r="M544" i="7941" s="1"/>
  <c r="E294" i="7945"/>
  <c r="O324" i="7942"/>
  <c r="O387" i="18"/>
  <c r="P387" i="18" s="1"/>
  <c r="O143" i="7942"/>
  <c r="O286" i="7942"/>
  <c r="Q459" i="7942"/>
  <c r="Q440" i="7941" s="1"/>
  <c r="P269" i="7942"/>
  <c r="Q269" i="7942" s="1"/>
  <c r="F419" i="7945"/>
  <c r="O200" i="18"/>
  <c r="P200" i="18" s="1"/>
  <c r="Q200" i="18" s="1"/>
  <c r="Q369" i="18"/>
  <c r="O227" i="18"/>
  <c r="P227" i="18" s="1"/>
  <c r="N55" i="18"/>
  <c r="O357" i="18"/>
  <c r="N65" i="18"/>
  <c r="N50" i="18"/>
  <c r="Q162" i="18"/>
  <c r="P162" i="18"/>
  <c r="O162" i="18"/>
  <c r="N509" i="18"/>
  <c r="N47" i="7941" s="1"/>
  <c r="E43" i="7945"/>
  <c r="N796" i="18"/>
  <c r="N526" i="7941" s="1"/>
  <c r="N526" i="18"/>
  <c r="N64" i="7941" s="1"/>
  <c r="N521" i="18"/>
  <c r="N59" i="7941" s="1"/>
  <c r="N506" i="18"/>
  <c r="N44" i="7941" s="1"/>
  <c r="N511" i="18"/>
  <c r="N49" i="7941" s="1"/>
  <c r="O370" i="18"/>
  <c r="N66" i="18"/>
  <c r="N519" i="18"/>
  <c r="N57" i="7941" s="1"/>
  <c r="O253" i="18"/>
  <c r="P253" i="18" s="1"/>
  <c r="N57" i="18"/>
  <c r="N64" i="18"/>
  <c r="O344" i="18"/>
  <c r="O240" i="18"/>
  <c r="P240" i="18" s="1"/>
  <c r="Q240" i="18" s="1"/>
  <c r="N56" i="18"/>
  <c r="M823" i="18"/>
  <c r="M553" i="7941" s="1"/>
  <c r="E420" i="7945"/>
  <c r="F420" i="7945" s="1"/>
  <c r="P130" i="7942"/>
  <c r="P131" i="7942" s="1"/>
  <c r="O131" i="7942"/>
  <c r="F125" i="7945"/>
  <c r="F69" i="7945"/>
  <c r="P302" i="18"/>
  <c r="Q302" i="18" s="1"/>
  <c r="O290" i="7942"/>
  <c r="E168" i="7945"/>
  <c r="F168" i="7945" s="1"/>
  <c r="M805" i="18"/>
  <c r="M535" i="7941" s="1"/>
  <c r="E406" i="7945"/>
  <c r="F406" i="7945" s="1"/>
  <c r="M822" i="18"/>
  <c r="M552" i="7941" s="1"/>
  <c r="M808" i="18"/>
  <c r="M538" i="7941" s="1"/>
  <c r="E210" i="7945"/>
  <c r="F210" i="7945" s="1"/>
  <c r="K107" i="7945"/>
  <c r="J117" i="7945"/>
  <c r="K117" i="7945" s="1"/>
  <c r="O14" i="7946" s="1"/>
  <c r="F335" i="7945"/>
  <c r="F349" i="7945"/>
  <c r="Q319" i="7942"/>
  <c r="Q320" i="7942" s="1"/>
  <c r="Q387" i="7941" s="1"/>
  <c r="N283" i="18"/>
  <c r="E98" i="7945"/>
  <c r="F98" i="7945" s="1"/>
  <c r="M800" i="18"/>
  <c r="M530" i="7941" s="1"/>
  <c r="M799" i="18"/>
  <c r="M529" i="7941" s="1"/>
  <c r="E84" i="7945"/>
  <c r="F84" i="7945" s="1"/>
  <c r="E392" i="7945"/>
  <c r="F392" i="7945" s="1"/>
  <c r="M821" i="18"/>
  <c r="M551" i="7941" s="1"/>
  <c r="O115" i="7942"/>
  <c r="P114" i="7942"/>
  <c r="P309" i="18"/>
  <c r="Q309" i="18" s="1"/>
  <c r="E364" i="7945"/>
  <c r="F364" i="7945" s="1"/>
  <c r="M819" i="18"/>
  <c r="M549" i="7941" s="1"/>
  <c r="P395" i="18"/>
  <c r="Q395" i="18" s="1"/>
  <c r="E350" i="7945"/>
  <c r="F350" i="7945" s="1"/>
  <c r="M818" i="18"/>
  <c r="M548" i="7941" s="1"/>
  <c r="E252" i="7945"/>
  <c r="F252" i="7945" s="1"/>
  <c r="M811" i="18"/>
  <c r="M541" i="7941" s="1"/>
  <c r="Q252" i="18"/>
  <c r="M807" i="18"/>
  <c r="M537" i="7941" s="1"/>
  <c r="E196" i="7945"/>
  <c r="O446" i="7942"/>
  <c r="M208" i="7947"/>
  <c r="P251" i="18"/>
  <c r="Q251" i="18" s="1"/>
  <c r="P186" i="18"/>
  <c r="Q186" i="18" s="1"/>
  <c r="N703" i="18"/>
  <c r="N963" i="18"/>
  <c r="N68" i="18"/>
  <c r="O396" i="18"/>
  <c r="O279" i="18"/>
  <c r="P279" i="18" s="1"/>
  <c r="N59" i="18"/>
  <c r="O305" i="18"/>
  <c r="P305" i="18" s="1"/>
  <c r="N61" i="18"/>
  <c r="O292" i="18"/>
  <c r="P292" i="18" s="1"/>
  <c r="Q292" i="18" s="1"/>
  <c r="N60" i="18"/>
  <c r="Q150" i="7942"/>
  <c r="Q151" i="7942" s="1"/>
  <c r="P151" i="7942"/>
  <c r="F223" i="7945"/>
  <c r="F139" i="7945"/>
  <c r="N70" i="18"/>
  <c r="O422" i="18"/>
  <c r="N71" i="18"/>
  <c r="O435" i="18"/>
  <c r="N67" i="18"/>
  <c r="O383" i="18"/>
  <c r="N54" i="18"/>
  <c r="O214" i="18"/>
  <c r="P214" i="18" s="1"/>
  <c r="Q214" i="18" s="1"/>
  <c r="O460" i="18"/>
  <c r="E112" i="7945"/>
  <c r="F112" i="7945" s="1"/>
  <c r="M801" i="18"/>
  <c r="M531" i="7941" s="1"/>
  <c r="I683" i="7941"/>
  <c r="J499" i="7941"/>
  <c r="P235" i="18"/>
  <c r="Q235" i="18" s="1"/>
  <c r="F265" i="7945"/>
  <c r="F83" i="7945"/>
  <c r="E14" i="7945"/>
  <c r="M794" i="18"/>
  <c r="M43" i="18"/>
  <c r="E238" i="7945"/>
  <c r="F238" i="7945" s="1"/>
  <c r="M810" i="18"/>
  <c r="M540" i="7941" s="1"/>
  <c r="F167" i="7945"/>
  <c r="F237" i="7945"/>
  <c r="P432" i="18"/>
  <c r="Q432" i="18" s="1"/>
  <c r="P165" i="7944"/>
  <c r="Q165" i="7944" s="1"/>
  <c r="Q276" i="18"/>
  <c r="P323" i="7942"/>
  <c r="Q323" i="7942" s="1"/>
  <c r="Q326" i="7942"/>
  <c r="Q390" i="7941" s="1"/>
  <c r="N956" i="18"/>
  <c r="O88" i="18"/>
  <c r="N696" i="18"/>
  <c r="L207" i="7947"/>
  <c r="M207" i="7947" s="1"/>
  <c r="N207" i="7947" s="1"/>
  <c r="E322" i="7945"/>
  <c r="F322" i="7945" s="1"/>
  <c r="M816" i="18"/>
  <c r="M546" i="7941" s="1"/>
  <c r="O308" i="1"/>
  <c r="O155" i="1"/>
  <c r="O24" i="18" s="1"/>
  <c r="O158" i="1"/>
  <c r="O27" i="18" s="1"/>
  <c r="O143" i="1"/>
  <c r="O160" i="1"/>
  <c r="O29" i="18" s="1"/>
  <c r="O296" i="1"/>
  <c r="O171" i="1"/>
  <c r="O40" i="18" s="1"/>
  <c r="O166" i="1"/>
  <c r="O35" i="18" s="1"/>
  <c r="O159" i="1"/>
  <c r="O28" i="18" s="1"/>
  <c r="O287" i="1"/>
  <c r="O163" i="1"/>
  <c r="O32" i="18" s="1"/>
  <c r="O7" i="18"/>
  <c r="O162" i="1"/>
  <c r="O31" i="18" s="1"/>
  <c r="O157" i="1"/>
  <c r="O26" i="18" s="1"/>
  <c r="O283" i="1"/>
  <c r="O154" i="1"/>
  <c r="O23" i="18" s="1"/>
  <c r="O513" i="18" s="1"/>
  <c r="O51" i="7941" s="1"/>
  <c r="O285" i="1"/>
  <c r="O164" i="1"/>
  <c r="O33" i="18" s="1"/>
  <c r="O165" i="1"/>
  <c r="O34" i="18" s="1"/>
  <c r="O295" i="1"/>
  <c r="O292" i="1"/>
  <c r="O161" i="1"/>
  <c r="O30" i="18" s="1"/>
  <c r="O281" i="1"/>
  <c r="O46" i="18" s="1"/>
  <c r="O304" i="1"/>
  <c r="O298" i="1"/>
  <c r="O300" i="1"/>
  <c r="O291" i="1"/>
  <c r="O156" i="1"/>
  <c r="O25" i="18" s="1"/>
  <c r="O515" i="18" s="1"/>
  <c r="O53" i="7941" s="1"/>
  <c r="O307" i="1"/>
  <c r="O168" i="1"/>
  <c r="O37" i="18" s="1"/>
  <c r="O290" i="1"/>
  <c r="O148" i="1"/>
  <c r="O17" i="18" s="1"/>
  <c r="O507" i="18" s="1"/>
  <c r="O45" i="7941" s="1"/>
  <c r="O152" i="1"/>
  <c r="O21" i="18" s="1"/>
  <c r="O172" i="1"/>
  <c r="O41" i="18" s="1"/>
  <c r="O280" i="1"/>
  <c r="O169" i="1"/>
  <c r="O38" i="18" s="1"/>
  <c r="O528" i="18" s="1"/>
  <c r="O66" i="7941" s="1"/>
  <c r="O151" i="1"/>
  <c r="O20" i="18" s="1"/>
  <c r="O145" i="1"/>
  <c r="O14" i="18" s="1"/>
  <c r="O288" i="1"/>
  <c r="O289" i="1"/>
  <c r="O286" i="1"/>
  <c r="O303" i="1"/>
  <c r="O149" i="1"/>
  <c r="O18" i="18" s="1"/>
  <c r="O293" i="1"/>
  <c r="J122" i="7947"/>
  <c r="O306" i="1"/>
  <c r="O305" i="1"/>
  <c r="J192" i="7947"/>
  <c r="O301" i="1"/>
  <c r="O150" i="1"/>
  <c r="O19" i="18" s="1"/>
  <c r="O299" i="1"/>
  <c r="O282" i="1"/>
  <c r="O47" i="18" s="1"/>
  <c r="O153" i="1"/>
  <c r="O22" i="18" s="1"/>
  <c r="P961" i="18"/>
  <c r="O144" i="1"/>
  <c r="O13" i="18" s="1"/>
  <c r="O167" i="1"/>
  <c r="O36" i="18" s="1"/>
  <c r="O526" i="18" s="1"/>
  <c r="O64" i="7941" s="1"/>
  <c r="O279" i="1"/>
  <c r="O147" i="1"/>
  <c r="O16" i="18" s="1"/>
  <c r="O170" i="1"/>
  <c r="O39" i="18" s="1"/>
  <c r="O146" i="1"/>
  <c r="O15" i="18" s="1"/>
  <c r="O505" i="18" s="1"/>
  <c r="O43" i="7941" s="1"/>
  <c r="O284" i="1"/>
  <c r="O302" i="1"/>
  <c r="O297" i="1"/>
  <c r="O294" i="1"/>
  <c r="N52" i="18"/>
  <c r="O188" i="18"/>
  <c r="P188" i="18" s="1"/>
  <c r="Q188" i="18" s="1"/>
  <c r="N72" i="18"/>
  <c r="O448" i="18"/>
  <c r="N69" i="18"/>
  <c r="O409" i="18"/>
  <c r="E57" i="7945"/>
  <c r="N797" i="18"/>
  <c r="N527" i="7941" s="1"/>
  <c r="J167" i="7947"/>
  <c r="J166" i="7947" s="1"/>
  <c r="J168" i="7947" s="1"/>
  <c r="K165" i="7947" s="1"/>
  <c r="J162" i="7947"/>
  <c r="J161" i="7947" s="1"/>
  <c r="J163" i="7947" s="1"/>
  <c r="K160" i="7947" s="1"/>
  <c r="J152" i="7947"/>
  <c r="J151" i="7947" s="1"/>
  <c r="J153" i="7947" s="1"/>
  <c r="K150" i="7947" s="1"/>
  <c r="J172" i="7947"/>
  <c r="J147" i="7947"/>
  <c r="J146" i="7947" s="1"/>
  <c r="J148" i="7947" s="1"/>
  <c r="K145" i="7947" s="1"/>
  <c r="J157" i="7947"/>
  <c r="J156" i="7947" s="1"/>
  <c r="J158" i="7947" s="1"/>
  <c r="K155" i="7947" s="1"/>
  <c r="J177" i="7947"/>
  <c r="J211" i="7947"/>
  <c r="K211" i="7947" s="1"/>
  <c r="L211" i="7947" s="1"/>
  <c r="J219" i="7947"/>
  <c r="O331" i="18"/>
  <c r="N63" i="18"/>
  <c r="N12" i="18"/>
  <c r="N173" i="1"/>
  <c r="M502" i="18"/>
  <c r="M11" i="18"/>
  <c r="M802" i="18"/>
  <c r="M532" i="7941" s="1"/>
  <c r="E126" i="7945"/>
  <c r="F126" i="7945" s="1"/>
  <c r="O287" i="7942"/>
  <c r="P287" i="7942" s="1"/>
  <c r="F153" i="7945"/>
  <c r="P393" i="18"/>
  <c r="Q393" i="18" s="1"/>
  <c r="Q291" i="18"/>
  <c r="E378" i="7945"/>
  <c r="F378" i="7945" s="1"/>
  <c r="M820" i="18"/>
  <c r="M550" i="7941" s="1"/>
  <c r="N324" i="7942"/>
  <c r="N452" i="18"/>
  <c r="O452" i="18" s="1"/>
  <c r="E28" i="7945"/>
  <c r="F28" i="7945" s="1"/>
  <c r="M795" i="18"/>
  <c r="M525" i="7941" s="1"/>
  <c r="E280" i="7945"/>
  <c r="F280" i="7945" s="1"/>
  <c r="M813" i="18"/>
  <c r="M543" i="7941" s="1"/>
  <c r="Q211" i="18"/>
  <c r="Q448" i="7942"/>
  <c r="L40" i="7941"/>
  <c r="L39" i="7941" s="1"/>
  <c r="L501" i="18"/>
  <c r="P275" i="18"/>
  <c r="Q275" i="18" s="1"/>
  <c r="Q354" i="18"/>
  <c r="F377" i="7945"/>
  <c r="M815" i="18"/>
  <c r="M545" i="7941" s="1"/>
  <c r="E308" i="7945"/>
  <c r="E182" i="7945"/>
  <c r="F182" i="7945" s="1"/>
  <c r="M806" i="18"/>
  <c r="M536" i="7941" s="1"/>
  <c r="Q382" i="18"/>
  <c r="O701" i="18"/>
  <c r="L209" i="7947"/>
  <c r="J496" i="7941"/>
  <c r="P110" i="7944"/>
  <c r="Q110" i="7944" s="1"/>
  <c r="K75" i="7945"/>
  <c r="O11" i="7946" s="1"/>
  <c r="K33" i="7945"/>
  <c r="O8" i="7946" s="1"/>
  <c r="P97" i="7944"/>
  <c r="Q97" i="7944" s="1"/>
  <c r="J765" i="18"/>
  <c r="J991" i="18" s="1"/>
  <c r="J829" i="18" s="1"/>
  <c r="J559" i="7941" s="1"/>
  <c r="Q114" i="18"/>
  <c r="N9" i="7944"/>
  <c r="Q87" i="7944"/>
  <c r="J76" i="7947"/>
  <c r="J77" i="7947" s="1"/>
  <c r="K75" i="7947" s="1"/>
  <c r="J68" i="7947"/>
  <c r="J69" i="7947" s="1"/>
  <c r="K67" i="7947" s="1"/>
  <c r="J100" i="7947"/>
  <c r="J101" i="7947" s="1"/>
  <c r="K99" i="7947" s="1"/>
  <c r="J31" i="7947"/>
  <c r="J32" i="7947" s="1"/>
  <c r="K30" i="7947" s="1"/>
  <c r="J39" i="7947"/>
  <c r="J40" i="7947" s="1"/>
  <c r="K38" i="7947" s="1"/>
  <c r="J96" i="7947"/>
  <c r="J97" i="7947" s="1"/>
  <c r="K95" i="7947" s="1"/>
  <c r="F116" i="7947"/>
  <c r="I171" i="7947"/>
  <c r="I173" i="7947" s="1"/>
  <c r="J170" i="7947" s="1"/>
  <c r="I729" i="18"/>
  <c r="N304" i="7942"/>
  <c r="O303" i="7942"/>
  <c r="O304" i="7942" s="1"/>
  <c r="O445" i="7942"/>
  <c r="Q444" i="7942"/>
  <c r="N202" i="7947"/>
  <c r="M700" i="18"/>
  <c r="M960" i="18"/>
  <c r="N455" i="7942"/>
  <c r="Q454" i="7942"/>
  <c r="O313" i="7942"/>
  <c r="O314" i="7942" s="1"/>
  <c r="J35" i="7947"/>
  <c r="J36" i="7947" s="1"/>
  <c r="K34" i="7947" s="1"/>
  <c r="I9" i="7941"/>
  <c r="H235" i="7941"/>
  <c r="H71" i="7941"/>
  <c r="N11" i="7946"/>
  <c r="N12" i="7944"/>
  <c r="N326" i="7942"/>
  <c r="O11" i="7944"/>
  <c r="P11" i="7944" s="1"/>
  <c r="Q11" i="7944" s="1"/>
  <c r="R11" i="7944" s="1"/>
  <c r="P326" i="7942"/>
  <c r="P10" i="7944"/>
  <c r="Q10" i="7944" s="1"/>
  <c r="R10" i="7944" s="1"/>
  <c r="R13" i="7944"/>
  <c r="J992" i="18"/>
  <c r="J830" i="18" s="1"/>
  <c r="J560" i="7941" s="1"/>
  <c r="O439" i="7942"/>
  <c r="Q438" i="7942"/>
  <c r="G22" i="7947"/>
  <c r="F44" i="7947"/>
  <c r="J495" i="7941"/>
  <c r="I679" i="7941"/>
  <c r="O140" i="18"/>
  <c r="N960" i="18"/>
  <c r="N700" i="18"/>
  <c r="Q301" i="7942"/>
  <c r="Q302" i="7942" s="1"/>
  <c r="Q378" i="7941" s="1"/>
  <c r="P302" i="7942"/>
  <c r="P282" i="7942"/>
  <c r="Q282" i="7942"/>
  <c r="Q368" i="7941" s="1"/>
  <c r="H555" i="7941"/>
  <c r="I493" i="7941"/>
  <c r="H677" i="7941"/>
  <c r="M467" i="7942"/>
  <c r="J88" i="7947"/>
  <c r="J89" i="7947" s="1"/>
  <c r="K87" i="7947" s="1"/>
  <c r="K80" i="7947"/>
  <c r="K81" i="7947" s="1"/>
  <c r="L79" i="7947" s="1"/>
  <c r="K92" i="7947"/>
  <c r="K93" i="7947" s="1"/>
  <c r="L91" i="7947" s="1"/>
  <c r="P8" i="7944"/>
  <c r="Q413" i="18"/>
  <c r="E105" i="7947"/>
  <c r="F63" i="7947"/>
  <c r="J993" i="18"/>
  <c r="J831" i="18" s="1"/>
  <c r="J561" i="7941" s="1"/>
  <c r="K497" i="7941" s="1"/>
  <c r="N205" i="7947"/>
  <c r="Q299" i="7942"/>
  <c r="Q300" i="7942" s="1"/>
  <c r="Q377" i="7941" s="1"/>
  <c r="E143" i="7947"/>
  <c r="O958" i="18"/>
  <c r="O698" i="18"/>
  <c r="N698" i="18"/>
  <c r="N958" i="18"/>
  <c r="N136" i="7944"/>
  <c r="Q122" i="7942"/>
  <c r="Q123" i="7942" s="1"/>
  <c r="P123" i="7942"/>
  <c r="O126" i="7944"/>
  <c r="P126" i="7944" s="1"/>
  <c r="Q126" i="7944" s="1"/>
  <c r="P453" i="7942"/>
  <c r="Q453" i="7942"/>
  <c r="Q437" i="7941" s="1"/>
  <c r="O326" i="7942"/>
  <c r="F54" i="7947"/>
  <c r="I84" i="7947"/>
  <c r="I85" i="7947" s="1"/>
  <c r="J83" i="7947" s="1"/>
  <c r="Q273" i="7942"/>
  <c r="Q274" i="7942" s="1"/>
  <c r="Q364" i="7941" s="1"/>
  <c r="N268" i="7942"/>
  <c r="N329" i="7942" s="1"/>
  <c r="Q307" i="7942"/>
  <c r="Q308" i="7942" s="1"/>
  <c r="Q381" i="7941" s="1"/>
  <c r="N461" i="7942"/>
  <c r="P460" i="7942"/>
  <c r="Q84" i="7944"/>
  <c r="O308" i="7942"/>
  <c r="Q760" i="7941"/>
  <c r="Q318" i="7941"/>
  <c r="Q165" i="7942"/>
  <c r="N314" i="7942"/>
  <c r="P286" i="7942"/>
  <c r="P204" i="7947"/>
  <c r="O328" i="7942"/>
  <c r="P327" i="7942"/>
  <c r="Q327" i="7942" s="1"/>
  <c r="Q328" i="7942" s="1"/>
  <c r="Q391" i="7941" s="1"/>
  <c r="M127" i="18"/>
  <c r="L699" i="18"/>
  <c r="L959" i="18"/>
  <c r="I989" i="18"/>
  <c r="L107" i="7942"/>
  <c r="F117" i="7947"/>
  <c r="I176" i="7947"/>
  <c r="I178" i="7947" s="1"/>
  <c r="J175" i="7947" s="1"/>
  <c r="J27" i="7947"/>
  <c r="J28" i="7947" s="1"/>
  <c r="K26" i="7947" s="1"/>
  <c r="P298" i="7942"/>
  <c r="J72" i="7947"/>
  <c r="J73" i="7947" s="1"/>
  <c r="K71" i="7947" s="1"/>
  <c r="I248" i="7941"/>
  <c r="J20" i="7941"/>
  <c r="I246" i="7941"/>
  <c r="I695" i="7941"/>
  <c r="J511" i="7941"/>
  <c r="J1012" i="18"/>
  <c r="J745" i="18"/>
  <c r="I703" i="7941"/>
  <c r="J519" i="7941"/>
  <c r="I687" i="7941"/>
  <c r="J503" i="7941"/>
  <c r="I705" i="7941"/>
  <c r="J521" i="7941"/>
  <c r="Q463" i="7942"/>
  <c r="Q442" i="7941" s="1"/>
  <c r="P463" i="7942"/>
  <c r="J828" i="18"/>
  <c r="J1010" i="18"/>
  <c r="J1016" i="18"/>
  <c r="J541" i="18"/>
  <c r="J502" i="7941"/>
  <c r="I686" i="7941"/>
  <c r="J751" i="18"/>
  <c r="J1008" i="18"/>
  <c r="P132" i="7942"/>
  <c r="J997" i="18"/>
  <c r="J750" i="18"/>
  <c r="J756" i="18"/>
  <c r="J1002" i="18"/>
  <c r="J1000" i="18"/>
  <c r="J1001" i="18"/>
  <c r="P322" i="7942"/>
  <c r="I257" i="7941"/>
  <c r="J746" i="18"/>
  <c r="I699" i="7941"/>
  <c r="J515" i="7941"/>
  <c r="J501" i="7941"/>
  <c r="I685" i="7941"/>
  <c r="I259" i="7941"/>
  <c r="I256" i="7941"/>
  <c r="J733" i="18"/>
  <c r="I262" i="7941"/>
  <c r="J988" i="18"/>
  <c r="J747" i="18"/>
  <c r="I690" i="7941"/>
  <c r="J506" i="7941"/>
  <c r="J504" i="7941"/>
  <c r="I688" i="7941"/>
  <c r="I689" i="7941"/>
  <c r="J505" i="7941"/>
  <c r="J737" i="18"/>
  <c r="J11" i="7941"/>
  <c r="I237" i="7941"/>
  <c r="J744" i="18"/>
  <c r="J996" i="18"/>
  <c r="J507" i="7941"/>
  <c r="I691" i="7941"/>
  <c r="J1013" i="18"/>
  <c r="I238" i="7941"/>
  <c r="J12" i="7941"/>
  <c r="J1009" i="18"/>
  <c r="J518" i="7941"/>
  <c r="I702" i="7941"/>
  <c r="I255" i="7941"/>
  <c r="I260" i="7941"/>
  <c r="J757" i="18"/>
  <c r="J1005" i="18"/>
  <c r="J739" i="18"/>
  <c r="I261" i="7941"/>
  <c r="I249" i="7941"/>
  <c r="I676" i="7941"/>
  <c r="J492" i="7941"/>
  <c r="I247" i="7941"/>
  <c r="J21" i="7941"/>
  <c r="J1006" i="18"/>
  <c r="I258" i="7941"/>
  <c r="J736" i="18"/>
  <c r="I254" i="7941"/>
  <c r="I692" i="7941"/>
  <c r="J508" i="7941"/>
  <c r="I244" i="7941"/>
  <c r="J18" i="7941"/>
  <c r="I245" i="7941"/>
  <c r="J19" i="7941"/>
  <c r="J1011" i="18"/>
  <c r="J753" i="18"/>
  <c r="J536" i="18"/>
  <c r="I700" i="7941"/>
  <c r="J516" i="7941"/>
  <c r="I694" i="7941"/>
  <c r="J510" i="7941"/>
  <c r="I251" i="7941"/>
  <c r="J731" i="18"/>
  <c r="J728" i="18"/>
  <c r="J1003" i="18"/>
  <c r="J16" i="7941"/>
  <c r="I242" i="7941"/>
  <c r="J514" i="7941"/>
  <c r="I698" i="7941"/>
  <c r="J732" i="18"/>
  <c r="I704" i="7941"/>
  <c r="J520" i="7941"/>
  <c r="J1014" i="18"/>
  <c r="J749" i="18"/>
  <c r="J754" i="18"/>
  <c r="J512" i="7941"/>
  <c r="I696" i="7941"/>
  <c r="I252" i="7941"/>
  <c r="J742" i="18"/>
  <c r="J740" i="18"/>
  <c r="J755" i="18"/>
  <c r="J1007" i="18"/>
  <c r="J743" i="18"/>
  <c r="I239" i="7941"/>
  <c r="J13" i="7941"/>
  <c r="J741" i="18"/>
  <c r="I253" i="7941"/>
  <c r="J752" i="18"/>
  <c r="Q192" i="18"/>
  <c r="J17" i="7941"/>
  <c r="I243" i="7941"/>
  <c r="J1015" i="18"/>
  <c r="I234" i="7941"/>
  <c r="J8" i="7941"/>
  <c r="J999" i="18"/>
  <c r="J1017" i="18"/>
  <c r="I250" i="7941"/>
  <c r="J500" i="7941"/>
  <c r="I684" i="7941"/>
  <c r="J517" i="7941"/>
  <c r="I701" i="7941"/>
  <c r="J998" i="18"/>
  <c r="I697" i="7941"/>
  <c r="J513" i="7941"/>
  <c r="J748" i="18"/>
  <c r="J1004" i="18"/>
  <c r="J738" i="18"/>
  <c r="I263" i="7941"/>
  <c r="J509" i="7941"/>
  <c r="I693" i="7941"/>
  <c r="P152" i="7942"/>
  <c r="P153" i="7942" s="1"/>
  <c r="Q741" i="7941"/>
  <c r="Q299" i="7941"/>
  <c r="O153" i="7942"/>
  <c r="Q745" i="7941"/>
  <c r="Q303" i="7941"/>
  <c r="Q323" i="7941"/>
  <c r="Q765" i="7941"/>
  <c r="Q124" i="7942"/>
  <c r="Q125" i="7942" s="1"/>
  <c r="Q113" i="7942"/>
  <c r="P481" i="7942" l="1"/>
  <c r="Q316" i="7941"/>
  <c r="P271" i="7942"/>
  <c r="P272" i="7942" s="1"/>
  <c r="Q271" i="7942"/>
  <c r="Q272" i="7942" s="1"/>
  <c r="Q363" i="7941" s="1"/>
  <c r="N473" i="7942"/>
  <c r="P472" i="7942"/>
  <c r="Q489" i="7942"/>
  <c r="Q455" i="7941" s="1"/>
  <c r="P489" i="7942"/>
  <c r="Q464" i="7942"/>
  <c r="P465" i="7942" s="1"/>
  <c r="N483" i="7942"/>
  <c r="P482" i="7942"/>
  <c r="O479" i="7942"/>
  <c r="Q478" i="7942"/>
  <c r="O471" i="7942"/>
  <c r="Q470" i="7942"/>
  <c r="O430" i="7942"/>
  <c r="P430" i="7942" s="1"/>
  <c r="N429" i="7942"/>
  <c r="M490" i="7942" s="1"/>
  <c r="O117" i="7942"/>
  <c r="Q442" i="7942"/>
  <c r="Q443" i="7942" s="1"/>
  <c r="Q432" i="7941" s="1"/>
  <c r="O432" i="7942"/>
  <c r="N433" i="7942" s="1"/>
  <c r="O697" i="18"/>
  <c r="Q750" i="7941"/>
  <c r="Q308" i="7941"/>
  <c r="Q457" i="7942"/>
  <c r="Q439" i="7941" s="1"/>
  <c r="P434" i="7942"/>
  <c r="O435" i="7942" s="1"/>
  <c r="N435" i="7942"/>
  <c r="N437" i="7942"/>
  <c r="P436" i="7942"/>
  <c r="O437" i="7942" s="1"/>
  <c r="Q764" i="7941"/>
  <c r="Q146" i="7942"/>
  <c r="Q147" i="7942" s="1"/>
  <c r="Q317" i="7941" s="1"/>
  <c r="P138" i="7942"/>
  <c r="P139" i="7942" s="1"/>
  <c r="O957" i="18"/>
  <c r="Q101" i="18"/>
  <c r="Q957" i="18" s="1"/>
  <c r="P469" i="7942"/>
  <c r="N14" i="7946"/>
  <c r="Q130" i="7942"/>
  <c r="Q131" i="7942" s="1"/>
  <c r="Q309" i="7941" s="1"/>
  <c r="K769" i="18"/>
  <c r="K995" i="18" s="1"/>
  <c r="K833" i="18" s="1"/>
  <c r="J683" i="7941"/>
  <c r="N108" i="7942"/>
  <c r="N107" i="7942" s="1"/>
  <c r="N168" i="7942" s="1"/>
  <c r="M109" i="7942"/>
  <c r="P303" i="7942"/>
  <c r="P304" i="7942" s="1"/>
  <c r="O163" i="7942"/>
  <c r="N15" i="7944"/>
  <c r="O15" i="7944" s="1"/>
  <c r="P451" i="7942"/>
  <c r="O147" i="7942"/>
  <c r="P147" i="7942"/>
  <c r="Q767" i="7941"/>
  <c r="O257" i="18"/>
  <c r="P257" i="18" s="1"/>
  <c r="Q257" i="18" s="1"/>
  <c r="P958" i="18"/>
  <c r="Q201" i="18"/>
  <c r="P701" i="18"/>
  <c r="P698" i="18"/>
  <c r="P163" i="7942"/>
  <c r="P313" i="7942"/>
  <c r="P314" i="7942" s="1"/>
  <c r="Q270" i="7942"/>
  <c r="Q362" i="7941" s="1"/>
  <c r="P697" i="18"/>
  <c r="J214" i="7947"/>
  <c r="J218" i="7947" s="1"/>
  <c r="J220" i="7947" s="1"/>
  <c r="K217" i="7947" s="1"/>
  <c r="Q311" i="7941"/>
  <c r="Q753" i="7941"/>
  <c r="P426" i="18"/>
  <c r="Q426" i="18" s="1"/>
  <c r="Q279" i="18"/>
  <c r="Q441" i="7942"/>
  <c r="Q431" i="7941" s="1"/>
  <c r="P441" i="7942"/>
  <c r="Q343" i="18"/>
  <c r="P452" i="18"/>
  <c r="Q452" i="18" s="1"/>
  <c r="Q315" i="7941"/>
  <c r="Q757" i="7941"/>
  <c r="J142" i="7947"/>
  <c r="J182" i="7947" s="1"/>
  <c r="J226" i="7947" s="1"/>
  <c r="J136" i="7947"/>
  <c r="O59" i="18"/>
  <c r="P280" i="18"/>
  <c r="Q280" i="18" s="1"/>
  <c r="K219" i="7947"/>
  <c r="K212" i="7947"/>
  <c r="K214" i="7947" s="1"/>
  <c r="K218" i="7947" s="1"/>
  <c r="P215" i="18"/>
  <c r="Q215" i="18" s="1"/>
  <c r="O54" i="18"/>
  <c r="P410" i="18"/>
  <c r="Q410" i="18" s="1"/>
  <c r="O69" i="18"/>
  <c r="P409" i="18"/>
  <c r="P293" i="18"/>
  <c r="Q293" i="18" s="1"/>
  <c r="O60" i="18"/>
  <c r="O525" i="18"/>
  <c r="O63" i="7941" s="1"/>
  <c r="O12" i="18"/>
  <c r="O173" i="1"/>
  <c r="E155" i="7945"/>
  <c r="N804" i="18"/>
  <c r="N534" i="7941" s="1"/>
  <c r="N821" i="18"/>
  <c r="N551" i="7941" s="1"/>
  <c r="E393" i="7945"/>
  <c r="E239" i="7945"/>
  <c r="F239" i="7945" s="1"/>
  <c r="N810" i="18"/>
  <c r="N540" i="7941" s="1"/>
  <c r="E253" i="7945"/>
  <c r="N811" i="18"/>
  <c r="N541" i="7941" s="1"/>
  <c r="E197" i="7945"/>
  <c r="F197" i="7945" s="1"/>
  <c r="N807" i="18"/>
  <c r="N537" i="7941" s="1"/>
  <c r="N794" i="18"/>
  <c r="E15" i="7945"/>
  <c r="F15" i="7945" s="1"/>
  <c r="N43" i="18"/>
  <c r="E85" i="7945"/>
  <c r="F85" i="7945" s="1"/>
  <c r="N799" i="18"/>
  <c r="N529" i="7941" s="1"/>
  <c r="P703" i="18"/>
  <c r="P963" i="18"/>
  <c r="O62" i="18"/>
  <c r="P319" i="18"/>
  <c r="Q319" i="18" s="1"/>
  <c r="O503" i="18"/>
  <c r="O41" i="7941" s="1"/>
  <c r="O64" i="18"/>
  <c r="P345" i="18"/>
  <c r="Q345" i="18" s="1"/>
  <c r="P344" i="18"/>
  <c r="O508" i="18"/>
  <c r="O46" i="7941" s="1"/>
  <c r="O53" i="18"/>
  <c r="P202" i="18"/>
  <c r="Q202" i="18" s="1"/>
  <c r="O45" i="18"/>
  <c r="P98" i="18"/>
  <c r="Q98" i="18"/>
  <c r="O55" i="18"/>
  <c r="P228" i="18"/>
  <c r="Q228" i="18" s="1"/>
  <c r="O56" i="18"/>
  <c r="P241" i="18"/>
  <c r="Q241" i="18" s="1"/>
  <c r="O796" i="18"/>
  <c r="O526" i="7941" s="1"/>
  <c r="E44" i="7945"/>
  <c r="O524" i="18"/>
  <c r="O62" i="7941" s="1"/>
  <c r="O48" i="18"/>
  <c r="P137" i="18"/>
  <c r="Q137" i="18"/>
  <c r="O522" i="18"/>
  <c r="O60" i="7941" s="1"/>
  <c r="O530" i="18"/>
  <c r="O68" i="7941" s="1"/>
  <c r="O517" i="18"/>
  <c r="O55" i="7941" s="1"/>
  <c r="M524" i="7941"/>
  <c r="M523" i="7941" s="1"/>
  <c r="M793" i="18"/>
  <c r="Q761" i="7941"/>
  <c r="Q319" i="7941"/>
  <c r="Q114" i="7942"/>
  <c r="Q115" i="7942" s="1"/>
  <c r="P115" i="7942"/>
  <c r="E295" i="7945"/>
  <c r="F295" i="7945" s="1"/>
  <c r="N814" i="18"/>
  <c r="N544" i="7941" s="1"/>
  <c r="F294" i="7945"/>
  <c r="N808" i="18"/>
  <c r="N538" i="7941" s="1"/>
  <c r="E211" i="7945"/>
  <c r="F211" i="7945" s="1"/>
  <c r="O963" i="18"/>
  <c r="O703" i="18"/>
  <c r="K499" i="7941"/>
  <c r="P288" i="7942"/>
  <c r="M501" i="18"/>
  <c r="M40" i="7941"/>
  <c r="M39" i="7941" s="1"/>
  <c r="N819" i="18"/>
  <c r="N549" i="7941" s="1"/>
  <c r="E365" i="7945"/>
  <c r="P383" i="18"/>
  <c r="O67" i="18"/>
  <c r="P384" i="18"/>
  <c r="Q384" i="18" s="1"/>
  <c r="O506" i="18"/>
  <c r="O44" i="7941" s="1"/>
  <c r="P155" i="1"/>
  <c r="P24" i="18" s="1"/>
  <c r="P297" i="1"/>
  <c r="P149" i="1"/>
  <c r="P18" i="18" s="1"/>
  <c r="K122" i="7947"/>
  <c r="P294" i="1"/>
  <c r="P279" i="1"/>
  <c r="P163" i="1"/>
  <c r="P32" i="18" s="1"/>
  <c r="P280" i="1"/>
  <c r="P306" i="1"/>
  <c r="P282" i="1"/>
  <c r="P47" i="18" s="1"/>
  <c r="P171" i="1"/>
  <c r="P40" i="18" s="1"/>
  <c r="P151" i="1"/>
  <c r="P20" i="18" s="1"/>
  <c r="P288" i="1"/>
  <c r="P167" i="1"/>
  <c r="P36" i="18" s="1"/>
  <c r="P152" i="1"/>
  <c r="P21" i="18" s="1"/>
  <c r="P293" i="1"/>
  <c r="P299" i="1"/>
  <c r="P146" i="1"/>
  <c r="P15" i="18" s="1"/>
  <c r="P172" i="1"/>
  <c r="P41" i="18" s="1"/>
  <c r="P298" i="1"/>
  <c r="P169" i="1"/>
  <c r="P38" i="18" s="1"/>
  <c r="P166" i="1"/>
  <c r="P35" i="18" s="1"/>
  <c r="P302" i="1"/>
  <c r="P305" i="1"/>
  <c r="P284" i="1"/>
  <c r="P144" i="1"/>
  <c r="P13" i="18" s="1"/>
  <c r="P157" i="1"/>
  <c r="P26" i="18" s="1"/>
  <c r="P148" i="1"/>
  <c r="P17" i="18" s="1"/>
  <c r="P156" i="1"/>
  <c r="P25" i="18" s="1"/>
  <c r="P147" i="1"/>
  <c r="P16" i="18" s="1"/>
  <c r="P307" i="1"/>
  <c r="P291" i="1"/>
  <c r="P301" i="1"/>
  <c r="P281" i="1"/>
  <c r="P46" i="18" s="1"/>
  <c r="K192" i="7947"/>
  <c r="P143" i="1"/>
  <c r="P286" i="1"/>
  <c r="P150" i="1"/>
  <c r="P19" i="18" s="1"/>
  <c r="P289" i="1"/>
  <c r="P145" i="1"/>
  <c r="P14" i="18" s="1"/>
  <c r="P160" i="1"/>
  <c r="P29" i="18" s="1"/>
  <c r="P158" i="1"/>
  <c r="P27" i="18" s="1"/>
  <c r="P283" i="1"/>
  <c r="P165" i="1"/>
  <c r="P34" i="18" s="1"/>
  <c r="P7" i="18"/>
  <c r="P290" i="1"/>
  <c r="P162" i="1"/>
  <c r="P31" i="18" s="1"/>
  <c r="P303" i="1"/>
  <c r="P304" i="1"/>
  <c r="P170" i="1"/>
  <c r="P39" i="18" s="1"/>
  <c r="P296" i="1"/>
  <c r="P154" i="1"/>
  <c r="P23" i="18" s="1"/>
  <c r="P287" i="1"/>
  <c r="P168" i="1"/>
  <c r="P37" i="18" s="1"/>
  <c r="P295" i="1"/>
  <c r="P159" i="1"/>
  <c r="P28" i="18" s="1"/>
  <c r="P161" i="1"/>
  <c r="P30" i="18" s="1"/>
  <c r="P520" i="18" s="1"/>
  <c r="P58" i="7941" s="1"/>
  <c r="P164" i="1"/>
  <c r="P33" i="18" s="1"/>
  <c r="P153" i="1"/>
  <c r="P22" i="18" s="1"/>
  <c r="P285" i="1"/>
  <c r="P292" i="1"/>
  <c r="P300" i="1"/>
  <c r="P308" i="1"/>
  <c r="O509" i="18"/>
  <c r="O47" i="7941" s="1"/>
  <c r="P436" i="18"/>
  <c r="Q436" i="18" s="1"/>
  <c r="O71" i="18"/>
  <c r="P435" i="18"/>
  <c r="P396" i="18"/>
  <c r="P397" i="18"/>
  <c r="Q397" i="18" s="1"/>
  <c r="O68" i="18"/>
  <c r="O504" i="18"/>
  <c r="O42" i="7941" s="1"/>
  <c r="O531" i="18"/>
  <c r="O69" i="7941" s="1"/>
  <c r="O527" i="18"/>
  <c r="O65" i="7941" s="1"/>
  <c r="P358" i="18"/>
  <c r="Q358" i="18" s="1"/>
  <c r="O65" i="18"/>
  <c r="P357" i="18"/>
  <c r="O520" i="18"/>
  <c r="O58" i="7941" s="1"/>
  <c r="O523" i="18"/>
  <c r="O61" i="7941" s="1"/>
  <c r="O516" i="18"/>
  <c r="O54" i="7941" s="1"/>
  <c r="O52" i="18"/>
  <c r="P189" i="18"/>
  <c r="Q189" i="18" s="1"/>
  <c r="O61" i="18"/>
  <c r="P306" i="18"/>
  <c r="Q306" i="18" s="1"/>
  <c r="O514" i="18"/>
  <c r="O52" i="7941" s="1"/>
  <c r="O956" i="18"/>
  <c r="P88" i="18"/>
  <c r="O696" i="18"/>
  <c r="F14" i="7945"/>
  <c r="Q287" i="7942"/>
  <c r="Q288" i="7942" s="1"/>
  <c r="Q371" i="7941" s="1"/>
  <c r="E337" i="7945"/>
  <c r="N817" i="18"/>
  <c r="N547" i="7941" s="1"/>
  <c r="E379" i="7945"/>
  <c r="N820" i="18"/>
  <c r="N550" i="7941" s="1"/>
  <c r="N809" i="18"/>
  <c r="N539" i="7941" s="1"/>
  <c r="E225" i="7945"/>
  <c r="N208" i="7947"/>
  <c r="O208" i="7947" s="1"/>
  <c r="N806" i="18"/>
  <c r="N536" i="7941" s="1"/>
  <c r="E183" i="7945"/>
  <c r="F183" i="7945" s="1"/>
  <c r="Q253" i="18"/>
  <c r="Q227" i="18"/>
  <c r="P460" i="18"/>
  <c r="Q460" i="18" s="1"/>
  <c r="N823" i="18"/>
  <c r="N553" i="7941" s="1"/>
  <c r="E421" i="7945"/>
  <c r="O288" i="7942"/>
  <c r="N798" i="18"/>
  <c r="N528" i="7941" s="1"/>
  <c r="E71" i="7945"/>
  <c r="E267" i="7945"/>
  <c r="N812" i="18"/>
  <c r="N542" i="7941" s="1"/>
  <c r="N801" i="18"/>
  <c r="N531" i="7941" s="1"/>
  <c r="E113" i="7945"/>
  <c r="F113" i="7945" s="1"/>
  <c r="N502" i="18"/>
  <c r="N11" i="18"/>
  <c r="E407" i="7945"/>
  <c r="N822" i="18"/>
  <c r="N552" i="7941" s="1"/>
  <c r="O797" i="18"/>
  <c r="O527" i="7941" s="1"/>
  <c r="E58" i="7945"/>
  <c r="O58" i="18"/>
  <c r="P267" i="18"/>
  <c r="Q267" i="18" s="1"/>
  <c r="F196" i="7945"/>
  <c r="E309" i="7945"/>
  <c r="F309" i="7945" s="1"/>
  <c r="N815" i="18"/>
  <c r="N545" i="7941" s="1"/>
  <c r="E169" i="7945"/>
  <c r="N805" i="18"/>
  <c r="N535" i="7941" s="1"/>
  <c r="Q179" i="18"/>
  <c r="E281" i="7945"/>
  <c r="F281" i="7945" s="1"/>
  <c r="N813" i="18"/>
  <c r="N543" i="7941" s="1"/>
  <c r="O529" i="18"/>
  <c r="O67" i="7941" s="1"/>
  <c r="P422" i="18"/>
  <c r="O70" i="18"/>
  <c r="P423" i="18"/>
  <c r="Q423" i="18" s="1"/>
  <c r="J681" i="7941"/>
  <c r="P324" i="7942"/>
  <c r="P270" i="7942"/>
  <c r="Q324" i="7942"/>
  <c r="Q389" i="7941" s="1"/>
  <c r="Q698" i="18"/>
  <c r="F308" i="7945"/>
  <c r="Q449" i="7942"/>
  <c r="Q435" i="7941" s="1"/>
  <c r="P449" i="7942"/>
  <c r="M209" i="7947"/>
  <c r="N209" i="7947" s="1"/>
  <c r="M211" i="7947"/>
  <c r="N802" i="18"/>
  <c r="N532" i="7941" s="1"/>
  <c r="E127" i="7945"/>
  <c r="O49" i="18"/>
  <c r="P150" i="18"/>
  <c r="Q150" i="18"/>
  <c r="Q85" i="18"/>
  <c r="P85" i="18"/>
  <c r="O309" i="1"/>
  <c r="O44" i="18"/>
  <c r="O512" i="18"/>
  <c r="O50" i="7941" s="1"/>
  <c r="O66" i="18"/>
  <c r="P370" i="18"/>
  <c r="P371" i="18"/>
  <c r="Q371" i="18" s="1"/>
  <c r="K172" i="7947"/>
  <c r="K152" i="7947"/>
  <c r="K151" i="7947" s="1"/>
  <c r="K153" i="7947" s="1"/>
  <c r="L150" i="7947" s="1"/>
  <c r="K177" i="7947"/>
  <c r="K157" i="7947"/>
  <c r="K156" i="7947" s="1"/>
  <c r="K158" i="7947" s="1"/>
  <c r="L155" i="7947" s="1"/>
  <c r="K147" i="7947"/>
  <c r="K146" i="7947" s="1"/>
  <c r="K148" i="7947" s="1"/>
  <c r="L145" i="7947" s="1"/>
  <c r="K162" i="7947"/>
  <c r="K161" i="7947" s="1"/>
  <c r="K163" i="7947" s="1"/>
  <c r="L160" i="7947" s="1"/>
  <c r="K167" i="7947"/>
  <c r="K166" i="7947" s="1"/>
  <c r="K168" i="7947" s="1"/>
  <c r="L165" i="7947" s="1"/>
  <c r="Q176" i="18"/>
  <c r="P176" i="18"/>
  <c r="O51" i="18"/>
  <c r="O510" i="18"/>
  <c r="O48" i="7941" s="1"/>
  <c r="O511" i="18"/>
  <c r="O49" i="7941" s="1"/>
  <c r="P448" i="18"/>
  <c r="O72" i="18"/>
  <c r="P449" i="18"/>
  <c r="Q449" i="18" s="1"/>
  <c r="O63" i="18"/>
  <c r="P332" i="18"/>
  <c r="Q332" i="18" s="1"/>
  <c r="P331" i="18"/>
  <c r="O57" i="18"/>
  <c r="P254" i="18"/>
  <c r="Q254" i="18" s="1"/>
  <c r="P163" i="18"/>
  <c r="Q163" i="18"/>
  <c r="O50" i="18"/>
  <c r="O521" i="18"/>
  <c r="O59" i="7941" s="1"/>
  <c r="O518" i="18"/>
  <c r="O56" i="7941" s="1"/>
  <c r="O519" i="18"/>
  <c r="O57" i="7941" s="1"/>
  <c r="P461" i="18"/>
  <c r="O73" i="18"/>
  <c r="P462" i="18"/>
  <c r="Q462" i="18" s="1"/>
  <c r="Q305" i="18"/>
  <c r="E351" i="7945"/>
  <c r="F351" i="7945" s="1"/>
  <c r="N818" i="18"/>
  <c r="N548" i="7941" s="1"/>
  <c r="N447" i="7942"/>
  <c r="P446" i="7942"/>
  <c r="L210" i="7947"/>
  <c r="O283" i="18"/>
  <c r="E323" i="7945"/>
  <c r="N816" i="18"/>
  <c r="N546" i="7941" s="1"/>
  <c r="E99" i="7945"/>
  <c r="F99" i="7945" s="1"/>
  <c r="N800" i="18"/>
  <c r="N530" i="7941" s="1"/>
  <c r="N967" i="18"/>
  <c r="N978" i="18"/>
  <c r="N970" i="18"/>
  <c r="N977" i="18"/>
  <c r="N719" i="18"/>
  <c r="N709" i="18"/>
  <c r="N714" i="18"/>
  <c r="N982" i="18"/>
  <c r="N964" i="18"/>
  <c r="N710" i="18"/>
  <c r="N969" i="18"/>
  <c r="N720" i="18"/>
  <c r="N706" i="18"/>
  <c r="N721" i="18"/>
  <c r="N705" i="18"/>
  <c r="N724" i="18"/>
  <c r="N974" i="18"/>
  <c r="N725" i="18"/>
  <c r="N704" i="18"/>
  <c r="N972" i="18"/>
  <c r="N980" i="18"/>
  <c r="N718" i="18"/>
  <c r="N723" i="18"/>
  <c r="N971" i="18"/>
  <c r="N973" i="18"/>
  <c r="N708" i="18"/>
  <c r="N716" i="18"/>
  <c r="N966" i="18"/>
  <c r="N713" i="18"/>
  <c r="N975" i="18"/>
  <c r="N985" i="18"/>
  <c r="N983" i="18"/>
  <c r="N979" i="18"/>
  <c r="N984" i="18"/>
  <c r="N717" i="18"/>
  <c r="N981" i="18"/>
  <c r="N711" i="18"/>
  <c r="N712" i="18"/>
  <c r="N715" i="18"/>
  <c r="N707" i="18"/>
  <c r="N722" i="18"/>
  <c r="N965" i="18"/>
  <c r="N976" i="18"/>
  <c r="N968" i="18"/>
  <c r="M206" i="7947"/>
  <c r="E29" i="7945"/>
  <c r="N795" i="18"/>
  <c r="N525" i="7941" s="1"/>
  <c r="E141" i="7945"/>
  <c r="N803" i="18"/>
  <c r="N533" i="7941" s="1"/>
  <c r="Q387" i="18"/>
  <c r="P117" i="7942"/>
  <c r="Q117" i="7942"/>
  <c r="Q302" i="7941" s="1"/>
  <c r="O9" i="7944"/>
  <c r="P9" i="7944" s="1"/>
  <c r="Q958" i="18"/>
  <c r="K765" i="18"/>
  <c r="K991" i="18" s="1"/>
  <c r="K829" i="18" s="1"/>
  <c r="K559" i="7941" s="1"/>
  <c r="J176" i="7947"/>
  <c r="J178" i="7947" s="1"/>
  <c r="K175" i="7947" s="1"/>
  <c r="K27" i="7947"/>
  <c r="K28" i="7947" s="1"/>
  <c r="L26" i="7947" s="1"/>
  <c r="K68" i="7947"/>
  <c r="K69" i="7947" s="1"/>
  <c r="L67" i="7947" s="1"/>
  <c r="J171" i="7947"/>
  <c r="J173" i="7947" s="1"/>
  <c r="K170" i="7947" s="1"/>
  <c r="L92" i="7947"/>
  <c r="L93" i="7947" s="1"/>
  <c r="M91" i="7947" s="1"/>
  <c r="K39" i="7947"/>
  <c r="K40" i="7947" s="1"/>
  <c r="L38" i="7947" s="1"/>
  <c r="J84" i="7947"/>
  <c r="J85" i="7947" s="1"/>
  <c r="K83" i="7947" s="1"/>
  <c r="L80" i="7947"/>
  <c r="L81" i="7947" s="1"/>
  <c r="M79" i="7947" s="1"/>
  <c r="K35" i="7947"/>
  <c r="K36" i="7947" s="1"/>
  <c r="L34" i="7947" s="1"/>
  <c r="K31" i="7947"/>
  <c r="K32" i="7947" s="1"/>
  <c r="L30" i="7947" s="1"/>
  <c r="I827" i="18"/>
  <c r="F140" i="7947"/>
  <c r="E183" i="7947"/>
  <c r="E227" i="7947" s="1"/>
  <c r="E5" i="7947" s="1"/>
  <c r="Q204" i="7947"/>
  <c r="P328" i="7942"/>
  <c r="O205" i="7947"/>
  <c r="K767" i="18"/>
  <c r="G42" i="7947"/>
  <c r="G23" i="7947"/>
  <c r="G43" i="7947" s="1"/>
  <c r="P455" i="7942"/>
  <c r="Q455" i="7942"/>
  <c r="Q438" i="7941" s="1"/>
  <c r="Q445" i="7942"/>
  <c r="Q433" i="7941" s="1"/>
  <c r="P445" i="7942"/>
  <c r="K72" i="7947"/>
  <c r="K73" i="7947" s="1"/>
  <c r="L71" i="7947" s="1"/>
  <c r="Q326" i="7941"/>
  <c r="Q768" i="7941"/>
  <c r="O207" i="7947"/>
  <c r="K88" i="7947"/>
  <c r="K89" i="7947" s="1"/>
  <c r="L87" i="7947" s="1"/>
  <c r="O700" i="18"/>
  <c r="O960" i="18"/>
  <c r="M168" i="7942"/>
  <c r="O12" i="7944"/>
  <c r="K96" i="7947"/>
  <c r="K97" i="7947" s="1"/>
  <c r="L95" i="7947" s="1"/>
  <c r="K100" i="7947"/>
  <c r="K101" i="7947" s="1"/>
  <c r="L99" i="7947" s="1"/>
  <c r="K76" i="7947"/>
  <c r="K77" i="7947" s="1"/>
  <c r="L75" i="7947" s="1"/>
  <c r="N467" i="7942"/>
  <c r="L168" i="7942"/>
  <c r="P140" i="18"/>
  <c r="Q140" i="18" s="1"/>
  <c r="F64" i="7947"/>
  <c r="F104" i="7947" s="1"/>
  <c r="F103" i="7947"/>
  <c r="Q8" i="7944"/>
  <c r="K495" i="7941"/>
  <c r="J679" i="7941"/>
  <c r="P439" i="7942"/>
  <c r="Q439" i="7942"/>
  <c r="Q430" i="7941" s="1"/>
  <c r="K766" i="18"/>
  <c r="K992" i="18" s="1"/>
  <c r="K830" i="18" s="1"/>
  <c r="K560" i="7941" s="1"/>
  <c r="O202" i="7947"/>
  <c r="O268" i="7942"/>
  <c r="O329" i="7942" s="1"/>
  <c r="M699" i="18"/>
  <c r="N127" i="18"/>
  <c r="M959" i="18"/>
  <c r="O461" i="7942"/>
  <c r="Q460" i="7942"/>
  <c r="Q747" i="7941"/>
  <c r="Q305" i="7941"/>
  <c r="K496" i="7941"/>
  <c r="J680" i="7941"/>
  <c r="I535" i="18"/>
  <c r="O136" i="7944"/>
  <c r="J855" i="18"/>
  <c r="J853" i="18"/>
  <c r="J547" i="18"/>
  <c r="J549" i="18"/>
  <c r="J561" i="18"/>
  <c r="J546" i="18"/>
  <c r="J560" i="18"/>
  <c r="J559" i="18"/>
  <c r="J849" i="18"/>
  <c r="J542" i="18"/>
  <c r="J843" i="18"/>
  <c r="J834" i="18"/>
  <c r="J846" i="18"/>
  <c r="J557" i="18"/>
  <c r="J854" i="18"/>
  <c r="J836" i="18"/>
  <c r="J845" i="18"/>
  <c r="J852" i="18"/>
  <c r="J538" i="18"/>
  <c r="J841" i="18"/>
  <c r="J851" i="18"/>
  <c r="J543" i="18"/>
  <c r="J553" i="18"/>
  <c r="J826" i="18"/>
  <c r="J835" i="18"/>
  <c r="J79" i="7941"/>
  <c r="K477" i="18"/>
  <c r="J850" i="18"/>
  <c r="J842" i="18"/>
  <c r="J558" i="18"/>
  <c r="J555" i="18"/>
  <c r="J534" i="18"/>
  <c r="J537" i="18"/>
  <c r="J74" i="7941"/>
  <c r="K472" i="18"/>
  <c r="J545" i="18"/>
  <c r="J563" i="18"/>
  <c r="J550" i="18"/>
  <c r="J552" i="18"/>
  <c r="J838" i="18"/>
  <c r="J840" i="18"/>
  <c r="J562" i="18"/>
  <c r="J556" i="18"/>
  <c r="P133" i="7942"/>
  <c r="Q132" i="7942"/>
  <c r="Q133" i="7942" s="1"/>
  <c r="J558" i="7941"/>
  <c r="K764" i="18"/>
  <c r="J544" i="18"/>
  <c r="J554" i="18"/>
  <c r="J837" i="18"/>
  <c r="J548" i="18"/>
  <c r="J844" i="18"/>
  <c r="J847" i="18"/>
  <c r="J539" i="18"/>
  <c r="J839" i="18"/>
  <c r="J848" i="18"/>
  <c r="J551" i="18"/>
  <c r="Q152" i="7942"/>
  <c r="Q153" i="7942" s="1"/>
  <c r="Q300" i="7941"/>
  <c r="Q742" i="7941"/>
  <c r="Q748" i="7941"/>
  <c r="Q306" i="7941"/>
  <c r="Q465" i="7942" l="1"/>
  <c r="Q443" i="7941" s="1"/>
  <c r="P443" i="7942"/>
  <c r="O473" i="7942"/>
  <c r="Q472" i="7942"/>
  <c r="P479" i="7942"/>
  <c r="Q479" i="7942"/>
  <c r="Q450" i="7941" s="1"/>
  <c r="O483" i="7942"/>
  <c r="Q482" i="7942"/>
  <c r="G24" i="7947"/>
  <c r="P471" i="7942"/>
  <c r="Q471" i="7942"/>
  <c r="Q446" i="7941" s="1"/>
  <c r="Q313" i="7942"/>
  <c r="Q314" i="7942" s="1"/>
  <c r="Q384" i="7941" s="1"/>
  <c r="O431" i="7942"/>
  <c r="N431" i="7942"/>
  <c r="O429" i="7942"/>
  <c r="N490" i="7942" s="1"/>
  <c r="Q430" i="7942"/>
  <c r="Q751" i="7941"/>
  <c r="O725" i="18"/>
  <c r="Q759" i="7941"/>
  <c r="P432" i="7942"/>
  <c r="O433" i="7942" s="1"/>
  <c r="Q138" i="7942"/>
  <c r="Q139" i="7942" s="1"/>
  <c r="Q313" i="7941" s="1"/>
  <c r="O108" i="7942"/>
  <c r="O107" i="7942" s="1"/>
  <c r="Q436" i="7942"/>
  <c r="Q434" i="7942"/>
  <c r="N109" i="7942"/>
  <c r="P268" i="7942"/>
  <c r="P329" i="7942" s="1"/>
  <c r="Q697" i="18"/>
  <c r="Q303" i="7942"/>
  <c r="Q304" i="7942" s="1"/>
  <c r="Q379" i="7941" s="1"/>
  <c r="K220" i="7947"/>
  <c r="L217" i="7947" s="1"/>
  <c r="Q744" i="7941"/>
  <c r="P15" i="7944"/>
  <c r="Q15" i="7944" s="1"/>
  <c r="R15" i="7944" s="1"/>
  <c r="P512" i="18"/>
  <c r="P50" i="7941" s="1"/>
  <c r="P521" i="18"/>
  <c r="P59" i="7941" s="1"/>
  <c r="P516" i="18"/>
  <c r="P54" i="7941" s="1"/>
  <c r="P531" i="18"/>
  <c r="P69" i="7941" s="1"/>
  <c r="P514" i="18"/>
  <c r="P52" i="7941" s="1"/>
  <c r="O709" i="18"/>
  <c r="P518" i="18"/>
  <c r="P56" i="7941" s="1"/>
  <c r="P513" i="18"/>
  <c r="P51" i="7941" s="1"/>
  <c r="P524" i="18"/>
  <c r="P62" i="7941" s="1"/>
  <c r="P504" i="18"/>
  <c r="P42" i="7941" s="1"/>
  <c r="P507" i="18"/>
  <c r="P45" i="7941" s="1"/>
  <c r="P510" i="18"/>
  <c r="P48" i="7941" s="1"/>
  <c r="P523" i="18"/>
  <c r="P61" i="7941" s="1"/>
  <c r="P527" i="18"/>
  <c r="P65" i="7941" s="1"/>
  <c r="P529" i="18"/>
  <c r="P67" i="7941" s="1"/>
  <c r="P517" i="18"/>
  <c r="P55" i="7941" s="1"/>
  <c r="P509" i="18"/>
  <c r="P47" i="7941" s="1"/>
  <c r="P506" i="18"/>
  <c r="P44" i="7941" s="1"/>
  <c r="P503" i="18"/>
  <c r="P41" i="7941" s="1"/>
  <c r="P525" i="18"/>
  <c r="P63" i="7941" s="1"/>
  <c r="P505" i="18"/>
  <c r="P43" i="7941" s="1"/>
  <c r="P511" i="18"/>
  <c r="P49" i="7941" s="1"/>
  <c r="P530" i="18"/>
  <c r="P68" i="7941" s="1"/>
  <c r="P522" i="18"/>
  <c r="P60" i="7941" s="1"/>
  <c r="P508" i="18"/>
  <c r="P46" i="7941" s="1"/>
  <c r="P208" i="7947"/>
  <c r="Q208" i="7947" s="1"/>
  <c r="O209" i="7947"/>
  <c r="P209" i="7947" s="1"/>
  <c r="F323" i="7945"/>
  <c r="O823" i="18"/>
  <c r="O553" i="7941" s="1"/>
  <c r="E422" i="7945"/>
  <c r="F422" i="7945" s="1"/>
  <c r="E408" i="7945"/>
  <c r="F408" i="7945" s="1"/>
  <c r="O822" i="18"/>
  <c r="O552" i="7941" s="1"/>
  <c r="O820" i="18"/>
  <c r="O550" i="7941" s="1"/>
  <c r="E380" i="7945"/>
  <c r="F380" i="7945" s="1"/>
  <c r="P73" i="18"/>
  <c r="Q463" i="18"/>
  <c r="Q461" i="18"/>
  <c r="F253" i="7945"/>
  <c r="O11" i="18"/>
  <c r="O502" i="18"/>
  <c r="O804" i="18"/>
  <c r="O534" i="7941" s="1"/>
  <c r="E156" i="7945"/>
  <c r="F156" i="7945" s="1"/>
  <c r="F141" i="7945"/>
  <c r="E100" i="7945"/>
  <c r="O800" i="18"/>
  <c r="O530" i="7941" s="1"/>
  <c r="F169" i="7945"/>
  <c r="F267" i="7945"/>
  <c r="F421" i="7945"/>
  <c r="P55" i="18"/>
  <c r="Q229" i="18"/>
  <c r="O805" i="18"/>
  <c r="O535" i="7941" s="1"/>
  <c r="E170" i="7945"/>
  <c r="F170" i="7945" s="1"/>
  <c r="O795" i="18"/>
  <c r="O525" i="7941" s="1"/>
  <c r="E30" i="7945"/>
  <c r="F30" i="7945" s="1"/>
  <c r="O809" i="18"/>
  <c r="O539" i="7941" s="1"/>
  <c r="E226" i="7945"/>
  <c r="F226" i="7945" s="1"/>
  <c r="P283" i="18"/>
  <c r="O719" i="18"/>
  <c r="O713" i="18"/>
  <c r="O724" i="18"/>
  <c r="O966" i="18"/>
  <c r="O720" i="18"/>
  <c r="O985" i="18"/>
  <c r="O968" i="18"/>
  <c r="O980" i="18"/>
  <c r="O714" i="18"/>
  <c r="O981" i="18"/>
  <c r="O723" i="18"/>
  <c r="O982" i="18"/>
  <c r="O964" i="18"/>
  <c r="O721" i="18"/>
  <c r="O715" i="18"/>
  <c r="O722" i="18"/>
  <c r="O705" i="18"/>
  <c r="O710" i="18"/>
  <c r="O983" i="18"/>
  <c r="O965" i="18"/>
  <c r="O977" i="18"/>
  <c r="O978" i="18"/>
  <c r="O707" i="18"/>
  <c r="O974" i="18"/>
  <c r="O718" i="18"/>
  <c r="O975" i="18"/>
  <c r="O712" i="18"/>
  <c r="O717" i="18"/>
  <c r="O716" i="18"/>
  <c r="O973" i="18"/>
  <c r="O970" i="18"/>
  <c r="O971" i="18"/>
  <c r="O706" i="18"/>
  <c r="O972" i="18"/>
  <c r="O976" i="18"/>
  <c r="O979" i="18"/>
  <c r="O711" i="18"/>
  <c r="O969" i="18"/>
  <c r="O708" i="18"/>
  <c r="O704" i="18"/>
  <c r="O967" i="18"/>
  <c r="O984" i="18"/>
  <c r="E198" i="7945"/>
  <c r="F198" i="7945" s="1"/>
  <c r="O807" i="18"/>
  <c r="O537" i="7941" s="1"/>
  <c r="F127" i="7945"/>
  <c r="Q703" i="18"/>
  <c r="Q963" i="18"/>
  <c r="F71" i="7945"/>
  <c r="F225" i="7945"/>
  <c r="Q255" i="18"/>
  <c r="P57" i="18"/>
  <c r="P52" i="18"/>
  <c r="Q190" i="18"/>
  <c r="Q411" i="18"/>
  <c r="Q409" i="18"/>
  <c r="P69" i="18"/>
  <c r="P519" i="18"/>
  <c r="P57" i="7941" s="1"/>
  <c r="P51" i="18"/>
  <c r="Q177" i="18"/>
  <c r="Q370" i="18"/>
  <c r="P66" i="18"/>
  <c r="Q372" i="18"/>
  <c r="P515" i="18"/>
  <c r="P53" i="7941" s="1"/>
  <c r="P49" i="18"/>
  <c r="Q151" i="18"/>
  <c r="P528" i="18"/>
  <c r="P66" i="7941" s="1"/>
  <c r="Q169" i="1"/>
  <c r="Q38" i="18" s="1"/>
  <c r="Q291" i="1"/>
  <c r="Q56" i="18" s="1"/>
  <c r="Q290" i="1"/>
  <c r="Q55" i="18" s="1"/>
  <c r="Q299" i="1"/>
  <c r="Q64" i="18" s="1"/>
  <c r="Q303" i="1"/>
  <c r="Q68" i="18" s="1"/>
  <c r="Q305" i="1"/>
  <c r="Q70" i="18" s="1"/>
  <c r="Q167" i="1"/>
  <c r="Q36" i="18" s="1"/>
  <c r="Q155" i="1"/>
  <c r="Q24" i="18" s="1"/>
  <c r="Q161" i="1"/>
  <c r="Q30" i="18" s="1"/>
  <c r="Q289" i="1"/>
  <c r="Q54" i="18" s="1"/>
  <c r="Q149" i="1"/>
  <c r="Q18" i="18" s="1"/>
  <c r="Q158" i="1"/>
  <c r="Q27" i="18" s="1"/>
  <c r="Q150" i="1"/>
  <c r="Q19" i="18" s="1"/>
  <c r="Q159" i="1"/>
  <c r="Q28" i="18" s="1"/>
  <c r="Q292" i="1"/>
  <c r="Q57" i="18" s="1"/>
  <c r="Q152" i="1"/>
  <c r="Q21" i="18" s="1"/>
  <c r="Q144" i="1"/>
  <c r="Q13" i="18" s="1"/>
  <c r="Q151" i="1"/>
  <c r="Q20" i="18" s="1"/>
  <c r="Q295" i="1"/>
  <c r="Q60" i="18" s="1"/>
  <c r="Q166" i="1"/>
  <c r="Q35" i="18" s="1"/>
  <c r="Q147" i="1"/>
  <c r="Q16" i="18" s="1"/>
  <c r="Q280" i="1"/>
  <c r="Q45" i="18" s="1"/>
  <c r="Q156" i="1"/>
  <c r="Q25" i="18" s="1"/>
  <c r="Q288" i="1"/>
  <c r="Q53" i="18" s="1"/>
  <c r="Q163" i="1"/>
  <c r="Q32" i="18" s="1"/>
  <c r="Q301" i="1"/>
  <c r="Q66" i="18" s="1"/>
  <c r="Q308" i="1"/>
  <c r="Q73" i="18" s="1"/>
  <c r="Q162" i="1"/>
  <c r="Q31" i="18" s="1"/>
  <c r="Q285" i="1"/>
  <c r="Q50" i="18" s="1"/>
  <c r="Q7" i="18"/>
  <c r="Q157" i="1"/>
  <c r="Q26" i="18" s="1"/>
  <c r="Q160" i="1"/>
  <c r="Q29" i="18" s="1"/>
  <c r="Q297" i="1"/>
  <c r="Q62" i="18" s="1"/>
  <c r="Q298" i="1"/>
  <c r="Q63" i="18" s="1"/>
  <c r="Q148" i="1"/>
  <c r="Q17" i="18" s="1"/>
  <c r="Q282" i="1"/>
  <c r="Q47" i="18" s="1"/>
  <c r="Q284" i="1"/>
  <c r="Q49" i="18" s="1"/>
  <c r="Q294" i="1"/>
  <c r="Q59" i="18" s="1"/>
  <c r="Q296" i="1"/>
  <c r="Q61" i="18" s="1"/>
  <c r="Q154" i="1"/>
  <c r="Q23" i="18" s="1"/>
  <c r="Q304" i="1"/>
  <c r="Q69" i="18" s="1"/>
  <c r="Q286" i="1"/>
  <c r="Q51" i="18" s="1"/>
  <c r="Q170" i="1"/>
  <c r="Q39" i="18" s="1"/>
  <c r="Q306" i="1"/>
  <c r="Q71" i="18" s="1"/>
  <c r="Q165" i="1"/>
  <c r="Q34" i="18" s="1"/>
  <c r="Q164" i="1"/>
  <c r="Q33" i="18" s="1"/>
  <c r="Q523" i="18" s="1"/>
  <c r="Q61" i="7941" s="1"/>
  <c r="Q293" i="1"/>
  <c r="Q58" i="18" s="1"/>
  <c r="Q302" i="1"/>
  <c r="Q67" i="18" s="1"/>
  <c r="Q146" i="1"/>
  <c r="Q15" i="18" s="1"/>
  <c r="Q153" i="1"/>
  <c r="Q22" i="18" s="1"/>
  <c r="Q512" i="18" s="1"/>
  <c r="Q50" i="7941" s="1"/>
  <c r="Q172" i="1"/>
  <c r="Q41" i="18" s="1"/>
  <c r="L192" i="7947"/>
  <c r="Q287" i="1"/>
  <c r="Q52" i="18" s="1"/>
  <c r="Q283" i="1"/>
  <c r="Q48" i="18" s="1"/>
  <c r="Q171" i="1"/>
  <c r="Q40" i="18" s="1"/>
  <c r="Q307" i="1"/>
  <c r="Q72" i="18" s="1"/>
  <c r="Q281" i="1"/>
  <c r="Q46" i="18" s="1"/>
  <c r="Q143" i="1"/>
  <c r="L122" i="7947"/>
  <c r="Q300" i="1"/>
  <c r="Q65" i="18" s="1"/>
  <c r="Q279" i="1"/>
  <c r="Q145" i="1"/>
  <c r="Q14" i="18" s="1"/>
  <c r="Q504" i="18" s="1"/>
  <c r="Q42" i="7941" s="1"/>
  <c r="Q168" i="1"/>
  <c r="Q37" i="18" s="1"/>
  <c r="Q701" i="18"/>
  <c r="Q961" i="18"/>
  <c r="P526" i="18"/>
  <c r="P64" i="7941" s="1"/>
  <c r="P797" i="18"/>
  <c r="P527" i="7941" s="1"/>
  <c r="E59" i="7945"/>
  <c r="P309" i="1"/>
  <c r="Q86" i="18"/>
  <c r="P44" i="18"/>
  <c r="Q320" i="18"/>
  <c r="P62" i="18"/>
  <c r="E338" i="7945"/>
  <c r="F338" i="7945" s="1"/>
  <c r="O817" i="18"/>
  <c r="O547" i="7941" s="1"/>
  <c r="E72" i="7945"/>
  <c r="F72" i="7945" s="1"/>
  <c r="O798" i="18"/>
  <c r="O528" i="7941" s="1"/>
  <c r="N524" i="7941"/>
  <c r="N523" i="7941" s="1"/>
  <c r="N793" i="18"/>
  <c r="F155" i="7945"/>
  <c r="E240" i="7945"/>
  <c r="O810" i="18"/>
  <c r="O540" i="7941" s="1"/>
  <c r="E366" i="7945"/>
  <c r="F366" i="7945" s="1"/>
  <c r="O819" i="18"/>
  <c r="O549" i="7941" s="1"/>
  <c r="O447" i="7942"/>
  <c r="Q446" i="7942"/>
  <c r="E114" i="7945"/>
  <c r="O801" i="18"/>
  <c r="O531" i="7941" s="1"/>
  <c r="K136" i="7947"/>
  <c r="K142" i="7947"/>
  <c r="K182" i="7947" s="1"/>
  <c r="K226" i="7947" s="1"/>
  <c r="E212" i="7945"/>
  <c r="F212" i="7945" s="1"/>
  <c r="O808" i="18"/>
  <c r="O538" i="7941" s="1"/>
  <c r="O815" i="18"/>
  <c r="O545" i="7941" s="1"/>
  <c r="E310" i="7945"/>
  <c r="P60" i="18"/>
  <c r="Q294" i="18"/>
  <c r="P61" i="18"/>
  <c r="Q307" i="18"/>
  <c r="Q138" i="18"/>
  <c r="P48" i="18"/>
  <c r="P54" i="18"/>
  <c r="Q216" i="18"/>
  <c r="L219" i="7947"/>
  <c r="L213" i="7947"/>
  <c r="Q450" i="18"/>
  <c r="Q448" i="18"/>
  <c r="P72" i="18"/>
  <c r="Q385" i="18"/>
  <c r="P67" i="18"/>
  <c r="Q383" i="18"/>
  <c r="Q268" i="18"/>
  <c r="P58" i="18"/>
  <c r="Q99" i="18"/>
  <c r="P45" i="18"/>
  <c r="L147" i="7947"/>
  <c r="L146" i="7947" s="1"/>
  <c r="L148" i="7947" s="1"/>
  <c r="M145" i="7947" s="1"/>
  <c r="L172" i="7947"/>
  <c r="L177" i="7947"/>
  <c r="L167" i="7947"/>
  <c r="L166" i="7947" s="1"/>
  <c r="L168" i="7947" s="1"/>
  <c r="M165" i="7947" s="1"/>
  <c r="L162" i="7947"/>
  <c r="L161" i="7947" s="1"/>
  <c r="L163" i="7947" s="1"/>
  <c r="M160" i="7947" s="1"/>
  <c r="L157" i="7947"/>
  <c r="L156" i="7947" s="1"/>
  <c r="L158" i="7947" s="1"/>
  <c r="M155" i="7947" s="1"/>
  <c r="L152" i="7947"/>
  <c r="L151" i="7947" s="1"/>
  <c r="L153" i="7947" s="1"/>
  <c r="M150" i="7947" s="1"/>
  <c r="F365" i="7945"/>
  <c r="N211" i="7947"/>
  <c r="Q301" i="7941"/>
  <c r="Q743" i="7941"/>
  <c r="O813" i="18"/>
  <c r="O543" i="7941" s="1"/>
  <c r="E282" i="7945"/>
  <c r="F282" i="7945" s="1"/>
  <c r="E324" i="7945"/>
  <c r="F324" i="7945" s="1"/>
  <c r="O816" i="18"/>
  <c r="O546" i="7941" s="1"/>
  <c r="E86" i="7945"/>
  <c r="O799" i="18"/>
  <c r="O529" i="7941" s="1"/>
  <c r="N206" i="7947"/>
  <c r="O206" i="7947" s="1"/>
  <c r="F407" i="7945"/>
  <c r="F379" i="7945"/>
  <c r="P696" i="18"/>
  <c r="P956" i="18"/>
  <c r="Q88" i="18"/>
  <c r="E254" i="7945"/>
  <c r="F254" i="7945" s="1"/>
  <c r="O811" i="18"/>
  <c r="O541" i="7941" s="1"/>
  <c r="O818" i="18"/>
  <c r="O548" i="7941" s="1"/>
  <c r="E352" i="7945"/>
  <c r="E394" i="7945"/>
  <c r="F394" i="7945" s="1"/>
  <c r="O821" i="18"/>
  <c r="O551" i="7941" s="1"/>
  <c r="Q359" i="18"/>
  <c r="P65" i="18"/>
  <c r="Q357" i="18"/>
  <c r="P796" i="18"/>
  <c r="P526" i="7941" s="1"/>
  <c r="E45" i="7945"/>
  <c r="F29" i="7945"/>
  <c r="O794" i="18"/>
  <c r="E16" i="7945"/>
  <c r="O43" i="18"/>
  <c r="N501" i="18"/>
  <c r="N40" i="7941"/>
  <c r="N39" i="7941" s="1"/>
  <c r="F337" i="7945"/>
  <c r="O802" i="18"/>
  <c r="O532" i="7941" s="1"/>
  <c r="E128" i="7945"/>
  <c r="F128" i="7945" s="1"/>
  <c r="P50" i="18"/>
  <c r="Q164" i="18"/>
  <c r="Q396" i="18"/>
  <c r="P68" i="18"/>
  <c r="Q398" i="18"/>
  <c r="P173" i="1"/>
  <c r="P12" i="18"/>
  <c r="Q242" i="18"/>
  <c r="P56" i="18"/>
  <c r="Q422" i="18"/>
  <c r="Q424" i="18"/>
  <c r="P70" i="18"/>
  <c r="P63" i="18"/>
  <c r="Q331" i="18"/>
  <c r="Q333" i="18"/>
  <c r="P64" i="18"/>
  <c r="Q344" i="18"/>
  <c r="Q346" i="18"/>
  <c r="P53" i="18"/>
  <c r="Q203" i="18"/>
  <c r="Q435" i="18"/>
  <c r="P71" i="18"/>
  <c r="Q437" i="18"/>
  <c r="P59" i="18"/>
  <c r="Q281" i="18"/>
  <c r="E184" i="7945"/>
  <c r="O806" i="18"/>
  <c r="O536" i="7941" s="1"/>
  <c r="O803" i="18"/>
  <c r="O533" i="7941" s="1"/>
  <c r="E142" i="7945"/>
  <c r="F142" i="7945" s="1"/>
  <c r="E296" i="7945"/>
  <c r="O814" i="18"/>
  <c r="O544" i="7941" s="1"/>
  <c r="E268" i="7945"/>
  <c r="F268" i="7945" s="1"/>
  <c r="O812" i="18"/>
  <c r="O542" i="7941" s="1"/>
  <c r="M210" i="7947"/>
  <c r="F393" i="7945"/>
  <c r="L212" i="7947"/>
  <c r="Q9" i="7944"/>
  <c r="R9" i="7944" s="1"/>
  <c r="L766" i="18"/>
  <c r="L992" i="18" s="1"/>
  <c r="L68" i="7947"/>
  <c r="L69" i="7947" s="1"/>
  <c r="M67" i="7947" s="1"/>
  <c r="L72" i="7947"/>
  <c r="L73" i="7947" s="1"/>
  <c r="M71" i="7947" s="1"/>
  <c r="L39" i="7947"/>
  <c r="L40" i="7947" s="1"/>
  <c r="M38" i="7947" s="1"/>
  <c r="K171" i="7947"/>
  <c r="K173" i="7947" s="1"/>
  <c r="L170" i="7947" s="1"/>
  <c r="L96" i="7947"/>
  <c r="L97" i="7947" s="1"/>
  <c r="M95" i="7947" s="1"/>
  <c r="L88" i="7947"/>
  <c r="L89" i="7947" s="1"/>
  <c r="M87" i="7947" s="1"/>
  <c r="M80" i="7947"/>
  <c r="M81" i="7947" s="1"/>
  <c r="N79" i="7947" s="1"/>
  <c r="L27" i="7947"/>
  <c r="L28" i="7947" s="1"/>
  <c r="M26" i="7947" s="1"/>
  <c r="L76" i="7947"/>
  <c r="L77" i="7947" s="1"/>
  <c r="M75" i="7947" s="1"/>
  <c r="K84" i="7947"/>
  <c r="K85" i="7947" s="1"/>
  <c r="L83" i="7947" s="1"/>
  <c r="K176" i="7947"/>
  <c r="K178" i="7947" s="1"/>
  <c r="L175" i="7947" s="1"/>
  <c r="H22" i="7947"/>
  <c r="G44" i="7947"/>
  <c r="R204" i="7947"/>
  <c r="L35" i="7947"/>
  <c r="L36" i="7947" s="1"/>
  <c r="M34" i="7947" s="1"/>
  <c r="I73" i="7941"/>
  <c r="J471" i="18"/>
  <c r="Q461" i="7942"/>
  <c r="Q441" i="7941" s="1"/>
  <c r="P461" i="7942"/>
  <c r="O127" i="18"/>
  <c r="P127" i="18" s="1"/>
  <c r="N959" i="18"/>
  <c r="N699" i="18"/>
  <c r="L495" i="7941"/>
  <c r="M495" i="7941" s="1"/>
  <c r="N495" i="7941" s="1"/>
  <c r="P700" i="18"/>
  <c r="P960" i="18"/>
  <c r="O467" i="7942"/>
  <c r="P12" i="7944"/>
  <c r="F141" i="7947"/>
  <c r="F181" i="7947" s="1"/>
  <c r="F180" i="7947"/>
  <c r="F224" i="7947" s="1"/>
  <c r="M92" i="7947"/>
  <c r="M93" i="7947" s="1"/>
  <c r="N91" i="7947" s="1"/>
  <c r="P202" i="7947"/>
  <c r="F225" i="7947"/>
  <c r="F4" i="7947" s="1"/>
  <c r="K993" i="18"/>
  <c r="Q960" i="18"/>
  <c r="Q700" i="18"/>
  <c r="F65" i="7947"/>
  <c r="L765" i="18"/>
  <c r="L991" i="18" s="1"/>
  <c r="P136" i="7944"/>
  <c r="P205" i="7947"/>
  <c r="I557" i="7941"/>
  <c r="J763" i="18"/>
  <c r="L31" i="7947"/>
  <c r="L32" i="7947" s="1"/>
  <c r="M30" i="7947" s="1"/>
  <c r="R8" i="7944"/>
  <c r="L100" i="7947"/>
  <c r="L101" i="7947" s="1"/>
  <c r="M99" i="7947" s="1"/>
  <c r="K679" i="7941"/>
  <c r="P207" i="7947"/>
  <c r="Q207" i="7947" s="1"/>
  <c r="R207" i="7947" s="1"/>
  <c r="S207" i="7947" s="1"/>
  <c r="T207" i="7947" s="1"/>
  <c r="U207" i="7947" s="1"/>
  <c r="V207" i="7947" s="1"/>
  <c r="W207" i="7947" s="1"/>
  <c r="X207" i="7947" s="1"/>
  <c r="Y207" i="7947" s="1"/>
  <c r="Z207" i="7947" s="1"/>
  <c r="AA207" i="7947" s="1"/>
  <c r="AB207" i="7947" s="1"/>
  <c r="AC207" i="7947" s="1"/>
  <c r="AD207" i="7947" s="1"/>
  <c r="AE207" i="7947" s="1"/>
  <c r="AF207" i="7947" s="1"/>
  <c r="AG207" i="7947" s="1"/>
  <c r="AH207" i="7947" s="1"/>
  <c r="AI207" i="7947" s="1"/>
  <c r="AJ207" i="7947" s="1"/>
  <c r="AK207" i="7947" s="1"/>
  <c r="AL207" i="7947" s="1"/>
  <c r="AM207" i="7947" s="1"/>
  <c r="AN207" i="7947" s="1"/>
  <c r="AO207" i="7947" s="1"/>
  <c r="AP207" i="7947" s="1"/>
  <c r="AQ207" i="7947" s="1"/>
  <c r="AR207" i="7947" s="1"/>
  <c r="AS207" i="7947" s="1"/>
  <c r="AT207" i="7947" s="1"/>
  <c r="AU207" i="7947" s="1"/>
  <c r="AV207" i="7947" s="1"/>
  <c r="AW207" i="7947" s="1"/>
  <c r="AX207" i="7947" s="1"/>
  <c r="AY207" i="7947" s="1"/>
  <c r="AZ207" i="7947" s="1"/>
  <c r="BA207" i="7947" s="1"/>
  <c r="BB207" i="7947" s="1"/>
  <c r="BC207" i="7947" s="1"/>
  <c r="BD207" i="7947" s="1"/>
  <c r="BE207" i="7947" s="1"/>
  <c r="J92" i="7941"/>
  <c r="K28" i="7941" s="1"/>
  <c r="K490" i="18"/>
  <c r="K990" i="18"/>
  <c r="J236" i="7941"/>
  <c r="K10" i="7941"/>
  <c r="J572" i="7941"/>
  <c r="K778" i="18"/>
  <c r="J556" i="7941"/>
  <c r="K762" i="18"/>
  <c r="J89" i="7941"/>
  <c r="K25" i="7941" s="1"/>
  <c r="K487" i="18"/>
  <c r="J569" i="7941"/>
  <c r="K775" i="18"/>
  <c r="J577" i="7941"/>
  <c r="K783" i="18"/>
  <c r="J574" i="7941"/>
  <c r="K780" i="18"/>
  <c r="J678" i="7941"/>
  <c r="K494" i="7941"/>
  <c r="J94" i="7941"/>
  <c r="K30" i="7941" s="1"/>
  <c r="K492" i="18"/>
  <c r="J570" i="7941"/>
  <c r="K776" i="18"/>
  <c r="J88" i="7941"/>
  <c r="K24" i="7941" s="1"/>
  <c r="K486" i="18"/>
  <c r="J83" i="7941"/>
  <c r="K481" i="18"/>
  <c r="J75" i="7941"/>
  <c r="K473" i="18"/>
  <c r="J581" i="7941"/>
  <c r="K787" i="18"/>
  <c r="J564" i="7941"/>
  <c r="K770" i="18"/>
  <c r="J97" i="7941"/>
  <c r="K33" i="7941" s="1"/>
  <c r="K495" i="18"/>
  <c r="J580" i="7941"/>
  <c r="K786" i="18"/>
  <c r="J566" i="7941"/>
  <c r="K772" i="18"/>
  <c r="J95" i="7941"/>
  <c r="K31" i="7941" s="1"/>
  <c r="K493" i="18"/>
  <c r="J99" i="7941"/>
  <c r="K35" i="7941" s="1"/>
  <c r="K497" i="18"/>
  <c r="J93" i="7941"/>
  <c r="K29" i="7941" s="1"/>
  <c r="K491" i="18"/>
  <c r="J565" i="7941"/>
  <c r="K771" i="18"/>
  <c r="J81" i="7941"/>
  <c r="K479" i="18"/>
  <c r="J76" i="7941"/>
  <c r="K474" i="18"/>
  <c r="J575" i="7941"/>
  <c r="K781" i="18"/>
  <c r="J584" i="7941"/>
  <c r="K790" i="18"/>
  <c r="J576" i="7941"/>
  <c r="K782" i="18"/>
  <c r="J573" i="7941"/>
  <c r="K779" i="18"/>
  <c r="J80" i="7941"/>
  <c r="K478" i="18"/>
  <c r="J98" i="7941"/>
  <c r="K34" i="7941" s="1"/>
  <c r="K496" i="18"/>
  <c r="J84" i="7941"/>
  <c r="K482" i="18"/>
  <c r="J87" i="7941"/>
  <c r="K23" i="7941" s="1"/>
  <c r="K485" i="18"/>
  <c r="J583" i="7941"/>
  <c r="K789" i="18"/>
  <c r="J241" i="7941"/>
  <c r="K15" i="7941"/>
  <c r="J582" i="7941"/>
  <c r="K788" i="18"/>
  <c r="J585" i="7941"/>
  <c r="K791" i="18"/>
  <c r="J77" i="7941"/>
  <c r="K475" i="18"/>
  <c r="J82" i="7941"/>
  <c r="K480" i="18"/>
  <c r="J90" i="7941"/>
  <c r="K26" i="7941" s="1"/>
  <c r="K488" i="18"/>
  <c r="J578" i="7941"/>
  <c r="K784" i="18"/>
  <c r="J86" i="7941"/>
  <c r="K22" i="7941" s="1"/>
  <c r="K484" i="18"/>
  <c r="J567" i="7941"/>
  <c r="K773" i="18"/>
  <c r="Q310" i="7941"/>
  <c r="Q752" i="7941"/>
  <c r="J100" i="7941"/>
  <c r="K36" i="7941" s="1"/>
  <c r="K498" i="18"/>
  <c r="J568" i="7941"/>
  <c r="K774" i="18"/>
  <c r="J101" i="7941"/>
  <c r="K37" i="7941" s="1"/>
  <c r="K499" i="18"/>
  <c r="K730" i="18"/>
  <c r="J72" i="7941"/>
  <c r="K470" i="18"/>
  <c r="L496" i="7941"/>
  <c r="K680" i="7941"/>
  <c r="J96" i="7941"/>
  <c r="K32" i="7941" s="1"/>
  <c r="K494" i="18"/>
  <c r="K735" i="18"/>
  <c r="J91" i="7941"/>
  <c r="K27" i="7941" s="1"/>
  <c r="K489" i="18"/>
  <c r="K563" i="7941"/>
  <c r="L769" i="18"/>
  <c r="J571" i="7941"/>
  <c r="K777" i="18"/>
  <c r="J579" i="7941"/>
  <c r="K785" i="18"/>
  <c r="J85" i="7941"/>
  <c r="K483" i="18"/>
  <c r="Q762" i="7941"/>
  <c r="Q320" i="7941"/>
  <c r="Q755" i="7941" l="1"/>
  <c r="P483" i="7942"/>
  <c r="Q483" i="7942"/>
  <c r="Q452" i="7941" s="1"/>
  <c r="Q473" i="7942"/>
  <c r="Q447" i="7941" s="1"/>
  <c r="P473" i="7942"/>
  <c r="P108" i="7942"/>
  <c r="P109" i="7942" s="1"/>
  <c r="P429" i="7942"/>
  <c r="O490" i="7942" s="1"/>
  <c r="Q361" i="7941"/>
  <c r="P431" i="7942"/>
  <c r="Q431" i="7942"/>
  <c r="Q426" i="7941" s="1"/>
  <c r="Q432" i="7942"/>
  <c r="Q429" i="7942" s="1"/>
  <c r="O109" i="7942"/>
  <c r="Q435" i="7942"/>
  <c r="Q428" i="7941" s="1"/>
  <c r="P435" i="7942"/>
  <c r="P437" i="7942"/>
  <c r="Q437" i="7942"/>
  <c r="Q429" i="7941" s="1"/>
  <c r="Q268" i="7942"/>
  <c r="Q329" i="7942" s="1"/>
  <c r="Q524" i="18"/>
  <c r="Q62" i="7941" s="1"/>
  <c r="Q506" i="18"/>
  <c r="Q44" i="7941" s="1"/>
  <c r="Q505" i="18"/>
  <c r="Q43" i="7941" s="1"/>
  <c r="Q522" i="18"/>
  <c r="Q60" i="7941" s="1"/>
  <c r="Q503" i="18"/>
  <c r="Q41" i="7941" s="1"/>
  <c r="Q509" i="18"/>
  <c r="Q47" i="7941" s="1"/>
  <c r="Q520" i="18"/>
  <c r="Q58" i="7941" s="1"/>
  <c r="Q528" i="18"/>
  <c r="Q66" i="7941" s="1"/>
  <c r="Q527" i="18"/>
  <c r="Q65" i="7941" s="1"/>
  <c r="Q530" i="18"/>
  <c r="Q68" i="7941" s="1"/>
  <c r="Q531" i="18"/>
  <c r="Q69" i="7941" s="1"/>
  <c r="Q529" i="18"/>
  <c r="Q67" i="7941" s="1"/>
  <c r="Q507" i="18"/>
  <c r="Q45" i="7941" s="1"/>
  <c r="Q516" i="18"/>
  <c r="Q54" i="7941" s="1"/>
  <c r="Q515" i="18"/>
  <c r="Q53" i="7941" s="1"/>
  <c r="Q508" i="18"/>
  <c r="Q46" i="7941" s="1"/>
  <c r="Q526" i="18"/>
  <c r="Q64" i="7941" s="1"/>
  <c r="E395" i="7945"/>
  <c r="P821" i="18"/>
  <c r="P551" i="7941" s="1"/>
  <c r="M212" i="7947"/>
  <c r="N210" i="7947"/>
  <c r="O210" i="7947" s="1"/>
  <c r="F296" i="7945"/>
  <c r="F184" i="7945"/>
  <c r="E227" i="7945"/>
  <c r="P809" i="18"/>
  <c r="P539" i="7941" s="1"/>
  <c r="P814" i="18"/>
  <c r="P544" i="7941" s="1"/>
  <c r="E297" i="7945"/>
  <c r="F297" i="7945" s="1"/>
  <c r="P820" i="18"/>
  <c r="P550" i="7941" s="1"/>
  <c r="E381" i="7945"/>
  <c r="E353" i="7945"/>
  <c r="F353" i="7945" s="1"/>
  <c r="P818" i="18"/>
  <c r="P548" i="7941" s="1"/>
  <c r="F86" i="7945"/>
  <c r="P808" i="18"/>
  <c r="P538" i="7941" s="1"/>
  <c r="E213" i="7945"/>
  <c r="P804" i="18"/>
  <c r="P534" i="7941" s="1"/>
  <c r="E157" i="7945"/>
  <c r="F157" i="7945" s="1"/>
  <c r="P811" i="18"/>
  <c r="P541" i="7941" s="1"/>
  <c r="E255" i="7945"/>
  <c r="F255" i="7945" s="1"/>
  <c r="Q447" i="7942"/>
  <c r="Q434" i="7941" s="1"/>
  <c r="P447" i="7942"/>
  <c r="F240" i="7945"/>
  <c r="P43" i="18"/>
  <c r="E17" i="7945"/>
  <c r="F17" i="7945" s="1"/>
  <c r="P794" i="18"/>
  <c r="Q44" i="18"/>
  <c r="Q309" i="1"/>
  <c r="E46" i="7945"/>
  <c r="E47" i="7945" s="1"/>
  <c r="F47" i="7945" s="1"/>
  <c r="Q796" i="18"/>
  <c r="Q526" i="7941" s="1"/>
  <c r="E130" i="7945"/>
  <c r="F130" i="7945" s="1"/>
  <c r="Q802" i="18"/>
  <c r="Q532" i="7941" s="1"/>
  <c r="E368" i="7945"/>
  <c r="F368" i="7945" s="1"/>
  <c r="Q819" i="18"/>
  <c r="Q549" i="7941" s="1"/>
  <c r="Q799" i="18"/>
  <c r="Q529" i="7941" s="1"/>
  <c r="E88" i="7945"/>
  <c r="F88" i="7945" s="1"/>
  <c r="E270" i="7945"/>
  <c r="F270" i="7945" s="1"/>
  <c r="Q812" i="18"/>
  <c r="Q542" i="7941" s="1"/>
  <c r="E102" i="7945"/>
  <c r="F102" i="7945" s="1"/>
  <c r="Q800" i="18"/>
  <c r="Q530" i="7941" s="1"/>
  <c r="Q818" i="18"/>
  <c r="Q548" i="7941" s="1"/>
  <c r="E354" i="7945"/>
  <c r="F354" i="7945" s="1"/>
  <c r="P807" i="18"/>
  <c r="P537" i="7941" s="1"/>
  <c r="E199" i="7945"/>
  <c r="P964" i="18"/>
  <c r="P985" i="18"/>
  <c r="P712" i="18"/>
  <c r="P722" i="18"/>
  <c r="P725" i="18"/>
  <c r="P724" i="18"/>
  <c r="P715" i="18"/>
  <c r="P979" i="18"/>
  <c r="P719" i="18"/>
  <c r="P978" i="18"/>
  <c r="P971" i="18"/>
  <c r="P972" i="18"/>
  <c r="P718" i="18"/>
  <c r="P981" i="18"/>
  <c r="P967" i="18"/>
  <c r="P709" i="18"/>
  <c r="P976" i="18"/>
  <c r="P716" i="18"/>
  <c r="P710" i="18"/>
  <c r="P974" i="18"/>
  <c r="P704" i="18"/>
  <c r="P708" i="18"/>
  <c r="P983" i="18"/>
  <c r="P966" i="18"/>
  <c r="P975" i="18"/>
  <c r="Q283" i="18"/>
  <c r="P723" i="18"/>
  <c r="P720" i="18"/>
  <c r="P965" i="18"/>
  <c r="P713" i="18"/>
  <c r="P982" i="18"/>
  <c r="P706" i="18"/>
  <c r="P970" i="18"/>
  <c r="P711" i="18"/>
  <c r="P984" i="18"/>
  <c r="P721" i="18"/>
  <c r="P968" i="18"/>
  <c r="P705" i="18"/>
  <c r="P717" i="18"/>
  <c r="P973" i="18"/>
  <c r="P980" i="18"/>
  <c r="P969" i="18"/>
  <c r="P707" i="18"/>
  <c r="P714" i="18"/>
  <c r="P977" i="18"/>
  <c r="O40" i="7941"/>
  <c r="O39" i="7941" s="1"/>
  <c r="O501" i="18"/>
  <c r="Q209" i="7947"/>
  <c r="P803" i="18"/>
  <c r="P533" i="7941" s="1"/>
  <c r="E143" i="7945"/>
  <c r="P502" i="18"/>
  <c r="P11" i="18"/>
  <c r="F16" i="7945"/>
  <c r="P815" i="18"/>
  <c r="P545" i="7941" s="1"/>
  <c r="E311" i="7945"/>
  <c r="F311" i="7945" s="1"/>
  <c r="F352" i="7945"/>
  <c r="Q696" i="18"/>
  <c r="Q956" i="18"/>
  <c r="P822" i="18"/>
  <c r="P552" i="7941" s="1"/>
  <c r="E409" i="7945"/>
  <c r="P798" i="18"/>
  <c r="P528" i="7941" s="1"/>
  <c r="E73" i="7945"/>
  <c r="F73" i="7945" s="1"/>
  <c r="E312" i="7945"/>
  <c r="F312" i="7945" s="1"/>
  <c r="Q815" i="18"/>
  <c r="Q545" i="7941" s="1"/>
  <c r="Q822" i="18"/>
  <c r="Q552" i="7941" s="1"/>
  <c r="E410" i="7945"/>
  <c r="F410" i="7945" s="1"/>
  <c r="Q817" i="18"/>
  <c r="Q547" i="7941" s="1"/>
  <c r="E340" i="7945"/>
  <c r="F340" i="7945" s="1"/>
  <c r="Q821" i="18"/>
  <c r="Q551" i="7941" s="1"/>
  <c r="E396" i="7945"/>
  <c r="F396" i="7945" s="1"/>
  <c r="Q513" i="18"/>
  <c r="Q51" i="7941" s="1"/>
  <c r="E60" i="7945"/>
  <c r="E61" i="7945" s="1"/>
  <c r="F61" i="7945" s="1"/>
  <c r="Q797" i="18"/>
  <c r="Q527" i="7941" s="1"/>
  <c r="Q519" i="18"/>
  <c r="Q57" i="7941" s="1"/>
  <c r="Q521" i="18"/>
  <c r="Q59" i="7941" s="1"/>
  <c r="Q803" i="18"/>
  <c r="Q533" i="7941" s="1"/>
  <c r="E144" i="7945"/>
  <c r="F144" i="7945" s="1"/>
  <c r="Q525" i="18"/>
  <c r="Q63" i="7941" s="1"/>
  <c r="Q511" i="18"/>
  <c r="Q49" i="7941" s="1"/>
  <c r="Q517" i="18"/>
  <c r="Q55" i="7941" s="1"/>
  <c r="Q514" i="18"/>
  <c r="Q52" i="7941" s="1"/>
  <c r="Q814" i="18"/>
  <c r="Q544" i="7941" s="1"/>
  <c r="E298" i="7945"/>
  <c r="F298" i="7945" s="1"/>
  <c r="E115" i="7945"/>
  <c r="F115" i="7945" s="1"/>
  <c r="P801" i="18"/>
  <c r="P531" i="7941" s="1"/>
  <c r="P206" i="7947"/>
  <c r="Q206" i="7947" s="1"/>
  <c r="R206" i="7947" s="1"/>
  <c r="S206" i="7947" s="1"/>
  <c r="T206" i="7947" s="1"/>
  <c r="U206" i="7947" s="1"/>
  <c r="V206" i="7947" s="1"/>
  <c r="W206" i="7947" s="1"/>
  <c r="X206" i="7947" s="1"/>
  <c r="Y206" i="7947" s="1"/>
  <c r="Z206" i="7947" s="1"/>
  <c r="AA206" i="7947" s="1"/>
  <c r="AB206" i="7947" s="1"/>
  <c r="AC206" i="7947" s="1"/>
  <c r="AD206" i="7947" s="1"/>
  <c r="AE206" i="7947" s="1"/>
  <c r="O211" i="7947"/>
  <c r="P211" i="7947" s="1"/>
  <c r="R208" i="7947"/>
  <c r="O793" i="18"/>
  <c r="O524" i="7941"/>
  <c r="O523" i="7941" s="1"/>
  <c r="E31" i="7945"/>
  <c r="P795" i="18"/>
  <c r="P525" i="7941" s="1"/>
  <c r="E241" i="7945"/>
  <c r="F241" i="7945" s="1"/>
  <c r="P810" i="18"/>
  <c r="P540" i="7941" s="1"/>
  <c r="P812" i="18"/>
  <c r="P542" i="7941" s="1"/>
  <c r="E269" i="7945"/>
  <c r="F269" i="7945" s="1"/>
  <c r="M167" i="7947"/>
  <c r="M166" i="7947" s="1"/>
  <c r="M168" i="7947" s="1"/>
  <c r="N165" i="7947" s="1"/>
  <c r="M157" i="7947"/>
  <c r="M156" i="7947" s="1"/>
  <c r="M158" i="7947" s="1"/>
  <c r="N155" i="7947" s="1"/>
  <c r="M162" i="7947"/>
  <c r="M161" i="7947" s="1"/>
  <c r="M163" i="7947" s="1"/>
  <c r="N160" i="7947" s="1"/>
  <c r="N161" i="7947" s="1"/>
  <c r="N163" i="7947" s="1"/>
  <c r="O160" i="7947" s="1"/>
  <c r="M152" i="7947"/>
  <c r="M151" i="7947" s="1"/>
  <c r="M153" i="7947" s="1"/>
  <c r="N150" i="7947" s="1"/>
  <c r="M147" i="7947"/>
  <c r="M146" i="7947" s="1"/>
  <c r="M148" i="7947" s="1"/>
  <c r="N145" i="7947" s="1"/>
  <c r="N148" i="7947" s="1"/>
  <c r="O145" i="7947" s="1"/>
  <c r="O148" i="7947" s="1"/>
  <c r="P145" i="7947" s="1"/>
  <c r="P148" i="7947" s="1"/>
  <c r="Q145" i="7947" s="1"/>
  <c r="Q148" i="7947" s="1"/>
  <c r="R145" i="7947" s="1"/>
  <c r="R148" i="7947" s="1"/>
  <c r="S145" i="7947" s="1"/>
  <c r="S148" i="7947" s="1"/>
  <c r="T145" i="7947" s="1"/>
  <c r="T148" i="7947" s="1"/>
  <c r="U145" i="7947" s="1"/>
  <c r="U148" i="7947" s="1"/>
  <c r="V145" i="7947" s="1"/>
  <c r="V148" i="7947" s="1"/>
  <c r="W145" i="7947" s="1"/>
  <c r="W148" i="7947" s="1"/>
  <c r="X145" i="7947" s="1"/>
  <c r="X148" i="7947" s="1"/>
  <c r="Y145" i="7947" s="1"/>
  <c r="Y148" i="7947" s="1"/>
  <c r="Z145" i="7947" s="1"/>
  <c r="Z148" i="7947" s="1"/>
  <c r="AA145" i="7947" s="1"/>
  <c r="AA148" i="7947" s="1"/>
  <c r="AB145" i="7947" s="1"/>
  <c r="AB148" i="7947" s="1"/>
  <c r="AC145" i="7947" s="1"/>
  <c r="AC148" i="7947" s="1"/>
  <c r="AD145" i="7947" s="1"/>
  <c r="AD148" i="7947" s="1"/>
  <c r="AE145" i="7947" s="1"/>
  <c r="AE148" i="7947" s="1"/>
  <c r="AF145" i="7947" s="1"/>
  <c r="AF148" i="7947" s="1"/>
  <c r="AG145" i="7947" s="1"/>
  <c r="AG148" i="7947" s="1"/>
  <c r="AH145" i="7947" s="1"/>
  <c r="AH148" i="7947" s="1"/>
  <c r="AI145" i="7947" s="1"/>
  <c r="AI148" i="7947" s="1"/>
  <c r="AJ145" i="7947" s="1"/>
  <c r="AJ148" i="7947" s="1"/>
  <c r="AK145" i="7947" s="1"/>
  <c r="AK148" i="7947" s="1"/>
  <c r="AL145" i="7947" s="1"/>
  <c r="AL148" i="7947" s="1"/>
  <c r="AM145" i="7947" s="1"/>
  <c r="AM148" i="7947" s="1"/>
  <c r="AN145" i="7947" s="1"/>
  <c r="AN148" i="7947" s="1"/>
  <c r="AO145" i="7947" s="1"/>
  <c r="AO148" i="7947" s="1"/>
  <c r="AP145" i="7947" s="1"/>
  <c r="AP148" i="7947" s="1"/>
  <c r="AQ145" i="7947" s="1"/>
  <c r="AQ148" i="7947" s="1"/>
  <c r="AR145" i="7947" s="1"/>
  <c r="AR148" i="7947" s="1"/>
  <c r="AS145" i="7947" s="1"/>
  <c r="AS148" i="7947" s="1"/>
  <c r="AT145" i="7947" s="1"/>
  <c r="AT148" i="7947" s="1"/>
  <c r="AU145" i="7947" s="1"/>
  <c r="AU148" i="7947" s="1"/>
  <c r="AV145" i="7947" s="1"/>
  <c r="AV148" i="7947" s="1"/>
  <c r="AW145" i="7947" s="1"/>
  <c r="AW148" i="7947" s="1"/>
  <c r="AX145" i="7947" s="1"/>
  <c r="AX148" i="7947" s="1"/>
  <c r="AY145" i="7947" s="1"/>
  <c r="AY148" i="7947" s="1"/>
  <c r="AZ145" i="7947" s="1"/>
  <c r="AZ148" i="7947" s="1"/>
  <c r="BA145" i="7947" s="1"/>
  <c r="BA148" i="7947" s="1"/>
  <c r="BB145" i="7947" s="1"/>
  <c r="BB148" i="7947" s="1"/>
  <c r="BC145" i="7947" s="1"/>
  <c r="BC148" i="7947" s="1"/>
  <c r="BD145" i="7947" s="1"/>
  <c r="BD148" i="7947" s="1"/>
  <c r="BE145" i="7947" s="1"/>
  <c r="BE148" i="7947" s="1"/>
  <c r="M172" i="7947"/>
  <c r="M177" i="7947"/>
  <c r="Q808" i="18"/>
  <c r="Q538" i="7941" s="1"/>
  <c r="E214" i="7945"/>
  <c r="F214" i="7945" s="1"/>
  <c r="Q811" i="18"/>
  <c r="Q541" i="7941" s="1"/>
  <c r="E256" i="7945"/>
  <c r="F256" i="7945" s="1"/>
  <c r="Q823" i="18"/>
  <c r="Q553" i="7941" s="1"/>
  <c r="E424" i="7945"/>
  <c r="F424" i="7945" s="1"/>
  <c r="E242" i="7945"/>
  <c r="F242" i="7945" s="1"/>
  <c r="Q810" i="18"/>
  <c r="Q540" i="7941" s="1"/>
  <c r="E200" i="7945"/>
  <c r="F200" i="7945" s="1"/>
  <c r="Q807" i="18"/>
  <c r="Q537" i="7941" s="1"/>
  <c r="E172" i="7945"/>
  <c r="F172" i="7945" s="1"/>
  <c r="Q805" i="18"/>
  <c r="Q535" i="7941" s="1"/>
  <c r="E325" i="7945"/>
  <c r="F325" i="7945" s="1"/>
  <c r="P816" i="18"/>
  <c r="P546" i="7941" s="1"/>
  <c r="E423" i="7945"/>
  <c r="P823" i="18"/>
  <c r="P553" i="7941" s="1"/>
  <c r="E283" i="7945"/>
  <c r="F283" i="7945" s="1"/>
  <c r="P813" i="18"/>
  <c r="P543" i="7941" s="1"/>
  <c r="P806" i="18"/>
  <c r="P536" i="7941" s="1"/>
  <c r="E185" i="7945"/>
  <c r="F185" i="7945" s="1"/>
  <c r="E101" i="7945"/>
  <c r="F101" i="7945" s="1"/>
  <c r="P800" i="18"/>
  <c r="P530" i="7941" s="1"/>
  <c r="L214" i="7947"/>
  <c r="L218" i="7947" s="1"/>
  <c r="L220" i="7947" s="1"/>
  <c r="M217" i="7947" s="1"/>
  <c r="L136" i="7947"/>
  <c r="L142" i="7947"/>
  <c r="L182" i="7947" s="1"/>
  <c r="L226" i="7947" s="1"/>
  <c r="P817" i="18"/>
  <c r="P547" i="7941" s="1"/>
  <c r="E339" i="7945"/>
  <c r="M213" i="7947"/>
  <c r="F310" i="7945"/>
  <c r="F114" i="7945"/>
  <c r="Q173" i="1"/>
  <c r="Q12" i="18"/>
  <c r="E74" i="7945"/>
  <c r="F74" i="7945" s="1"/>
  <c r="Q798" i="18"/>
  <c r="Q528" i="7941" s="1"/>
  <c r="E116" i="7945"/>
  <c r="F116" i="7945" s="1"/>
  <c r="Q801" i="18"/>
  <c r="Q531" i="7941" s="1"/>
  <c r="E228" i="7945"/>
  <c r="F228" i="7945" s="1"/>
  <c r="Q809" i="18"/>
  <c r="Q539" i="7941" s="1"/>
  <c r="E284" i="7945"/>
  <c r="F284" i="7945" s="1"/>
  <c r="Q813" i="18"/>
  <c r="Q543" i="7941" s="1"/>
  <c r="Q816" i="18"/>
  <c r="Q546" i="7941" s="1"/>
  <c r="E326" i="7945"/>
  <c r="F326" i="7945" s="1"/>
  <c r="Q795" i="18"/>
  <c r="Q525" i="7941" s="1"/>
  <c r="E32" i="7945"/>
  <c r="F32" i="7945" s="1"/>
  <c r="Q510" i="18"/>
  <c r="Q48" i="7941" s="1"/>
  <c r="Q518" i="18"/>
  <c r="Q56" i="7941" s="1"/>
  <c r="E158" i="7945"/>
  <c r="F158" i="7945" s="1"/>
  <c r="Q804" i="18"/>
  <c r="Q534" i="7941" s="1"/>
  <c r="Q820" i="18"/>
  <c r="Q550" i="7941" s="1"/>
  <c r="E382" i="7945"/>
  <c r="F382" i="7945" s="1"/>
  <c r="E186" i="7945"/>
  <c r="F186" i="7945" s="1"/>
  <c r="Q806" i="18"/>
  <c r="Q536" i="7941" s="1"/>
  <c r="P799" i="18"/>
  <c r="P529" i="7941" s="1"/>
  <c r="E87" i="7945"/>
  <c r="F87" i="7945" s="1"/>
  <c r="E367" i="7945"/>
  <c r="F367" i="7945" s="1"/>
  <c r="P819" i="18"/>
  <c r="P549" i="7941" s="1"/>
  <c r="P802" i="18"/>
  <c r="P532" i="7941" s="1"/>
  <c r="E129" i="7945"/>
  <c r="F129" i="7945" s="1"/>
  <c r="E171" i="7945"/>
  <c r="F171" i="7945" s="1"/>
  <c r="P805" i="18"/>
  <c r="P535" i="7941" s="1"/>
  <c r="F100" i="7945"/>
  <c r="M31" i="7947"/>
  <c r="M32" i="7947" s="1"/>
  <c r="N30" i="7947" s="1"/>
  <c r="M96" i="7947"/>
  <c r="M97" i="7947" s="1"/>
  <c r="N95" i="7947" s="1"/>
  <c r="M68" i="7947"/>
  <c r="M69" i="7947" s="1"/>
  <c r="N67" i="7947" s="1"/>
  <c r="M88" i="7947"/>
  <c r="M89" i="7947" s="1"/>
  <c r="N87" i="7947" s="1"/>
  <c r="M39" i="7947"/>
  <c r="M40" i="7947" s="1"/>
  <c r="N38" i="7947" s="1"/>
  <c r="M100" i="7947"/>
  <c r="M101" i="7947" s="1"/>
  <c r="N99" i="7947" s="1"/>
  <c r="Q205" i="7947"/>
  <c r="I677" i="7941"/>
  <c r="J493" i="7941"/>
  <c r="Q136" i="7944"/>
  <c r="Q202" i="7947"/>
  <c r="N92" i="7947"/>
  <c r="N93" i="7947" s="1"/>
  <c r="O91" i="7947" s="1"/>
  <c r="F143" i="7947"/>
  <c r="O959" i="18"/>
  <c r="O699" i="18"/>
  <c r="I235" i="7941"/>
  <c r="J9" i="7941"/>
  <c r="K831" i="18"/>
  <c r="S204" i="7947"/>
  <c r="M27" i="7947"/>
  <c r="M28" i="7947" s="1"/>
  <c r="N26" i="7947" s="1"/>
  <c r="L829" i="18"/>
  <c r="M991" i="18"/>
  <c r="Q467" i="7942"/>
  <c r="Q444" i="7941" s="1"/>
  <c r="P467" i="7942"/>
  <c r="P699" i="18"/>
  <c r="P959" i="18"/>
  <c r="M35" i="7947"/>
  <c r="M36" i="7947" s="1"/>
  <c r="N34" i="7947" s="1"/>
  <c r="L176" i="7947"/>
  <c r="L178" i="7947" s="1"/>
  <c r="M175" i="7947" s="1"/>
  <c r="L84" i="7947"/>
  <c r="L85" i="7947" s="1"/>
  <c r="M83" i="7947" s="1"/>
  <c r="M76" i="7947"/>
  <c r="M77" i="7947" s="1"/>
  <c r="N75" i="7947" s="1"/>
  <c r="N80" i="7947"/>
  <c r="N81" i="7947" s="1"/>
  <c r="O79" i="7947" s="1"/>
  <c r="L171" i="7947"/>
  <c r="L173" i="7947" s="1"/>
  <c r="M170" i="7947" s="1"/>
  <c r="M72" i="7947"/>
  <c r="M73" i="7947" s="1"/>
  <c r="N71" i="7947" s="1"/>
  <c r="J989" i="18"/>
  <c r="G63" i="7947"/>
  <c r="F105" i="7947"/>
  <c r="Q12" i="7944"/>
  <c r="O495" i="7941"/>
  <c r="Q127" i="18"/>
  <c r="J729" i="18"/>
  <c r="H42" i="7947"/>
  <c r="H23" i="7947"/>
  <c r="H43" i="7947" s="1"/>
  <c r="O168" i="7942"/>
  <c r="K1011" i="18"/>
  <c r="K1003" i="18"/>
  <c r="K683" i="7941"/>
  <c r="L499" i="7941"/>
  <c r="K541" i="18"/>
  <c r="J234" i="7941"/>
  <c r="K8" i="7941"/>
  <c r="K757" i="18"/>
  <c r="K756" i="18"/>
  <c r="K999" i="18"/>
  <c r="K746" i="18"/>
  <c r="K733" i="18"/>
  <c r="J249" i="7941"/>
  <c r="J260" i="7941"/>
  <c r="J693" i="7941"/>
  <c r="K509" i="7941"/>
  <c r="K520" i="7941"/>
  <c r="J704" i="7941"/>
  <c r="K12" i="7941"/>
  <c r="J238" i="7941"/>
  <c r="J243" i="7941"/>
  <c r="K17" i="7941"/>
  <c r="J685" i="7941"/>
  <c r="K501" i="7941"/>
  <c r="K749" i="18"/>
  <c r="J261" i="7941"/>
  <c r="J686" i="7941"/>
  <c r="K502" i="7941"/>
  <c r="K516" i="7941"/>
  <c r="J700" i="7941"/>
  <c r="K996" i="18"/>
  <c r="J701" i="7941"/>
  <c r="K517" i="7941"/>
  <c r="K11" i="7941"/>
  <c r="J237" i="7941"/>
  <c r="J250" i="7941"/>
  <c r="K506" i="7941"/>
  <c r="J690" i="7941"/>
  <c r="K1009" i="18"/>
  <c r="K745" i="18"/>
  <c r="K828" i="18"/>
  <c r="K515" i="7941"/>
  <c r="J699" i="7941"/>
  <c r="K507" i="7941"/>
  <c r="J691" i="7941"/>
  <c r="K747" i="18"/>
  <c r="M496" i="7941"/>
  <c r="J263" i="7941"/>
  <c r="J262" i="7941"/>
  <c r="J687" i="7941"/>
  <c r="K503" i="7941"/>
  <c r="J252" i="7941"/>
  <c r="J239" i="7941"/>
  <c r="K13" i="7941"/>
  <c r="K1014" i="18"/>
  <c r="K740" i="18"/>
  <c r="K736" i="18"/>
  <c r="K1008" i="18"/>
  <c r="K1007" i="18"/>
  <c r="J255" i="7941"/>
  <c r="K751" i="18"/>
  <c r="J684" i="7941"/>
  <c r="K500" i="7941"/>
  <c r="K739" i="18"/>
  <c r="K750" i="18"/>
  <c r="J697" i="7941"/>
  <c r="K513" i="7941"/>
  <c r="J251" i="7941"/>
  <c r="K492" i="7941"/>
  <c r="J676" i="7941"/>
  <c r="K748" i="18"/>
  <c r="K741" i="18"/>
  <c r="J253" i="7941"/>
  <c r="K752" i="18"/>
  <c r="K728" i="18"/>
  <c r="K536" i="18"/>
  <c r="K1000" i="18"/>
  <c r="K742" i="18"/>
  <c r="K1010" i="18"/>
  <c r="K738" i="18"/>
  <c r="K1017" i="18"/>
  <c r="J702" i="7941"/>
  <c r="K518" i="7941"/>
  <c r="K1015" i="18"/>
  <c r="J246" i="7941"/>
  <c r="K20" i="7941"/>
  <c r="K16" i="7941"/>
  <c r="J242" i="7941"/>
  <c r="K512" i="7941"/>
  <c r="J696" i="7941"/>
  <c r="J695" i="7941"/>
  <c r="K511" i="7941"/>
  <c r="L830" i="18"/>
  <c r="M992" i="18"/>
  <c r="M830" i="18" s="1"/>
  <c r="M560" i="7941" s="1"/>
  <c r="J257" i="7941"/>
  <c r="K753" i="18"/>
  <c r="J245" i="7941"/>
  <c r="K19" i="7941"/>
  <c r="J256" i="7941"/>
  <c r="K1006" i="18"/>
  <c r="K1001" i="18"/>
  <c r="K1004" i="18"/>
  <c r="J254" i="7941"/>
  <c r="J247" i="7941"/>
  <c r="K21" i="7941"/>
  <c r="L995" i="18"/>
  <c r="J258" i="7941"/>
  <c r="J688" i="7941"/>
  <c r="K504" i="7941"/>
  <c r="J248" i="7941"/>
  <c r="J698" i="7941"/>
  <c r="K514" i="7941"/>
  <c r="J244" i="7941"/>
  <c r="K18" i="7941"/>
  <c r="J705" i="7941"/>
  <c r="K521" i="7941"/>
  <c r="K519" i="7941"/>
  <c r="J703" i="7941"/>
  <c r="K743" i="18"/>
  <c r="K754" i="18"/>
  <c r="K1005" i="18"/>
  <c r="K1016" i="18"/>
  <c r="K732" i="18"/>
  <c r="K737" i="18"/>
  <c r="K997" i="18"/>
  <c r="K755" i="18"/>
  <c r="K998" i="18"/>
  <c r="K1012" i="18"/>
  <c r="J259" i="7941"/>
  <c r="K1013" i="18"/>
  <c r="K731" i="18"/>
  <c r="K744" i="18"/>
  <c r="K1002" i="18"/>
  <c r="K510" i="7941"/>
  <c r="J694" i="7941"/>
  <c r="K505" i="7941"/>
  <c r="J689" i="7941"/>
  <c r="K988" i="18"/>
  <c r="J692" i="7941"/>
  <c r="K508" i="7941"/>
  <c r="Q108" i="7942" l="1"/>
  <c r="P107" i="7942"/>
  <c r="P168" i="7942" s="1"/>
  <c r="P490" i="7942"/>
  <c r="Q490" i="7942"/>
  <c r="Q433" i="7942"/>
  <c r="Q427" i="7941" s="1"/>
  <c r="Q425" i="7941" s="1"/>
  <c r="P433" i="7942"/>
  <c r="E355" i="7945"/>
  <c r="F355" i="7945" s="1"/>
  <c r="L31" i="7946" s="1"/>
  <c r="E187" i="7945"/>
  <c r="F187" i="7945" s="1"/>
  <c r="L19" i="7946" s="1"/>
  <c r="E369" i="7945"/>
  <c r="F369" i="7945" s="1"/>
  <c r="L32" i="7946" s="1"/>
  <c r="E131" i="7945"/>
  <c r="F131" i="7945" s="1"/>
  <c r="L15" i="7946" s="1"/>
  <c r="E75" i="7945"/>
  <c r="F75" i="7945" s="1"/>
  <c r="E89" i="7945"/>
  <c r="F89" i="7945" s="1"/>
  <c r="P210" i="7947"/>
  <c r="Q11" i="18"/>
  <c r="Q502" i="18"/>
  <c r="F423" i="7945"/>
  <c r="E425" i="7945"/>
  <c r="F425" i="7945" s="1"/>
  <c r="L36" i="7946" s="1"/>
  <c r="P793" i="18"/>
  <c r="P524" i="7941"/>
  <c r="P523" i="7941" s="1"/>
  <c r="F395" i="7945"/>
  <c r="E397" i="7945"/>
  <c r="F397" i="7945" s="1"/>
  <c r="L34" i="7946" s="1"/>
  <c r="E313" i="7945"/>
  <c r="F313" i="7945" s="1"/>
  <c r="L28" i="7946" s="1"/>
  <c r="S208" i="7947"/>
  <c r="T208" i="7947" s="1"/>
  <c r="E159" i="7945"/>
  <c r="F159" i="7945" s="1"/>
  <c r="L17" i="7946" s="1"/>
  <c r="F143" i="7945"/>
  <c r="E145" i="7945"/>
  <c r="F145" i="7945" s="1"/>
  <c r="L16" i="7946" s="1"/>
  <c r="L9" i="7946"/>
  <c r="M214" i="7947"/>
  <c r="M218" i="7947" s="1"/>
  <c r="M220" i="7947" s="1"/>
  <c r="N217" i="7947" s="1"/>
  <c r="E327" i="7945"/>
  <c r="F327" i="7945" s="1"/>
  <c r="L29" i="7946" s="1"/>
  <c r="E271" i="7945"/>
  <c r="F271" i="7945" s="1"/>
  <c r="L25" i="7946" s="1"/>
  <c r="F31" i="7945"/>
  <c r="E33" i="7945"/>
  <c r="AF206" i="7947"/>
  <c r="AG206" i="7947" s="1"/>
  <c r="AH206" i="7947" s="1"/>
  <c r="AI206" i="7947" s="1"/>
  <c r="AJ206" i="7947" s="1"/>
  <c r="AK206" i="7947" s="1"/>
  <c r="AL206" i="7947" s="1"/>
  <c r="AM206" i="7947" s="1"/>
  <c r="AN206" i="7947" s="1"/>
  <c r="AO206" i="7947" s="1"/>
  <c r="AP206" i="7947" s="1"/>
  <c r="AQ206" i="7947" s="1"/>
  <c r="AR206" i="7947" s="1"/>
  <c r="AS206" i="7947" s="1"/>
  <c r="AT206" i="7947" s="1"/>
  <c r="AU206" i="7947" s="1"/>
  <c r="AV206" i="7947" s="1"/>
  <c r="AW206" i="7947" s="1"/>
  <c r="AX206" i="7947" s="1"/>
  <c r="AY206" i="7947" s="1"/>
  <c r="AZ206" i="7947" s="1"/>
  <c r="BA206" i="7947" s="1"/>
  <c r="BB206" i="7947" s="1"/>
  <c r="BC206" i="7947" s="1"/>
  <c r="BD206" i="7947" s="1"/>
  <c r="BE206" i="7947" s="1"/>
  <c r="E285" i="7945"/>
  <c r="F285" i="7945" s="1"/>
  <c r="L26" i="7946" s="1"/>
  <c r="R209" i="7947"/>
  <c r="E173" i="7945"/>
  <c r="F173" i="7945" s="1"/>
  <c r="L18" i="7946" s="1"/>
  <c r="F199" i="7945"/>
  <c r="E201" i="7945"/>
  <c r="F201" i="7945" s="1"/>
  <c r="L20" i="7946" s="1"/>
  <c r="F213" i="7945"/>
  <c r="E215" i="7945"/>
  <c r="F215" i="7945" s="1"/>
  <c r="L21" i="7946" s="1"/>
  <c r="F381" i="7945"/>
  <c r="E383" i="7945"/>
  <c r="F383" i="7945" s="1"/>
  <c r="L33" i="7946" s="1"/>
  <c r="E299" i="7945"/>
  <c r="F299" i="7945" s="1"/>
  <c r="L27" i="7946" s="1"/>
  <c r="N212" i="7947"/>
  <c r="O212" i="7947" s="1"/>
  <c r="P501" i="18"/>
  <c r="P40" i="7941"/>
  <c r="P39" i="7941" s="1"/>
  <c r="F339" i="7945"/>
  <c r="E341" i="7945"/>
  <c r="F341" i="7945" s="1"/>
  <c r="L30" i="7946" s="1"/>
  <c r="E257" i="7945"/>
  <c r="F257" i="7945" s="1"/>
  <c r="L24" i="7946" s="1"/>
  <c r="M142" i="7947"/>
  <c r="M182" i="7947" s="1"/>
  <c r="M226" i="7947" s="1"/>
  <c r="M136" i="7947"/>
  <c r="E117" i="7945"/>
  <c r="F117" i="7945" s="1"/>
  <c r="N213" i="7947"/>
  <c r="Q211" i="7947"/>
  <c r="R211" i="7947" s="1"/>
  <c r="S211" i="7947" s="1"/>
  <c r="T211" i="7947" s="1"/>
  <c r="U211" i="7947" s="1"/>
  <c r="V211" i="7947" s="1"/>
  <c r="W211" i="7947" s="1"/>
  <c r="X211" i="7947" s="1"/>
  <c r="Y211" i="7947" s="1"/>
  <c r="Z211" i="7947" s="1"/>
  <c r="AA211" i="7947" s="1"/>
  <c r="AB211" i="7947" s="1"/>
  <c r="AC211" i="7947" s="1"/>
  <c r="AD211" i="7947" s="1"/>
  <c r="AE211" i="7947" s="1"/>
  <c r="AF211" i="7947" s="1"/>
  <c r="AG211" i="7947" s="1"/>
  <c r="AH211" i="7947" s="1"/>
  <c r="AI211" i="7947" s="1"/>
  <c r="AJ211" i="7947" s="1"/>
  <c r="AK211" i="7947" s="1"/>
  <c r="AL211" i="7947" s="1"/>
  <c r="AM211" i="7947" s="1"/>
  <c r="AN211" i="7947" s="1"/>
  <c r="AO211" i="7947" s="1"/>
  <c r="AP211" i="7947" s="1"/>
  <c r="AQ211" i="7947" s="1"/>
  <c r="AR211" i="7947" s="1"/>
  <c r="AS211" i="7947" s="1"/>
  <c r="AT211" i="7947" s="1"/>
  <c r="AU211" i="7947" s="1"/>
  <c r="AV211" i="7947" s="1"/>
  <c r="AW211" i="7947" s="1"/>
  <c r="AX211" i="7947" s="1"/>
  <c r="AY211" i="7947" s="1"/>
  <c r="AZ211" i="7947" s="1"/>
  <c r="BA211" i="7947" s="1"/>
  <c r="BB211" i="7947" s="1"/>
  <c r="BC211" i="7947" s="1"/>
  <c r="BD211" i="7947" s="1"/>
  <c r="BE211" i="7947" s="1"/>
  <c r="L10" i="7946"/>
  <c r="F409" i="7945"/>
  <c r="E411" i="7945"/>
  <c r="F411" i="7945" s="1"/>
  <c r="L35" i="7946" s="1"/>
  <c r="Q708" i="18"/>
  <c r="Q970" i="18"/>
  <c r="Q976" i="18"/>
  <c r="Q718" i="18"/>
  <c r="Q722" i="18"/>
  <c r="Q725" i="18"/>
  <c r="Q965" i="18"/>
  <c r="Q706" i="18"/>
  <c r="Q978" i="18"/>
  <c r="Q716" i="18"/>
  <c r="Q982" i="18"/>
  <c r="Q714" i="18"/>
  <c r="Q704" i="18"/>
  <c r="Q710" i="18"/>
  <c r="Q966" i="18"/>
  <c r="Q974" i="18"/>
  <c r="Q712" i="18"/>
  <c r="Q721" i="18"/>
  <c r="Q981" i="18"/>
  <c r="Q724" i="18"/>
  <c r="Q969" i="18"/>
  <c r="Q707" i="18"/>
  <c r="Q713" i="18"/>
  <c r="Q980" i="18"/>
  <c r="Q977" i="18"/>
  <c r="Q717" i="18"/>
  <c r="Q975" i="18"/>
  <c r="Q720" i="18"/>
  <c r="Q979" i="18"/>
  <c r="Q983" i="18"/>
  <c r="Q715" i="18"/>
  <c r="Q723" i="18"/>
  <c r="Q967" i="18"/>
  <c r="Q973" i="18"/>
  <c r="Q964" i="18"/>
  <c r="Q971" i="18"/>
  <c r="Q711" i="18"/>
  <c r="Q985" i="18"/>
  <c r="Q719" i="18"/>
  <c r="Q968" i="18"/>
  <c r="Q709" i="18"/>
  <c r="Q972" i="18"/>
  <c r="Q984" i="18"/>
  <c r="Q705" i="18"/>
  <c r="Q794" i="18"/>
  <c r="E18" i="7945"/>
  <c r="Q43" i="18"/>
  <c r="E243" i="7945"/>
  <c r="F243" i="7945" s="1"/>
  <c r="L23" i="7946" s="1"/>
  <c r="F227" i="7945"/>
  <c r="E229" i="7945"/>
  <c r="F229" i="7945" s="1"/>
  <c r="L22" i="7946" s="1"/>
  <c r="N151" i="7947"/>
  <c r="N153" i="7947" s="1"/>
  <c r="O150" i="7947" s="1"/>
  <c r="N72" i="7947"/>
  <c r="N73" i="7947" s="1"/>
  <c r="O71" i="7947" s="1"/>
  <c r="O92" i="7947"/>
  <c r="O93" i="7947" s="1"/>
  <c r="P91" i="7947" s="1"/>
  <c r="M171" i="7947"/>
  <c r="M173" i="7947" s="1"/>
  <c r="N170" i="7947" s="1"/>
  <c r="N39" i="7947"/>
  <c r="N40" i="7947" s="1"/>
  <c r="O38" i="7947" s="1"/>
  <c r="M84" i="7947"/>
  <c r="M85" i="7947" s="1"/>
  <c r="N83" i="7947" s="1"/>
  <c r="N166" i="7947"/>
  <c r="N168" i="7947" s="1"/>
  <c r="O165" i="7947" s="1"/>
  <c r="N68" i="7947"/>
  <c r="N69" i="7947" s="1"/>
  <c r="O67" i="7947" s="1"/>
  <c r="N31" i="7947"/>
  <c r="N32" i="7947" s="1"/>
  <c r="O30" i="7947" s="1"/>
  <c r="Q959" i="18"/>
  <c r="Q699" i="18"/>
  <c r="J827" i="18"/>
  <c r="N76" i="7947"/>
  <c r="N77" i="7947" s="1"/>
  <c r="O75" i="7947" s="1"/>
  <c r="N27" i="7947"/>
  <c r="N28" i="7947" s="1"/>
  <c r="O26" i="7947" s="1"/>
  <c r="R205" i="7947"/>
  <c r="N88" i="7947"/>
  <c r="N89" i="7947" s="1"/>
  <c r="O87" i="7947" s="1"/>
  <c r="N96" i="7947"/>
  <c r="N97" i="7947" s="1"/>
  <c r="O95" i="7947" s="1"/>
  <c r="P495" i="7941"/>
  <c r="Q495" i="7941" s="1"/>
  <c r="G64" i="7947"/>
  <c r="G104" i="7947" s="1"/>
  <c r="G103" i="7947"/>
  <c r="M829" i="18"/>
  <c r="M559" i="7941" s="1"/>
  <c r="N991" i="18"/>
  <c r="O161" i="7947"/>
  <c r="O163" i="7947" s="1"/>
  <c r="P160" i="7947" s="1"/>
  <c r="R202" i="7947"/>
  <c r="M176" i="7947"/>
  <c r="M178" i="7947" s="1"/>
  <c r="N175" i="7947" s="1"/>
  <c r="N35" i="7947"/>
  <c r="N36" i="7947" s="1"/>
  <c r="O34" i="7947" s="1"/>
  <c r="N992" i="18"/>
  <c r="N830" i="18" s="1"/>
  <c r="N560" i="7941" s="1"/>
  <c r="O80" i="7947"/>
  <c r="O81" i="7947" s="1"/>
  <c r="P79" i="7947" s="1"/>
  <c r="L559" i="7941"/>
  <c r="L679" i="7941" s="1"/>
  <c r="M765" i="18"/>
  <c r="N765" i="18" s="1"/>
  <c r="K561" i="7941"/>
  <c r="L767" i="18"/>
  <c r="G140" i="7947"/>
  <c r="F183" i="7947"/>
  <c r="F227" i="7947" s="1"/>
  <c r="F5" i="7947" s="1"/>
  <c r="N156" i="7947"/>
  <c r="N158" i="7947" s="1"/>
  <c r="O155" i="7947" s="1"/>
  <c r="N100" i="7947"/>
  <c r="N101" i="7947" s="1"/>
  <c r="O99" i="7947" s="1"/>
  <c r="H24" i="7947"/>
  <c r="J535" i="18"/>
  <c r="R12" i="7944"/>
  <c r="Q109" i="7942"/>
  <c r="Q107" i="7942"/>
  <c r="T204" i="7947"/>
  <c r="K537" i="18"/>
  <c r="K835" i="18"/>
  <c r="K548" i="18"/>
  <c r="K556" i="18"/>
  <c r="K557" i="18"/>
  <c r="K558" i="7941"/>
  <c r="L764" i="18"/>
  <c r="K539" i="18"/>
  <c r="K563" i="18"/>
  <c r="M499" i="7941"/>
  <c r="K841" i="18"/>
  <c r="K550" i="18"/>
  <c r="K843" i="18"/>
  <c r="K844" i="18"/>
  <c r="K559" i="18"/>
  <c r="K838" i="18"/>
  <c r="K846" i="18"/>
  <c r="K852" i="18"/>
  <c r="K553" i="18"/>
  <c r="K847" i="18"/>
  <c r="K834" i="18"/>
  <c r="K555" i="18"/>
  <c r="K562" i="18"/>
  <c r="K826" i="18"/>
  <c r="K560" i="18"/>
  <c r="K842" i="18"/>
  <c r="K840" i="18"/>
  <c r="K836" i="18"/>
  <c r="K561" i="18"/>
  <c r="K538" i="18"/>
  <c r="K854" i="18"/>
  <c r="L833" i="18"/>
  <c r="M995" i="18"/>
  <c r="M833" i="18" s="1"/>
  <c r="M563" i="7941" s="1"/>
  <c r="K839" i="18"/>
  <c r="L560" i="7941"/>
  <c r="L680" i="7941" s="1"/>
  <c r="M766" i="18"/>
  <c r="K853" i="18"/>
  <c r="K848" i="18"/>
  <c r="K558" i="18"/>
  <c r="K547" i="18"/>
  <c r="K554" i="18"/>
  <c r="K845" i="18"/>
  <c r="N496" i="7941"/>
  <c r="O496" i="7941" s="1"/>
  <c r="K551" i="18"/>
  <c r="K851" i="18"/>
  <c r="K850" i="18"/>
  <c r="K543" i="18"/>
  <c r="K549" i="18"/>
  <c r="K855" i="18"/>
  <c r="K544" i="18"/>
  <c r="K74" i="7941"/>
  <c r="L472" i="18"/>
  <c r="K534" i="18"/>
  <c r="K545" i="18"/>
  <c r="K542" i="18"/>
  <c r="K546" i="18"/>
  <c r="K552" i="18"/>
  <c r="K837" i="18"/>
  <c r="K79" i="7941"/>
  <c r="L477" i="18"/>
  <c r="K849" i="18"/>
  <c r="Q168" i="7942" l="1"/>
  <c r="L12" i="7946"/>
  <c r="L11" i="7946"/>
  <c r="G65" i="7947"/>
  <c r="H63" i="7947" s="1"/>
  <c r="U208" i="7947"/>
  <c r="V208" i="7947" s="1"/>
  <c r="W208" i="7947" s="1"/>
  <c r="X208" i="7947" s="1"/>
  <c r="Y208" i="7947" s="1"/>
  <c r="Z208" i="7947" s="1"/>
  <c r="AA208" i="7947" s="1"/>
  <c r="AB208" i="7947" s="1"/>
  <c r="AC208" i="7947" s="1"/>
  <c r="AD208" i="7947" s="1"/>
  <c r="AE208" i="7947" s="1"/>
  <c r="AF208" i="7947" s="1"/>
  <c r="AG208" i="7947" s="1"/>
  <c r="AH208" i="7947" s="1"/>
  <c r="AI208" i="7947" s="1"/>
  <c r="AJ208" i="7947" s="1"/>
  <c r="AK208" i="7947" s="1"/>
  <c r="AL208" i="7947" s="1"/>
  <c r="AM208" i="7947" s="1"/>
  <c r="AN208" i="7947" s="1"/>
  <c r="AO208" i="7947" s="1"/>
  <c r="AP208" i="7947" s="1"/>
  <c r="AQ208" i="7947" s="1"/>
  <c r="AR208" i="7947" s="1"/>
  <c r="AS208" i="7947" s="1"/>
  <c r="AT208" i="7947" s="1"/>
  <c r="AU208" i="7947" s="1"/>
  <c r="AV208" i="7947" s="1"/>
  <c r="AW208" i="7947" s="1"/>
  <c r="AX208" i="7947" s="1"/>
  <c r="AY208" i="7947" s="1"/>
  <c r="AZ208" i="7947" s="1"/>
  <c r="BA208" i="7947" s="1"/>
  <c r="BB208" i="7947" s="1"/>
  <c r="BC208" i="7947" s="1"/>
  <c r="BD208" i="7947" s="1"/>
  <c r="BE208" i="7947" s="1"/>
  <c r="F33" i="7945"/>
  <c r="L8" i="7946" s="1"/>
  <c r="F18" i="7945"/>
  <c r="E19" i="7945"/>
  <c r="L14" i="7946"/>
  <c r="S209" i="7947"/>
  <c r="T209" i="7947" s="1"/>
  <c r="U209" i="7947" s="1"/>
  <c r="V209" i="7947" s="1"/>
  <c r="Q210" i="7947"/>
  <c r="C262" i="7947"/>
  <c r="E262" i="7947" s="1"/>
  <c r="E273" i="7947" s="1"/>
  <c r="H262" i="7947"/>
  <c r="J262" i="7947" s="1"/>
  <c r="O213" i="7947"/>
  <c r="O214" i="7947" s="1"/>
  <c r="O218" i="7947" s="1"/>
  <c r="Q524" i="7941"/>
  <c r="Q523" i="7941" s="1"/>
  <c r="Q793" i="18"/>
  <c r="P212" i="7947"/>
  <c r="Q212" i="7947" s="1"/>
  <c r="R212" i="7947" s="1"/>
  <c r="N214" i="7947"/>
  <c r="N218" i="7947" s="1"/>
  <c r="N220" i="7947" s="1"/>
  <c r="O217" i="7947" s="1"/>
  <c r="Q40" i="7941"/>
  <c r="Q39" i="7941" s="1"/>
  <c r="Q501" i="18"/>
  <c r="O765" i="18"/>
  <c r="P765" i="18" s="1"/>
  <c r="Q765" i="18" s="1"/>
  <c r="R765" i="18" s="1"/>
  <c r="P161" i="7947"/>
  <c r="P163" i="7947" s="1"/>
  <c r="Q160" i="7947" s="1"/>
  <c r="N171" i="7947"/>
  <c r="N173" i="7947" s="1"/>
  <c r="O170" i="7947" s="1"/>
  <c r="O96" i="7947"/>
  <c r="O97" i="7947" s="1"/>
  <c r="P95" i="7947" s="1"/>
  <c r="O31" i="7947"/>
  <c r="O32" i="7947" s="1"/>
  <c r="P30" i="7947" s="1"/>
  <c r="P92" i="7947"/>
  <c r="P93" i="7947" s="1"/>
  <c r="Q91" i="7947" s="1"/>
  <c r="O100" i="7947"/>
  <c r="O101" i="7947" s="1"/>
  <c r="P99" i="7947" s="1"/>
  <c r="O35" i="7947"/>
  <c r="O36" i="7947" s="1"/>
  <c r="P34" i="7947" s="1"/>
  <c r="O88" i="7947"/>
  <c r="O89" i="7947" s="1"/>
  <c r="P87" i="7947" s="1"/>
  <c r="O27" i="7947"/>
  <c r="O28" i="7947" s="1"/>
  <c r="P26" i="7947" s="1"/>
  <c r="O68" i="7947"/>
  <c r="O69" i="7947" s="1"/>
  <c r="P67" i="7947" s="1"/>
  <c r="O72" i="7947"/>
  <c r="O73" i="7947" s="1"/>
  <c r="P71" i="7947" s="1"/>
  <c r="O156" i="7947"/>
  <c r="O158" i="7947" s="1"/>
  <c r="P155" i="7947" s="1"/>
  <c r="O76" i="7947"/>
  <c r="O77" i="7947" s="1"/>
  <c r="P75" i="7947" s="1"/>
  <c r="O166" i="7947"/>
  <c r="O168" i="7947" s="1"/>
  <c r="P165" i="7947" s="1"/>
  <c r="O151" i="7947"/>
  <c r="O153" i="7947" s="1"/>
  <c r="P150" i="7947" s="1"/>
  <c r="U204" i="7947"/>
  <c r="I22" i="7947"/>
  <c r="C242" i="7947"/>
  <c r="D277" i="7947" s="1"/>
  <c r="H44" i="7947"/>
  <c r="L993" i="18"/>
  <c r="P80" i="7947"/>
  <c r="P81" i="7947" s="1"/>
  <c r="Q79" i="7947" s="1"/>
  <c r="Q740" i="7941"/>
  <c r="Q739" i="7941" s="1"/>
  <c r="Q298" i="7941"/>
  <c r="Q297" i="7941" s="1"/>
  <c r="J73" i="7941"/>
  <c r="K471" i="18"/>
  <c r="G180" i="7947"/>
  <c r="G224" i="7947" s="1"/>
  <c r="G141" i="7947"/>
  <c r="G181" i="7947" s="1"/>
  <c r="G225" i="7947" s="1"/>
  <c r="G4" i="7947" s="1"/>
  <c r="M679" i="7941"/>
  <c r="N679" i="7941" s="1"/>
  <c r="N176" i="7947"/>
  <c r="N178" i="7947" s="1"/>
  <c r="O175" i="7947" s="1"/>
  <c r="J557" i="7941"/>
  <c r="K763" i="18"/>
  <c r="N84" i="7947"/>
  <c r="N85" i="7947" s="1"/>
  <c r="O83" i="7947" s="1"/>
  <c r="O992" i="18"/>
  <c r="O830" i="18" s="1"/>
  <c r="O560" i="7941" s="1"/>
  <c r="L497" i="7941"/>
  <c r="K681" i="7941"/>
  <c r="S202" i="7947"/>
  <c r="N829" i="18"/>
  <c r="N559" i="7941" s="1"/>
  <c r="O991" i="18"/>
  <c r="O39" i="7947"/>
  <c r="O40" i="7947" s="1"/>
  <c r="P38" i="7947" s="1"/>
  <c r="N995" i="18"/>
  <c r="N833" i="18" s="1"/>
  <c r="N563" i="7941" s="1"/>
  <c r="S205" i="7947"/>
  <c r="K567" i="7941"/>
  <c r="L773" i="18"/>
  <c r="K87" i="7941"/>
  <c r="L23" i="7941" s="1"/>
  <c r="L485" i="18"/>
  <c r="K583" i="7941"/>
  <c r="L789" i="18"/>
  <c r="K678" i="7941"/>
  <c r="L494" i="7941"/>
  <c r="K82" i="7941"/>
  <c r="L480" i="18"/>
  <c r="N766" i="18"/>
  <c r="O766" i="18" s="1"/>
  <c r="P766" i="18" s="1"/>
  <c r="Q766" i="18" s="1"/>
  <c r="R766" i="18" s="1"/>
  <c r="K100" i="7941"/>
  <c r="L36" i="7941" s="1"/>
  <c r="L498" i="18"/>
  <c r="K93" i="7941"/>
  <c r="L29" i="7941" s="1"/>
  <c r="L491" i="18"/>
  <c r="K582" i="7941"/>
  <c r="L788" i="18"/>
  <c r="K568" i="7941"/>
  <c r="L774" i="18"/>
  <c r="K97" i="7941"/>
  <c r="L33" i="7941" s="1"/>
  <c r="L495" i="18"/>
  <c r="K88" i="7941"/>
  <c r="L24" i="7941" s="1"/>
  <c r="L486" i="18"/>
  <c r="K77" i="7941"/>
  <c r="L475" i="18"/>
  <c r="K75" i="7941"/>
  <c r="L473" i="18"/>
  <c r="K72" i="7941"/>
  <c r="L470" i="18"/>
  <c r="K566" i="7941"/>
  <c r="L772" i="18"/>
  <c r="K564" i="7941"/>
  <c r="L770" i="18"/>
  <c r="K574" i="7941"/>
  <c r="L780" i="18"/>
  <c r="K573" i="7941"/>
  <c r="L779" i="18"/>
  <c r="K95" i="7941"/>
  <c r="L31" i="7941" s="1"/>
  <c r="L493" i="18"/>
  <c r="K579" i="7941"/>
  <c r="L785" i="18"/>
  <c r="K90" i="7941"/>
  <c r="L26" i="7941" s="1"/>
  <c r="L488" i="18"/>
  <c r="K84" i="7941"/>
  <c r="L482" i="18"/>
  <c r="K83" i="7941"/>
  <c r="L481" i="18"/>
  <c r="L730" i="18"/>
  <c r="K81" i="7941"/>
  <c r="L479" i="18"/>
  <c r="K581" i="7941"/>
  <c r="L787" i="18"/>
  <c r="K89" i="7941"/>
  <c r="L25" i="7941" s="1"/>
  <c r="L487" i="18"/>
  <c r="K92" i="7941"/>
  <c r="L28" i="7941" s="1"/>
  <c r="L490" i="18"/>
  <c r="K578" i="7941"/>
  <c r="L784" i="18"/>
  <c r="M680" i="7941"/>
  <c r="N680" i="7941" s="1"/>
  <c r="K569" i="7941"/>
  <c r="L775" i="18"/>
  <c r="K584" i="7941"/>
  <c r="L790" i="18"/>
  <c r="K99" i="7941"/>
  <c r="L35" i="7941" s="1"/>
  <c r="L497" i="18"/>
  <c r="K570" i="7941"/>
  <c r="L776" i="18"/>
  <c r="K98" i="7941"/>
  <c r="L34" i="7941" s="1"/>
  <c r="L496" i="18"/>
  <c r="K556" i="7941"/>
  <c r="L762" i="18"/>
  <c r="K577" i="7941"/>
  <c r="L783" i="18"/>
  <c r="N499" i="7941"/>
  <c r="O499" i="7941" s="1"/>
  <c r="P499" i="7941" s="1"/>
  <c r="Q499" i="7941" s="1"/>
  <c r="L15" i="7941"/>
  <c r="K241" i="7941"/>
  <c r="K80" i="7941"/>
  <c r="L478" i="18"/>
  <c r="K580" i="7941"/>
  <c r="L786" i="18"/>
  <c r="K575" i="7941"/>
  <c r="L781" i="18"/>
  <c r="K85" i="7941"/>
  <c r="L483" i="18"/>
  <c r="K96" i="7941"/>
  <c r="L32" i="7941" s="1"/>
  <c r="L494" i="18"/>
  <c r="K76" i="7941"/>
  <c r="L474" i="18"/>
  <c r="K572" i="7941"/>
  <c r="L778" i="18"/>
  <c r="P496" i="7941"/>
  <c r="Q496" i="7941" s="1"/>
  <c r="L735" i="18"/>
  <c r="K236" i="7941"/>
  <c r="L10" i="7941"/>
  <c r="K585" i="7941"/>
  <c r="L791" i="18"/>
  <c r="L563" i="7941"/>
  <c r="L683" i="7941" s="1"/>
  <c r="M769" i="18"/>
  <c r="K91" i="7941"/>
  <c r="L27" i="7941" s="1"/>
  <c r="L489" i="18"/>
  <c r="K576" i="7941"/>
  <c r="L782" i="18"/>
  <c r="K571" i="7941"/>
  <c r="L777" i="18"/>
  <c r="K101" i="7941"/>
  <c r="L37" i="7941" s="1"/>
  <c r="L499" i="18"/>
  <c r="L990" i="18"/>
  <c r="K94" i="7941"/>
  <c r="L30" i="7941" s="1"/>
  <c r="L492" i="18"/>
  <c r="K86" i="7941"/>
  <c r="L22" i="7941" s="1"/>
  <c r="L484" i="18"/>
  <c r="K565" i="7941"/>
  <c r="L771" i="18"/>
  <c r="G105" i="7947" l="1"/>
  <c r="W209" i="7947"/>
  <c r="X209" i="7947" s="1"/>
  <c r="Y209" i="7947" s="1"/>
  <c r="Z209" i="7947" s="1"/>
  <c r="AA209" i="7947" s="1"/>
  <c r="AB209" i="7947" s="1"/>
  <c r="AC209" i="7947" s="1"/>
  <c r="AD209" i="7947" s="1"/>
  <c r="AE209" i="7947" s="1"/>
  <c r="AF209" i="7947" s="1"/>
  <c r="AG209" i="7947" s="1"/>
  <c r="AH209" i="7947" s="1"/>
  <c r="AI209" i="7947" s="1"/>
  <c r="AJ209" i="7947" s="1"/>
  <c r="AK209" i="7947" s="1"/>
  <c r="AL209" i="7947" s="1"/>
  <c r="AM209" i="7947" s="1"/>
  <c r="AN209" i="7947" s="1"/>
  <c r="AO209" i="7947" s="1"/>
  <c r="AP209" i="7947" s="1"/>
  <c r="AQ209" i="7947" s="1"/>
  <c r="AR209" i="7947" s="1"/>
  <c r="AS209" i="7947" s="1"/>
  <c r="AT209" i="7947" s="1"/>
  <c r="AU209" i="7947" s="1"/>
  <c r="AV209" i="7947" s="1"/>
  <c r="AW209" i="7947" s="1"/>
  <c r="AX209" i="7947" s="1"/>
  <c r="AY209" i="7947" s="1"/>
  <c r="AZ209" i="7947" s="1"/>
  <c r="BA209" i="7947" s="1"/>
  <c r="BB209" i="7947" s="1"/>
  <c r="BC209" i="7947" s="1"/>
  <c r="BD209" i="7947" s="1"/>
  <c r="BE209" i="7947" s="1"/>
  <c r="R210" i="7947"/>
  <c r="S212" i="7947"/>
  <c r="P213" i="7947"/>
  <c r="P214" i="7947" s="1"/>
  <c r="P218" i="7947" s="1"/>
  <c r="F19" i="7945"/>
  <c r="H260" i="7947"/>
  <c r="J260" i="7947" s="1"/>
  <c r="C260" i="7947"/>
  <c r="E260" i="7947" s="1"/>
  <c r="E271" i="7947" s="1"/>
  <c r="O220" i="7947"/>
  <c r="P217" i="7947" s="1"/>
  <c r="G143" i="7947"/>
  <c r="G183" i="7947" s="1"/>
  <c r="G227" i="7947" s="1"/>
  <c r="G5" i="7947" s="1"/>
  <c r="O679" i="7941"/>
  <c r="P679" i="7941" s="1"/>
  <c r="Q679" i="7941" s="1"/>
  <c r="P39" i="7947"/>
  <c r="P40" i="7947" s="1"/>
  <c r="Q38" i="7947" s="1"/>
  <c r="P27" i="7947"/>
  <c r="P28" i="7947" s="1"/>
  <c r="Q26" i="7947" s="1"/>
  <c r="P100" i="7947"/>
  <c r="P101" i="7947" s="1"/>
  <c r="Q99" i="7947" s="1"/>
  <c r="P166" i="7947"/>
  <c r="P168" i="7947" s="1"/>
  <c r="Q165" i="7947" s="1"/>
  <c r="O84" i="7947"/>
  <c r="O85" i="7947" s="1"/>
  <c r="P83" i="7947" s="1"/>
  <c r="O176" i="7947"/>
  <c r="O178" i="7947" s="1"/>
  <c r="P175" i="7947" s="1"/>
  <c r="P88" i="7947"/>
  <c r="P89" i="7947" s="1"/>
  <c r="Q87" i="7947" s="1"/>
  <c r="Q92" i="7947"/>
  <c r="Q93" i="7947" s="1"/>
  <c r="R91" i="7947" s="1"/>
  <c r="O171" i="7947"/>
  <c r="O173" i="7947" s="1"/>
  <c r="P170" i="7947" s="1"/>
  <c r="Q80" i="7947"/>
  <c r="Q81" i="7947" s="1"/>
  <c r="R79" i="7947" s="1"/>
  <c r="P31" i="7947"/>
  <c r="P32" i="7947" s="1"/>
  <c r="Q30" i="7947" s="1"/>
  <c r="Q161" i="7947"/>
  <c r="Q163" i="7947" s="1"/>
  <c r="R160" i="7947" s="1"/>
  <c r="T205" i="7947"/>
  <c r="H64" i="7947"/>
  <c r="H104" i="7947" s="1"/>
  <c r="H103" i="7947"/>
  <c r="P156" i="7947"/>
  <c r="P158" i="7947" s="1"/>
  <c r="Q155" i="7947" s="1"/>
  <c r="P68" i="7947"/>
  <c r="P69" i="7947" s="1"/>
  <c r="Q67" i="7947" s="1"/>
  <c r="P992" i="18"/>
  <c r="K989" i="18"/>
  <c r="J235" i="7941"/>
  <c r="K9" i="7941"/>
  <c r="I23" i="7947"/>
  <c r="I43" i="7947" s="1"/>
  <c r="I42" i="7947"/>
  <c r="F13" i="7947"/>
  <c r="F18" i="7947" s="1"/>
  <c r="T202" i="7947"/>
  <c r="O829" i="18"/>
  <c r="O559" i="7941" s="1"/>
  <c r="P991" i="18"/>
  <c r="P829" i="18" s="1"/>
  <c r="P559" i="7941" s="1"/>
  <c r="L831" i="18"/>
  <c r="M993" i="18"/>
  <c r="M831" i="18" s="1"/>
  <c r="M561" i="7941" s="1"/>
  <c r="V204" i="7947"/>
  <c r="P151" i="7947"/>
  <c r="P153" i="7947" s="1"/>
  <c r="Q150" i="7947" s="1"/>
  <c r="P76" i="7947"/>
  <c r="P77" i="7947" s="1"/>
  <c r="Q75" i="7947" s="1"/>
  <c r="P72" i="7947"/>
  <c r="P73" i="7947" s="1"/>
  <c r="Q71" i="7947" s="1"/>
  <c r="P35" i="7947"/>
  <c r="P36" i="7947" s="1"/>
  <c r="Q34" i="7947" s="1"/>
  <c r="P96" i="7947"/>
  <c r="P97" i="7947" s="1"/>
  <c r="Q95" i="7947" s="1"/>
  <c r="O995" i="18"/>
  <c r="O833" i="18" s="1"/>
  <c r="O563" i="7941" s="1"/>
  <c r="M497" i="7941"/>
  <c r="J677" i="7941"/>
  <c r="K493" i="7941"/>
  <c r="K729" i="18"/>
  <c r="H45" i="7947"/>
  <c r="M10" i="7941"/>
  <c r="N10" i="7941" s="1"/>
  <c r="O10" i="7941" s="1"/>
  <c r="P10" i="7941" s="1"/>
  <c r="Q10" i="7941" s="1"/>
  <c r="L732" i="18"/>
  <c r="K260" i="7941"/>
  <c r="L517" i="7941"/>
  <c r="K701" i="7941"/>
  <c r="L746" i="18"/>
  <c r="L996" i="18"/>
  <c r="L11" i="7941"/>
  <c r="K237" i="7941"/>
  <c r="L753" i="18"/>
  <c r="L503" i="7941"/>
  <c r="K687" i="7941"/>
  <c r="L742" i="18"/>
  <c r="L757" i="18"/>
  <c r="K253" i="7941"/>
  <c r="L12" i="7941"/>
  <c r="K238" i="7941"/>
  <c r="L21" i="7941"/>
  <c r="K247" i="7941"/>
  <c r="L516" i="7941"/>
  <c r="K700" i="7941"/>
  <c r="M15" i="7941"/>
  <c r="N15" i="7941" s="1"/>
  <c r="O15" i="7941" s="1"/>
  <c r="P15" i="7941" s="1"/>
  <c r="Q15" i="7941" s="1"/>
  <c r="L492" i="7941"/>
  <c r="K676" i="7941"/>
  <c r="L1002" i="18"/>
  <c r="L1016" i="18"/>
  <c r="K689" i="7941"/>
  <c r="L505" i="7941"/>
  <c r="L745" i="18"/>
  <c r="L737" i="18"/>
  <c r="L19" i="7941"/>
  <c r="K245" i="7941"/>
  <c r="K252" i="7941"/>
  <c r="L751" i="18"/>
  <c r="L509" i="7941"/>
  <c r="K693" i="7941"/>
  <c r="K684" i="7941"/>
  <c r="L500" i="7941"/>
  <c r="K259" i="7941"/>
  <c r="K255" i="7941"/>
  <c r="M494" i="7941"/>
  <c r="N494" i="7941" s="1"/>
  <c r="L743" i="18"/>
  <c r="K685" i="7941"/>
  <c r="L501" i="7941"/>
  <c r="L828" i="18"/>
  <c r="M990" i="18"/>
  <c r="M828" i="18" s="1"/>
  <c r="M558" i="7941" s="1"/>
  <c r="K691" i="7941"/>
  <c r="L507" i="7941"/>
  <c r="L747" i="18"/>
  <c r="L541" i="18"/>
  <c r="M735" i="18"/>
  <c r="M541" i="18" s="1"/>
  <c r="M79" i="7941" s="1"/>
  <c r="L1001" i="18"/>
  <c r="K254" i="7941"/>
  <c r="L739" i="18"/>
  <c r="L1005" i="18"/>
  <c r="L13" i="7941"/>
  <c r="K239" i="7941"/>
  <c r="L749" i="18"/>
  <c r="L519" i="7941"/>
  <c r="K703" i="7941"/>
  <c r="K248" i="7941"/>
  <c r="K263" i="7941"/>
  <c r="L1008" i="18"/>
  <c r="N769" i="18"/>
  <c r="O769" i="18" s="1"/>
  <c r="P769" i="18" s="1"/>
  <c r="Q769" i="18" s="1"/>
  <c r="R769" i="18" s="1"/>
  <c r="L1017" i="18"/>
  <c r="L1004" i="18"/>
  <c r="L752" i="18"/>
  <c r="L1007" i="18"/>
  <c r="L736" i="18"/>
  <c r="L1009" i="18"/>
  <c r="K690" i="7941"/>
  <c r="L506" i="7941"/>
  <c r="K704" i="7941"/>
  <c r="L520" i="7941"/>
  <c r="O680" i="7941"/>
  <c r="L1010" i="18"/>
  <c r="K251" i="7941"/>
  <c r="K243" i="7941"/>
  <c r="L17" i="7941"/>
  <c r="L740" i="18"/>
  <c r="L1011" i="18"/>
  <c r="K257" i="7941"/>
  <c r="L1006" i="18"/>
  <c r="L998" i="18"/>
  <c r="L8" i="7941"/>
  <c r="K234" i="7941"/>
  <c r="L744" i="18"/>
  <c r="L1000" i="18"/>
  <c r="L1014" i="18"/>
  <c r="L756" i="18"/>
  <c r="K249" i="7941"/>
  <c r="K256" i="7941"/>
  <c r="L741" i="18"/>
  <c r="L1012" i="18"/>
  <c r="L988" i="18"/>
  <c r="K261" i="7941"/>
  <c r="L728" i="18"/>
  <c r="L18" i="7941"/>
  <c r="K244" i="7941"/>
  <c r="L997" i="18"/>
  <c r="L750" i="18"/>
  <c r="L1003" i="18"/>
  <c r="L512" i="7941"/>
  <c r="K696" i="7941"/>
  <c r="M683" i="7941"/>
  <c r="N683" i="7941" s="1"/>
  <c r="O683" i="7941" s="1"/>
  <c r="P683" i="7941" s="1"/>
  <c r="Q683" i="7941" s="1"/>
  <c r="K705" i="7941"/>
  <c r="L521" i="7941"/>
  <c r="L508" i="7941"/>
  <c r="K692" i="7941"/>
  <c r="K258" i="7941"/>
  <c r="K695" i="7941"/>
  <c r="L511" i="7941"/>
  <c r="K242" i="7941"/>
  <c r="L16" i="7941"/>
  <c r="K697" i="7941"/>
  <c r="L513" i="7941"/>
  <c r="L754" i="18"/>
  <c r="L755" i="18"/>
  <c r="K698" i="7941"/>
  <c r="L514" i="7941"/>
  <c r="L748" i="18"/>
  <c r="L1013" i="18"/>
  <c r="L536" i="18"/>
  <c r="M730" i="18"/>
  <c r="M536" i="18" s="1"/>
  <c r="M74" i="7941" s="1"/>
  <c r="L20" i="7941"/>
  <c r="K246" i="7941"/>
  <c r="K699" i="7941"/>
  <c r="L515" i="7941"/>
  <c r="L510" i="7941"/>
  <c r="K694" i="7941"/>
  <c r="K686" i="7941"/>
  <c r="L502" i="7941"/>
  <c r="L731" i="18"/>
  <c r="L733" i="18"/>
  <c r="K250" i="7941"/>
  <c r="L504" i="7941"/>
  <c r="K688" i="7941"/>
  <c r="L518" i="7941"/>
  <c r="K702" i="7941"/>
  <c r="K262" i="7941"/>
  <c r="L738" i="18"/>
  <c r="L1015" i="18"/>
  <c r="L999" i="18"/>
  <c r="H140" i="7947" l="1"/>
  <c r="P220" i="7947"/>
  <c r="Q217" i="7947" s="1"/>
  <c r="T212" i="7947"/>
  <c r="U212" i="7947" s="1"/>
  <c r="V212" i="7947" s="1"/>
  <c r="W212" i="7947" s="1"/>
  <c r="X212" i="7947" s="1"/>
  <c r="Y212" i="7947" s="1"/>
  <c r="Z212" i="7947" s="1"/>
  <c r="AA212" i="7947" s="1"/>
  <c r="AB212" i="7947" s="1"/>
  <c r="AC212" i="7947" s="1"/>
  <c r="AD212" i="7947" s="1"/>
  <c r="AE212" i="7947" s="1"/>
  <c r="AF212" i="7947" s="1"/>
  <c r="AG212" i="7947" s="1"/>
  <c r="AH212" i="7947" s="1"/>
  <c r="AI212" i="7947" s="1"/>
  <c r="AJ212" i="7947" s="1"/>
  <c r="AK212" i="7947" s="1"/>
  <c r="AL212" i="7947" s="1"/>
  <c r="AM212" i="7947" s="1"/>
  <c r="AN212" i="7947" s="1"/>
  <c r="AO212" i="7947" s="1"/>
  <c r="AP212" i="7947" s="1"/>
  <c r="AQ212" i="7947" s="1"/>
  <c r="AR212" i="7947" s="1"/>
  <c r="AS212" i="7947" s="1"/>
  <c r="AT212" i="7947" s="1"/>
  <c r="AU212" i="7947" s="1"/>
  <c r="AV212" i="7947" s="1"/>
  <c r="AW212" i="7947" s="1"/>
  <c r="AX212" i="7947" s="1"/>
  <c r="AY212" i="7947" s="1"/>
  <c r="AZ212" i="7947" s="1"/>
  <c r="BA212" i="7947" s="1"/>
  <c r="BB212" i="7947" s="1"/>
  <c r="BC212" i="7947" s="1"/>
  <c r="BD212" i="7947" s="1"/>
  <c r="BE212" i="7947" s="1"/>
  <c r="L7" i="7946"/>
  <c r="Q213" i="7947"/>
  <c r="S210" i="7947"/>
  <c r="P995" i="18"/>
  <c r="P833" i="18" s="1"/>
  <c r="P563" i="7941" s="1"/>
  <c r="N497" i="7941"/>
  <c r="O497" i="7941" s="1"/>
  <c r="P497" i="7941" s="1"/>
  <c r="Q497" i="7941" s="1"/>
  <c r="Q151" i="7947"/>
  <c r="Q153" i="7947" s="1"/>
  <c r="R150" i="7947" s="1"/>
  <c r="R80" i="7947"/>
  <c r="R81" i="7947"/>
  <c r="S79" i="7947" s="1"/>
  <c r="Q35" i="7947"/>
  <c r="Q36" i="7947" s="1"/>
  <c r="R34" i="7947" s="1"/>
  <c r="Q100" i="7947"/>
  <c r="Q101" i="7947" s="1"/>
  <c r="R99" i="7947" s="1"/>
  <c r="P176" i="7947"/>
  <c r="P178" i="7947" s="1"/>
  <c r="Q175" i="7947" s="1"/>
  <c r="Q96" i="7947"/>
  <c r="Q97" i="7947" s="1"/>
  <c r="R95" i="7947" s="1"/>
  <c r="Q76" i="7947"/>
  <c r="Q77" i="7947" s="1"/>
  <c r="R75" i="7947" s="1"/>
  <c r="Q166" i="7947"/>
  <c r="Q168" i="7947" s="1"/>
  <c r="R165" i="7947" s="1"/>
  <c r="Q39" i="7947"/>
  <c r="Q40" i="7947" s="1"/>
  <c r="R38" i="7947" s="1"/>
  <c r="Q72" i="7947"/>
  <c r="Q73" i="7947" s="1"/>
  <c r="R71" i="7947" s="1"/>
  <c r="L561" i="7941"/>
  <c r="L681" i="7941" s="1"/>
  <c r="M681" i="7941" s="1"/>
  <c r="N681" i="7941" s="1"/>
  <c r="O681" i="7941" s="1"/>
  <c r="P681" i="7941" s="1"/>
  <c r="Q681" i="7941" s="1"/>
  <c r="M767" i="18"/>
  <c r="H180" i="7947"/>
  <c r="H224" i="7947" s="1"/>
  <c r="H141" i="7947"/>
  <c r="H181" i="7947" s="1"/>
  <c r="H225" i="7947" s="1"/>
  <c r="H4" i="7947" s="1"/>
  <c r="R161" i="7947"/>
  <c r="R163" i="7947" s="1"/>
  <c r="S160" i="7947" s="1"/>
  <c r="R92" i="7947"/>
  <c r="R93" i="7947" s="1"/>
  <c r="S91" i="7947" s="1"/>
  <c r="Q27" i="7947"/>
  <c r="Q28" i="7947" s="1"/>
  <c r="R26" i="7947" s="1"/>
  <c r="N730" i="18"/>
  <c r="N536" i="18" s="1"/>
  <c r="N74" i="7941" s="1"/>
  <c r="W204" i="7947"/>
  <c r="U202" i="7947"/>
  <c r="K827" i="18"/>
  <c r="H65" i="7947"/>
  <c r="Q68" i="7947"/>
  <c r="Q69" i="7947" s="1"/>
  <c r="R67" i="7947" s="1"/>
  <c r="P830" i="18"/>
  <c r="P560" i="7941" s="1"/>
  <c r="Q992" i="18"/>
  <c r="Q830" i="18" s="1"/>
  <c r="Q560" i="7941" s="1"/>
  <c r="Q156" i="7947"/>
  <c r="Q158" i="7947" s="1"/>
  <c r="R155" i="7947" s="1"/>
  <c r="U205" i="7947"/>
  <c r="Q31" i="7947"/>
  <c r="Q32" i="7947"/>
  <c r="R30" i="7947" s="1"/>
  <c r="P171" i="7947"/>
  <c r="P173" i="7947" s="1"/>
  <c r="Q170" i="7947" s="1"/>
  <c r="Q88" i="7947"/>
  <c r="Q89" i="7947" s="1"/>
  <c r="R87" i="7947" s="1"/>
  <c r="P84" i="7947"/>
  <c r="P85" i="7947" s="1"/>
  <c r="Q83" i="7947" s="1"/>
  <c r="K535" i="18"/>
  <c r="N993" i="18"/>
  <c r="Q991" i="18"/>
  <c r="Q829" i="18" s="1"/>
  <c r="Q559" i="7941" s="1"/>
  <c r="I24" i="7947"/>
  <c r="O494" i="7941"/>
  <c r="P494" i="7941" s="1"/>
  <c r="Q494" i="7941" s="1"/>
  <c r="M500" i="7941"/>
  <c r="N500" i="7941" s="1"/>
  <c r="L551" i="18"/>
  <c r="M745" i="18"/>
  <c r="M551" i="18" s="1"/>
  <c r="M89" i="7941" s="1"/>
  <c r="M516" i="7941"/>
  <c r="N516" i="7941" s="1"/>
  <c r="O516" i="7941" s="1"/>
  <c r="P516" i="7941" s="1"/>
  <c r="Q516" i="7941" s="1"/>
  <c r="M12" i="7941"/>
  <c r="N12" i="7941" s="1"/>
  <c r="O12" i="7941" s="1"/>
  <c r="P12" i="7941" s="1"/>
  <c r="Q12" i="7941" s="1"/>
  <c r="M34" i="7941"/>
  <c r="N34" i="7941" s="1"/>
  <c r="L837" i="18"/>
  <c r="M999" i="18"/>
  <c r="M837" i="18" s="1"/>
  <c r="M567" i="7941" s="1"/>
  <c r="M504" i="7941"/>
  <c r="N504" i="7941" s="1"/>
  <c r="L537" i="18"/>
  <c r="M731" i="18"/>
  <c r="M537" i="18" s="1"/>
  <c r="M75" i="7941" s="1"/>
  <c r="M510" i="7941"/>
  <c r="N510" i="7941" s="1"/>
  <c r="M20" i="7941"/>
  <c r="N20" i="7941" s="1"/>
  <c r="O20" i="7941" s="1"/>
  <c r="P20" i="7941" s="1"/>
  <c r="Q20" i="7941" s="1"/>
  <c r="L851" i="18"/>
  <c r="M1013" i="18"/>
  <c r="M851" i="18" s="1"/>
  <c r="M581" i="7941" s="1"/>
  <c r="M514" i="7941"/>
  <c r="N514" i="7941" s="1"/>
  <c r="O514" i="7941" s="1"/>
  <c r="P514" i="7941" s="1"/>
  <c r="Q514" i="7941" s="1"/>
  <c r="L561" i="18"/>
  <c r="M755" i="18"/>
  <c r="M561" i="18" s="1"/>
  <c r="M99" i="7941" s="1"/>
  <c r="M513" i="7941"/>
  <c r="N513" i="7941" s="1"/>
  <c r="O513" i="7941" s="1"/>
  <c r="P513" i="7941" s="1"/>
  <c r="Q513" i="7941" s="1"/>
  <c r="M511" i="7941"/>
  <c r="L841" i="18"/>
  <c r="M1003" i="18"/>
  <c r="M841" i="18" s="1"/>
  <c r="M571" i="7941" s="1"/>
  <c r="L556" i="18"/>
  <c r="M750" i="18"/>
  <c r="M556" i="18" s="1"/>
  <c r="M94" i="7941" s="1"/>
  <c r="M30" i="7941"/>
  <c r="N30" i="7941" s="1"/>
  <c r="O30" i="7941" s="1"/>
  <c r="P30" i="7941" s="1"/>
  <c r="Q30" i="7941" s="1"/>
  <c r="L847" i="18"/>
  <c r="M1009" i="18"/>
  <c r="M847" i="18" s="1"/>
  <c r="M577" i="7941" s="1"/>
  <c r="L542" i="18"/>
  <c r="M736" i="18"/>
  <c r="M542" i="18" s="1"/>
  <c r="M80" i="7941" s="1"/>
  <c r="L843" i="18"/>
  <c r="M1005" i="18"/>
  <c r="M843" i="18" s="1"/>
  <c r="M573" i="7941" s="1"/>
  <c r="L545" i="18"/>
  <c r="M739" i="18"/>
  <c r="M545" i="18" s="1"/>
  <c r="M83" i="7941" s="1"/>
  <c r="L553" i="18"/>
  <c r="M747" i="18"/>
  <c r="M553" i="18" s="1"/>
  <c r="M91" i="7941" s="1"/>
  <c r="N990" i="18"/>
  <c r="L558" i="7941"/>
  <c r="L678" i="7941" s="1"/>
  <c r="M764" i="18"/>
  <c r="L543" i="18"/>
  <c r="M737" i="18"/>
  <c r="M543" i="18" s="1"/>
  <c r="M81" i="7941" s="1"/>
  <c r="L854" i="18"/>
  <c r="M1016" i="18"/>
  <c r="M854" i="18" s="1"/>
  <c r="M584" i="7941" s="1"/>
  <c r="L840" i="18"/>
  <c r="M1002" i="18"/>
  <c r="M840" i="18" s="1"/>
  <c r="M570" i="7941" s="1"/>
  <c r="L548" i="18"/>
  <c r="M742" i="18"/>
  <c r="M548" i="18" s="1"/>
  <c r="M86" i="7941" s="1"/>
  <c r="L559" i="18"/>
  <c r="M753" i="18"/>
  <c r="M559" i="18" s="1"/>
  <c r="M97" i="7941" s="1"/>
  <c r="L552" i="18"/>
  <c r="M746" i="18"/>
  <c r="M552" i="18" s="1"/>
  <c r="M90" i="7941" s="1"/>
  <c r="L538" i="18"/>
  <c r="M732" i="18"/>
  <c r="M538" i="18" s="1"/>
  <c r="M76" i="7941" s="1"/>
  <c r="M24" i="7941"/>
  <c r="N24" i="7941" s="1"/>
  <c r="O24" i="7941" s="1"/>
  <c r="P24" i="7941" s="1"/>
  <c r="Q24" i="7941" s="1"/>
  <c r="L539" i="18"/>
  <c r="M733" i="18"/>
  <c r="M539" i="18" s="1"/>
  <c r="M77" i="7941" s="1"/>
  <c r="M502" i="7941"/>
  <c r="N502" i="7941" s="1"/>
  <c r="M515" i="7941"/>
  <c r="N515" i="7941" s="1"/>
  <c r="O515" i="7941" s="1"/>
  <c r="P515" i="7941" s="1"/>
  <c r="Q515" i="7941" s="1"/>
  <c r="M508" i="7941"/>
  <c r="N508" i="7941" s="1"/>
  <c r="O508" i="7941" s="1"/>
  <c r="P508" i="7941" s="1"/>
  <c r="Q508" i="7941" s="1"/>
  <c r="M18" i="7941"/>
  <c r="N18" i="7941" s="1"/>
  <c r="O18" i="7941" s="1"/>
  <c r="P18" i="7941" s="1"/>
  <c r="Q18" i="7941" s="1"/>
  <c r="L534" i="18"/>
  <c r="M728" i="18"/>
  <c r="L852" i="18"/>
  <c r="M1014" i="18"/>
  <c r="M852" i="18" s="1"/>
  <c r="M582" i="7941" s="1"/>
  <c r="L844" i="18"/>
  <c r="M1006" i="18"/>
  <c r="M844" i="18" s="1"/>
  <c r="M574" i="7941" s="1"/>
  <c r="L849" i="18"/>
  <c r="M1011" i="18"/>
  <c r="M849" i="18" s="1"/>
  <c r="M579" i="7941" s="1"/>
  <c r="L546" i="18"/>
  <c r="M740" i="18"/>
  <c r="M546" i="18" s="1"/>
  <c r="M84" i="7941" s="1"/>
  <c r="M25" i="7941"/>
  <c r="N25" i="7941" s="1"/>
  <c r="L848" i="18"/>
  <c r="M1010" i="18"/>
  <c r="M848" i="18" s="1"/>
  <c r="M578" i="7941" s="1"/>
  <c r="M506" i="7941"/>
  <c r="N506" i="7941" s="1"/>
  <c r="O506" i="7941" s="1"/>
  <c r="P506" i="7941" s="1"/>
  <c r="Q506" i="7941" s="1"/>
  <c r="L842" i="18"/>
  <c r="M1004" i="18"/>
  <c r="M842" i="18" s="1"/>
  <c r="M572" i="7941" s="1"/>
  <c r="L846" i="18"/>
  <c r="M1008" i="18"/>
  <c r="M846" i="18" s="1"/>
  <c r="M576" i="7941" s="1"/>
  <c r="M22" i="7941"/>
  <c r="N22" i="7941" s="1"/>
  <c r="O22" i="7941" s="1"/>
  <c r="P22" i="7941" s="1"/>
  <c r="Q22" i="7941" s="1"/>
  <c r="M13" i="7941"/>
  <c r="N13" i="7941" s="1"/>
  <c r="O13" i="7941" s="1"/>
  <c r="P13" i="7941" s="1"/>
  <c r="Q13" i="7941" s="1"/>
  <c r="N735" i="18"/>
  <c r="L79" i="7941"/>
  <c r="L241" i="7941" s="1"/>
  <c r="M477" i="18"/>
  <c r="N477" i="18" s="1"/>
  <c r="O477" i="18" s="1"/>
  <c r="P477" i="18" s="1"/>
  <c r="Q477" i="18" s="1"/>
  <c r="R477" i="18" s="1"/>
  <c r="M507" i="7941"/>
  <c r="N507" i="7941" s="1"/>
  <c r="O507" i="7941" s="1"/>
  <c r="P507" i="7941" s="1"/>
  <c r="Q507" i="7941" s="1"/>
  <c r="M501" i="7941"/>
  <c r="L549" i="18"/>
  <c r="M743" i="18"/>
  <c r="M549" i="18" s="1"/>
  <c r="M87" i="7941" s="1"/>
  <c r="M29" i="7941"/>
  <c r="N29" i="7941" s="1"/>
  <c r="O29" i="7941" s="1"/>
  <c r="P29" i="7941" s="1"/>
  <c r="Q29" i="7941" s="1"/>
  <c r="M33" i="7941"/>
  <c r="N33" i="7941" s="1"/>
  <c r="O33" i="7941" s="1"/>
  <c r="P33" i="7941" s="1"/>
  <c r="Q33" i="7941" s="1"/>
  <c r="L557" i="18"/>
  <c r="M751" i="18"/>
  <c r="M557" i="18" s="1"/>
  <c r="M95" i="7941" s="1"/>
  <c r="M19" i="7941"/>
  <c r="N19" i="7941" s="1"/>
  <c r="O19" i="7941" s="1"/>
  <c r="P19" i="7941" s="1"/>
  <c r="Q19" i="7941" s="1"/>
  <c r="M505" i="7941"/>
  <c r="N505" i="7941" s="1"/>
  <c r="O505" i="7941" s="1"/>
  <c r="P505" i="7941" s="1"/>
  <c r="Q505" i="7941" s="1"/>
  <c r="M21" i="7941"/>
  <c r="N21" i="7941" s="1"/>
  <c r="O21" i="7941" s="1"/>
  <c r="P21" i="7941" s="1"/>
  <c r="Q21" i="7941" s="1"/>
  <c r="L563" i="18"/>
  <c r="M757" i="18"/>
  <c r="M563" i="18" s="1"/>
  <c r="M101" i="7941" s="1"/>
  <c r="L834" i="18"/>
  <c r="M996" i="18"/>
  <c r="M834" i="18" s="1"/>
  <c r="M564" i="7941" s="1"/>
  <c r="L853" i="18"/>
  <c r="M1015" i="18"/>
  <c r="M853" i="18" s="1"/>
  <c r="M583" i="7941" s="1"/>
  <c r="M36" i="7941"/>
  <c r="L554" i="18"/>
  <c r="M748" i="18"/>
  <c r="M554" i="18" s="1"/>
  <c r="M92" i="7941" s="1"/>
  <c r="L560" i="18"/>
  <c r="M754" i="18"/>
  <c r="M560" i="18" s="1"/>
  <c r="M98" i="7941" s="1"/>
  <c r="L835" i="18"/>
  <c r="M997" i="18"/>
  <c r="M835" i="18" s="1"/>
  <c r="M565" i="7941" s="1"/>
  <c r="M35" i="7941"/>
  <c r="N35" i="7941" s="1"/>
  <c r="O35" i="7941" s="1"/>
  <c r="P35" i="7941" s="1"/>
  <c r="Q35" i="7941" s="1"/>
  <c r="L826" i="18"/>
  <c r="M988" i="18"/>
  <c r="N988" i="18" s="1"/>
  <c r="L850" i="18"/>
  <c r="M1012" i="18"/>
  <c r="M850" i="18" s="1"/>
  <c r="M580" i="7941" s="1"/>
  <c r="L838" i="18"/>
  <c r="M1000" i="18"/>
  <c r="M838" i="18" s="1"/>
  <c r="M568" i="7941" s="1"/>
  <c r="L550" i="18"/>
  <c r="M744" i="18"/>
  <c r="M550" i="18" s="1"/>
  <c r="M88" i="7941" s="1"/>
  <c r="M520" i="7941"/>
  <c r="N520" i="7941" s="1"/>
  <c r="O520" i="7941" s="1"/>
  <c r="P520" i="7941" s="1"/>
  <c r="Q520" i="7941" s="1"/>
  <c r="L855" i="18"/>
  <c r="M1017" i="18"/>
  <c r="M855" i="18" s="1"/>
  <c r="M585" i="7941" s="1"/>
  <c r="M519" i="7941"/>
  <c r="N519" i="7941" s="1"/>
  <c r="L555" i="18"/>
  <c r="M749" i="18"/>
  <c r="M555" i="18" s="1"/>
  <c r="M93" i="7941" s="1"/>
  <c r="M28" i="7941"/>
  <c r="L544" i="18"/>
  <c r="M738" i="18"/>
  <c r="M544" i="18" s="1"/>
  <c r="M82" i="7941" s="1"/>
  <c r="M518" i="7941"/>
  <c r="N518" i="7941" s="1"/>
  <c r="O518" i="7941" s="1"/>
  <c r="P518" i="7941" s="1"/>
  <c r="Q518" i="7941" s="1"/>
  <c r="L74" i="7941"/>
  <c r="L236" i="7941" s="1"/>
  <c r="M472" i="18"/>
  <c r="M16" i="7941"/>
  <c r="N16" i="7941" s="1"/>
  <c r="O16" i="7941" s="1"/>
  <c r="P16" i="7941" s="1"/>
  <c r="Q16" i="7941" s="1"/>
  <c r="M32" i="7941"/>
  <c r="N32" i="7941" s="1"/>
  <c r="O32" i="7941" s="1"/>
  <c r="P32" i="7941" s="1"/>
  <c r="Q32" i="7941" s="1"/>
  <c r="M521" i="7941"/>
  <c r="N521" i="7941" s="1"/>
  <c r="O521" i="7941" s="1"/>
  <c r="P521" i="7941" s="1"/>
  <c r="Q521" i="7941" s="1"/>
  <c r="M512" i="7941"/>
  <c r="L547" i="18"/>
  <c r="M741" i="18"/>
  <c r="M547" i="18" s="1"/>
  <c r="M85" i="7941" s="1"/>
  <c r="M23" i="7941"/>
  <c r="N23" i="7941" s="1"/>
  <c r="O23" i="7941" s="1"/>
  <c r="P23" i="7941" s="1"/>
  <c r="Q23" i="7941" s="1"/>
  <c r="L562" i="18"/>
  <c r="M756" i="18"/>
  <c r="M562" i="18" s="1"/>
  <c r="M100" i="7941" s="1"/>
  <c r="M8" i="7941"/>
  <c r="L836" i="18"/>
  <c r="M998" i="18"/>
  <c r="M836" i="18" s="1"/>
  <c r="M566" i="7941" s="1"/>
  <c r="M31" i="7941"/>
  <c r="N31" i="7941" s="1"/>
  <c r="O31" i="7941" s="1"/>
  <c r="P31" i="7941" s="1"/>
  <c r="Q31" i="7941" s="1"/>
  <c r="M17" i="7941"/>
  <c r="N17" i="7941" s="1"/>
  <c r="O17" i="7941" s="1"/>
  <c r="P680" i="7941"/>
  <c r="Q680" i="7941" s="1"/>
  <c r="L845" i="18"/>
  <c r="M1007" i="18"/>
  <c r="M845" i="18" s="1"/>
  <c r="M575" i="7941" s="1"/>
  <c r="L558" i="18"/>
  <c r="M752" i="18"/>
  <c r="M558" i="18" s="1"/>
  <c r="M96" i="7941" s="1"/>
  <c r="M37" i="7941"/>
  <c r="N37" i="7941" s="1"/>
  <c r="O37" i="7941" s="1"/>
  <c r="P37" i="7941" s="1"/>
  <c r="Q37" i="7941" s="1"/>
  <c r="L839" i="18"/>
  <c r="M1001" i="18"/>
  <c r="M839" i="18" s="1"/>
  <c r="M569" i="7941" s="1"/>
  <c r="M509" i="7941"/>
  <c r="N509" i="7941" s="1"/>
  <c r="M26" i="7941"/>
  <c r="N26" i="7941" s="1"/>
  <c r="M492" i="7941"/>
  <c r="N492" i="7941" s="1"/>
  <c r="M27" i="7941"/>
  <c r="N27" i="7941" s="1"/>
  <c r="M503" i="7941"/>
  <c r="N503" i="7941" s="1"/>
  <c r="M11" i="7941"/>
  <c r="N11" i="7941" s="1"/>
  <c r="O11" i="7941" s="1"/>
  <c r="P11" i="7941" s="1"/>
  <c r="Q11" i="7941" s="1"/>
  <c r="M517" i="7941"/>
  <c r="N517" i="7941" s="1"/>
  <c r="O517" i="7941" s="1"/>
  <c r="P517" i="7941" s="1"/>
  <c r="Q517" i="7941" s="1"/>
  <c r="N731" i="18" l="1"/>
  <c r="N537" i="18" s="1"/>
  <c r="N75" i="7941" s="1"/>
  <c r="H259" i="7947"/>
  <c r="J259" i="7947" s="1"/>
  <c r="C259" i="7947"/>
  <c r="E259" i="7947" s="1"/>
  <c r="E270" i="7947" s="1"/>
  <c r="T210" i="7947"/>
  <c r="Q214" i="7947"/>
  <c r="Q218" i="7947" s="1"/>
  <c r="Q220" i="7947" s="1"/>
  <c r="R217" i="7947" s="1"/>
  <c r="R213" i="7947"/>
  <c r="R214" i="7947" s="1"/>
  <c r="R218" i="7947" s="1"/>
  <c r="N996" i="18"/>
  <c r="N834" i="18" s="1"/>
  <c r="N564" i="7941" s="1"/>
  <c r="O502" i="7941"/>
  <c r="P502" i="7941" s="1"/>
  <c r="Q502" i="7941" s="1"/>
  <c r="N748" i="18"/>
  <c r="N554" i="18" s="1"/>
  <c r="N92" i="7941" s="1"/>
  <c r="N1015" i="18"/>
  <c r="N853" i="18" s="1"/>
  <c r="N583" i="7941" s="1"/>
  <c r="N752" i="18"/>
  <c r="N558" i="18" s="1"/>
  <c r="N96" i="7941" s="1"/>
  <c r="N757" i="18"/>
  <c r="N563" i="18" s="1"/>
  <c r="N101" i="7941" s="1"/>
  <c r="Q995" i="18"/>
  <c r="Q833" i="18" s="1"/>
  <c r="Q563" i="7941" s="1"/>
  <c r="N1013" i="18"/>
  <c r="N851" i="18" s="1"/>
  <c r="N581" i="7941" s="1"/>
  <c r="N1004" i="18"/>
  <c r="N842" i="18" s="1"/>
  <c r="N572" i="7941" s="1"/>
  <c r="N736" i="18"/>
  <c r="N542" i="18" s="1"/>
  <c r="N80" i="7941" s="1"/>
  <c r="H143" i="7947"/>
  <c r="H183" i="7947" s="1"/>
  <c r="O509" i="7941"/>
  <c r="P509" i="7941" s="1"/>
  <c r="Q509" i="7941" s="1"/>
  <c r="N741" i="18"/>
  <c r="N547" i="18" s="1"/>
  <c r="N85" i="7941" s="1"/>
  <c r="O519" i="7941"/>
  <c r="P519" i="7941" s="1"/>
  <c r="Q519" i="7941" s="1"/>
  <c r="N36" i="7941"/>
  <c r="N753" i="18"/>
  <c r="N559" i="18" s="1"/>
  <c r="N97" i="7941" s="1"/>
  <c r="N745" i="18"/>
  <c r="N551" i="18" s="1"/>
  <c r="N89" i="7941" s="1"/>
  <c r="O730" i="18"/>
  <c r="O536" i="18" s="1"/>
  <c r="O74" i="7941" s="1"/>
  <c r="Q176" i="7947"/>
  <c r="Q178" i="7947" s="1"/>
  <c r="R175" i="7947" s="1"/>
  <c r="Q171" i="7947"/>
  <c r="Q173" i="7947" s="1"/>
  <c r="R170" i="7947" s="1"/>
  <c r="S92" i="7947"/>
  <c r="S93" i="7947" s="1"/>
  <c r="T91" i="7947" s="1"/>
  <c r="R76" i="7947"/>
  <c r="R77" i="7947" s="1"/>
  <c r="S75" i="7947" s="1"/>
  <c r="R100" i="7947"/>
  <c r="R101" i="7947" s="1"/>
  <c r="S99" i="7947" s="1"/>
  <c r="R151" i="7947"/>
  <c r="R153" i="7947" s="1"/>
  <c r="S150" i="7947" s="1"/>
  <c r="R68" i="7947"/>
  <c r="R69" i="7947" s="1"/>
  <c r="S67" i="7947" s="1"/>
  <c r="I140" i="7947"/>
  <c r="H184" i="7947"/>
  <c r="O26" i="7941"/>
  <c r="P26" i="7941" s="1"/>
  <c r="Q26" i="7941" s="1"/>
  <c r="N740" i="18"/>
  <c r="N546" i="18" s="1"/>
  <c r="N84" i="7941" s="1"/>
  <c r="O500" i="7941"/>
  <c r="P500" i="7941" s="1"/>
  <c r="Q500" i="7941" s="1"/>
  <c r="J22" i="7947"/>
  <c r="I44" i="7947"/>
  <c r="V202" i="7947"/>
  <c r="K73" i="7941"/>
  <c r="L471" i="18"/>
  <c r="R88" i="7947"/>
  <c r="R89" i="7947" s="1"/>
  <c r="S87" i="7947" s="1"/>
  <c r="R31" i="7947"/>
  <c r="R32" i="7947" s="1"/>
  <c r="S30" i="7947" s="1"/>
  <c r="X204" i="7947"/>
  <c r="R166" i="7947"/>
  <c r="R168" i="7947" s="1"/>
  <c r="S165" i="7947" s="1"/>
  <c r="R96" i="7947"/>
  <c r="R97" i="7947"/>
  <c r="S95" i="7947" s="1"/>
  <c r="S80" i="7947"/>
  <c r="S81" i="7947" s="1"/>
  <c r="T79" i="7947" s="1"/>
  <c r="N1008" i="18"/>
  <c r="N846" i="18" s="1"/>
  <c r="N576" i="7941" s="1"/>
  <c r="N742" i="18"/>
  <c r="N548" i="18" s="1"/>
  <c r="N86" i="7941" s="1"/>
  <c r="O34" i="7941"/>
  <c r="P34" i="7941" s="1"/>
  <c r="Q34" i="7941" s="1"/>
  <c r="R156" i="7947"/>
  <c r="R158" i="7947" s="1"/>
  <c r="S155" i="7947" s="1"/>
  <c r="R27" i="7947"/>
  <c r="R28" i="7947" s="1"/>
  <c r="S26" i="7947" s="1"/>
  <c r="S161" i="7947"/>
  <c r="S163" i="7947" s="1"/>
  <c r="T160" i="7947" s="1"/>
  <c r="R72" i="7947"/>
  <c r="R73" i="7947" s="1"/>
  <c r="S71" i="7947" s="1"/>
  <c r="R39" i="7947"/>
  <c r="R40" i="7947" s="1"/>
  <c r="S38" i="7947" s="1"/>
  <c r="R35" i="7947"/>
  <c r="R36" i="7947" s="1"/>
  <c r="S34" i="7947" s="1"/>
  <c r="N1001" i="18"/>
  <c r="N839" i="18" s="1"/>
  <c r="N569" i="7941" s="1"/>
  <c r="N28" i="7941"/>
  <c r="O28" i="7941" s="1"/>
  <c r="P28" i="7941" s="1"/>
  <c r="N997" i="18"/>
  <c r="N835" i="18" s="1"/>
  <c r="N565" i="7941" s="1"/>
  <c r="N733" i="18"/>
  <c r="N539" i="18" s="1"/>
  <c r="N77" i="7941" s="1"/>
  <c r="N1016" i="18"/>
  <c r="N854" i="18" s="1"/>
  <c r="N584" i="7941" s="1"/>
  <c r="N999" i="18"/>
  <c r="N837" i="18" s="1"/>
  <c r="N567" i="7941" s="1"/>
  <c r="N831" i="18"/>
  <c r="N561" i="7941" s="1"/>
  <c r="O993" i="18"/>
  <c r="Q84" i="7947"/>
  <c r="Q85" i="7947" s="1"/>
  <c r="R83" i="7947" s="1"/>
  <c r="V205" i="7947"/>
  <c r="I63" i="7947"/>
  <c r="H106" i="7947"/>
  <c r="H105" i="7947"/>
  <c r="K557" i="7941"/>
  <c r="L763" i="18"/>
  <c r="N767" i="18"/>
  <c r="O767" i="18" s="1"/>
  <c r="P767" i="18" s="1"/>
  <c r="Q767" i="18" s="1"/>
  <c r="R767" i="18" s="1"/>
  <c r="O503" i="7941"/>
  <c r="P503" i="7941" s="1"/>
  <c r="Q503" i="7941" s="1"/>
  <c r="O27" i="7941"/>
  <c r="P27" i="7941" s="1"/>
  <c r="Q27" i="7941" s="1"/>
  <c r="L575" i="7941"/>
  <c r="L695" i="7941" s="1"/>
  <c r="M781" i="18"/>
  <c r="N781" i="18" s="1"/>
  <c r="O781" i="18" s="1"/>
  <c r="P781" i="18" s="1"/>
  <c r="Q781" i="18" s="1"/>
  <c r="R781" i="18" s="1"/>
  <c r="L100" i="7941"/>
  <c r="L262" i="7941" s="1"/>
  <c r="M498" i="18"/>
  <c r="N498" i="18" s="1"/>
  <c r="O498" i="18" s="1"/>
  <c r="P498" i="18" s="1"/>
  <c r="Q498" i="18" s="1"/>
  <c r="R498" i="18" s="1"/>
  <c r="L85" i="7941"/>
  <c r="L247" i="7941" s="1"/>
  <c r="M483" i="18"/>
  <c r="L88" i="7941"/>
  <c r="L250" i="7941" s="1"/>
  <c r="M486" i="18"/>
  <c r="L556" i="7941"/>
  <c r="M762" i="18"/>
  <c r="L565" i="7941"/>
  <c r="L685" i="7941" s="1"/>
  <c r="M771" i="18"/>
  <c r="N743" i="18"/>
  <c r="N549" i="18" s="1"/>
  <c r="N87" i="7941" s="1"/>
  <c r="N541" i="18"/>
  <c r="N79" i="7941" s="1"/>
  <c r="O735" i="18"/>
  <c r="N1010" i="18"/>
  <c r="N848" i="18" s="1"/>
  <c r="N578" i="7941" s="1"/>
  <c r="L97" i="7941"/>
  <c r="L259" i="7941" s="1"/>
  <c r="M495" i="18"/>
  <c r="N495" i="18" s="1"/>
  <c r="O495" i="18" s="1"/>
  <c r="P495" i="18" s="1"/>
  <c r="Q495" i="18" s="1"/>
  <c r="R495" i="18" s="1"/>
  <c r="L571" i="7941"/>
  <c r="L691" i="7941" s="1"/>
  <c r="M777" i="18"/>
  <c r="N777" i="18" s="1"/>
  <c r="O777" i="18" s="1"/>
  <c r="P777" i="18" s="1"/>
  <c r="Q777" i="18" s="1"/>
  <c r="R777" i="18" s="1"/>
  <c r="N472" i="18"/>
  <c r="O472" i="18" s="1"/>
  <c r="P472" i="18" s="1"/>
  <c r="Q472" i="18" s="1"/>
  <c r="R472" i="18" s="1"/>
  <c r="L82" i="7941"/>
  <c r="L244" i="7941" s="1"/>
  <c r="M480" i="18"/>
  <c r="N749" i="18"/>
  <c r="N1012" i="18"/>
  <c r="L98" i="7941"/>
  <c r="L260" i="7941" s="1"/>
  <c r="M496" i="18"/>
  <c r="N496" i="18" s="1"/>
  <c r="O496" i="18" s="1"/>
  <c r="P496" i="18" s="1"/>
  <c r="Q496" i="18" s="1"/>
  <c r="R496" i="18" s="1"/>
  <c r="L87" i="7941"/>
  <c r="L249" i="7941" s="1"/>
  <c r="M485" i="18"/>
  <c r="N501" i="7941"/>
  <c r="O501" i="7941" s="1"/>
  <c r="P501" i="7941" s="1"/>
  <c r="Q501" i="7941" s="1"/>
  <c r="L572" i="7941"/>
  <c r="L692" i="7941" s="1"/>
  <c r="M778" i="18"/>
  <c r="L578" i="7941"/>
  <c r="L698" i="7941" s="1"/>
  <c r="M784" i="18"/>
  <c r="N1006" i="18"/>
  <c r="L574" i="7941"/>
  <c r="L694" i="7941" s="1"/>
  <c r="M780" i="18"/>
  <c r="L582" i="7941"/>
  <c r="L702" i="7941" s="1"/>
  <c r="M788" i="18"/>
  <c r="M534" i="18"/>
  <c r="N732" i="18"/>
  <c r="N746" i="18"/>
  <c r="N552" i="18" s="1"/>
  <c r="N90" i="7941" s="1"/>
  <c r="L570" i="7941"/>
  <c r="L690" i="7941" s="1"/>
  <c r="M776" i="18"/>
  <c r="N776" i="18" s="1"/>
  <c r="O776" i="18" s="1"/>
  <c r="P776" i="18" s="1"/>
  <c r="Q776" i="18" s="1"/>
  <c r="R776" i="18" s="1"/>
  <c r="L81" i="7941"/>
  <c r="L243" i="7941" s="1"/>
  <c r="M479" i="18"/>
  <c r="N747" i="18"/>
  <c r="N553" i="18" s="1"/>
  <c r="N91" i="7941" s="1"/>
  <c r="N1009" i="18"/>
  <c r="O510" i="7941"/>
  <c r="P510" i="7941" s="1"/>
  <c r="Q510" i="7941" s="1"/>
  <c r="L75" i="7941"/>
  <c r="L237" i="7941" s="1"/>
  <c r="M473" i="18"/>
  <c r="N473" i="18" s="1"/>
  <c r="O473" i="18" s="1"/>
  <c r="P473" i="18" s="1"/>
  <c r="Q473" i="18" s="1"/>
  <c r="R473" i="18" s="1"/>
  <c r="N826" i="18"/>
  <c r="L72" i="7941"/>
  <c r="M470" i="18"/>
  <c r="N737" i="18"/>
  <c r="M678" i="7941"/>
  <c r="N678" i="7941" s="1"/>
  <c r="O678" i="7941" s="1"/>
  <c r="P678" i="7941" s="1"/>
  <c r="Q678" i="7941" s="1"/>
  <c r="L573" i="7941"/>
  <c r="L693" i="7941" s="1"/>
  <c r="M779" i="18"/>
  <c r="N779" i="18" s="1"/>
  <c r="O779" i="18" s="1"/>
  <c r="P779" i="18" s="1"/>
  <c r="Q779" i="18" s="1"/>
  <c r="R779" i="18" s="1"/>
  <c r="L577" i="7941"/>
  <c r="L697" i="7941" s="1"/>
  <c r="M783" i="18"/>
  <c r="N783" i="18" s="1"/>
  <c r="O783" i="18" s="1"/>
  <c r="P783" i="18" s="1"/>
  <c r="Q783" i="18" s="1"/>
  <c r="R783" i="18" s="1"/>
  <c r="L93" i="7941"/>
  <c r="L255" i="7941" s="1"/>
  <c r="M491" i="18"/>
  <c r="N491" i="18" s="1"/>
  <c r="O491" i="18" s="1"/>
  <c r="P491" i="18" s="1"/>
  <c r="Q491" i="18" s="1"/>
  <c r="R491" i="18" s="1"/>
  <c r="L580" i="7941"/>
  <c r="L700" i="7941" s="1"/>
  <c r="M786" i="18"/>
  <c r="N786" i="18" s="1"/>
  <c r="O786" i="18" s="1"/>
  <c r="P786" i="18" s="1"/>
  <c r="Q786" i="18" s="1"/>
  <c r="R786" i="18" s="1"/>
  <c r="L564" i="7941"/>
  <c r="L684" i="7941" s="1"/>
  <c r="M770" i="18"/>
  <c r="L84" i="7941"/>
  <c r="L246" i="7941" s="1"/>
  <c r="M482" i="18"/>
  <c r="N482" i="18" s="1"/>
  <c r="O482" i="18" s="1"/>
  <c r="P482" i="18" s="1"/>
  <c r="Q482" i="18" s="1"/>
  <c r="R482" i="18" s="1"/>
  <c r="N828" i="18"/>
  <c r="N558" i="7941" s="1"/>
  <c r="O990" i="18"/>
  <c r="N750" i="18"/>
  <c r="L96" i="7941"/>
  <c r="L258" i="7941" s="1"/>
  <c r="M494" i="18"/>
  <c r="N494" i="18" s="1"/>
  <c r="O494" i="18" s="1"/>
  <c r="P494" i="18" s="1"/>
  <c r="Q494" i="18" s="1"/>
  <c r="R494" i="18" s="1"/>
  <c r="P17" i="7941"/>
  <c r="Q17" i="7941" s="1"/>
  <c r="N8" i="7941"/>
  <c r="N756" i="18"/>
  <c r="N512" i="7941"/>
  <c r="M236" i="7941"/>
  <c r="N236" i="7941" s="1"/>
  <c r="O236" i="7941" s="1"/>
  <c r="P236" i="7941" s="1"/>
  <c r="Q236" i="7941" s="1"/>
  <c r="N738" i="18"/>
  <c r="N544" i="18" s="1"/>
  <c r="N82" i="7941" s="1"/>
  <c r="L585" i="7941"/>
  <c r="L705" i="7941" s="1"/>
  <c r="M791" i="18"/>
  <c r="N791" i="18" s="1"/>
  <c r="O791" i="18" s="1"/>
  <c r="P791" i="18" s="1"/>
  <c r="Q791" i="18" s="1"/>
  <c r="R791" i="18" s="1"/>
  <c r="L568" i="7941"/>
  <c r="L688" i="7941" s="1"/>
  <c r="M774" i="18"/>
  <c r="O988" i="18"/>
  <c r="N754" i="18"/>
  <c r="L583" i="7941"/>
  <c r="L703" i="7941" s="1"/>
  <c r="M789" i="18"/>
  <c r="N751" i="18"/>
  <c r="O751" i="18" s="1"/>
  <c r="O557" i="18" s="1"/>
  <c r="O95" i="7941" s="1"/>
  <c r="L95" i="7941"/>
  <c r="L257" i="7941" s="1"/>
  <c r="M493" i="18"/>
  <c r="O25" i="7941"/>
  <c r="P25" i="7941" s="1"/>
  <c r="Q25" i="7941" s="1"/>
  <c r="N1011" i="18"/>
  <c r="N1014" i="18"/>
  <c r="N728" i="18"/>
  <c r="L77" i="7941"/>
  <c r="L239" i="7941" s="1"/>
  <c r="M475" i="18"/>
  <c r="N475" i="18" s="1"/>
  <c r="O475" i="18" s="1"/>
  <c r="P475" i="18" s="1"/>
  <c r="Q475" i="18" s="1"/>
  <c r="R475" i="18" s="1"/>
  <c r="L90" i="7941"/>
  <c r="L252" i="7941" s="1"/>
  <c r="M488" i="18"/>
  <c r="L86" i="7941"/>
  <c r="L248" i="7941" s="1"/>
  <c r="M484" i="18"/>
  <c r="N484" i="18" s="1"/>
  <c r="O484" i="18" s="1"/>
  <c r="P484" i="18" s="1"/>
  <c r="Q484" i="18" s="1"/>
  <c r="R484" i="18" s="1"/>
  <c r="N1002" i="18"/>
  <c r="N739" i="18"/>
  <c r="L83" i="7941"/>
  <c r="L245" i="7941" s="1"/>
  <c r="M481" i="18"/>
  <c r="L80" i="7941"/>
  <c r="L242" i="7941" s="1"/>
  <c r="M478" i="18"/>
  <c r="L94" i="7941"/>
  <c r="L256" i="7941" s="1"/>
  <c r="M492" i="18"/>
  <c r="N492" i="18" s="1"/>
  <c r="O492" i="18" s="1"/>
  <c r="P492" i="18" s="1"/>
  <c r="Q492" i="18" s="1"/>
  <c r="R492" i="18" s="1"/>
  <c r="N1003" i="18"/>
  <c r="N511" i="7941"/>
  <c r="N755" i="18"/>
  <c r="O504" i="7941"/>
  <c r="P504" i="7941" s="1"/>
  <c r="Q504" i="7941" s="1"/>
  <c r="L567" i="7941"/>
  <c r="L687" i="7941" s="1"/>
  <c r="M773" i="18"/>
  <c r="L89" i="7941"/>
  <c r="L251" i="7941" s="1"/>
  <c r="M487" i="18"/>
  <c r="O492" i="7941"/>
  <c r="L569" i="7941"/>
  <c r="L689" i="7941" s="1"/>
  <c r="M775" i="18"/>
  <c r="N775" i="18" s="1"/>
  <c r="O775" i="18" s="1"/>
  <c r="P775" i="18" s="1"/>
  <c r="Q775" i="18" s="1"/>
  <c r="R775" i="18" s="1"/>
  <c r="N1007" i="18"/>
  <c r="N998" i="18"/>
  <c r="L566" i="7941"/>
  <c r="L686" i="7941" s="1"/>
  <c r="M772" i="18"/>
  <c r="N1017" i="18"/>
  <c r="N744" i="18"/>
  <c r="N1000" i="18"/>
  <c r="M826" i="18"/>
  <c r="L92" i="7941"/>
  <c r="L254" i="7941" s="1"/>
  <c r="M490" i="18"/>
  <c r="L101" i="7941"/>
  <c r="L263" i="7941" s="1"/>
  <c r="M499" i="18"/>
  <c r="M241" i="7941"/>
  <c r="N241" i="7941" s="1"/>
  <c r="O241" i="7941" s="1"/>
  <c r="P241" i="7941" s="1"/>
  <c r="Q241" i="7941" s="1"/>
  <c r="L576" i="7941"/>
  <c r="L696" i="7941" s="1"/>
  <c r="M782" i="18"/>
  <c r="L579" i="7941"/>
  <c r="L699" i="7941" s="1"/>
  <c r="M785" i="18"/>
  <c r="L76" i="7941"/>
  <c r="L238" i="7941" s="1"/>
  <c r="M474" i="18"/>
  <c r="N474" i="18" s="1"/>
  <c r="O474" i="18" s="1"/>
  <c r="P474" i="18" s="1"/>
  <c r="Q474" i="18" s="1"/>
  <c r="R474" i="18" s="1"/>
  <c r="L584" i="7941"/>
  <c r="L704" i="7941" s="1"/>
  <c r="M790" i="18"/>
  <c r="N764" i="18"/>
  <c r="O764" i="18" s="1"/>
  <c r="P764" i="18" s="1"/>
  <c r="Q764" i="18" s="1"/>
  <c r="R764" i="18" s="1"/>
  <c r="L91" i="7941"/>
  <c r="L253" i="7941" s="1"/>
  <c r="M489" i="18"/>
  <c r="N1005" i="18"/>
  <c r="L99" i="7941"/>
  <c r="L261" i="7941" s="1"/>
  <c r="M497" i="18"/>
  <c r="N497" i="18" s="1"/>
  <c r="O497" i="18" s="1"/>
  <c r="P497" i="18" s="1"/>
  <c r="Q497" i="18" s="1"/>
  <c r="R497" i="18" s="1"/>
  <c r="L581" i="7941"/>
  <c r="L701" i="7941" s="1"/>
  <c r="M787" i="18"/>
  <c r="N787" i="18" s="1"/>
  <c r="O787" i="18" s="1"/>
  <c r="P787" i="18" s="1"/>
  <c r="Q787" i="18" s="1"/>
  <c r="R787" i="18" s="1"/>
  <c r="O748" i="18" l="1"/>
  <c r="O554" i="18" s="1"/>
  <c r="O92" i="7941" s="1"/>
  <c r="O741" i="18"/>
  <c r="O547" i="18" s="1"/>
  <c r="O85" i="7941" s="1"/>
  <c r="O743" i="18"/>
  <c r="O549" i="18" s="1"/>
  <c r="O87" i="7941" s="1"/>
  <c r="O736" i="18"/>
  <c r="P736" i="18" s="1"/>
  <c r="O996" i="18"/>
  <c r="P996" i="18" s="1"/>
  <c r="O731" i="18"/>
  <c r="O537" i="18" s="1"/>
  <c r="O75" i="7941" s="1"/>
  <c r="R220" i="7947"/>
  <c r="S217" i="7947" s="1"/>
  <c r="O1016" i="18"/>
  <c r="O854" i="18" s="1"/>
  <c r="O584" i="7941" s="1"/>
  <c r="O1010" i="18"/>
  <c r="O848" i="18" s="1"/>
  <c r="O578" i="7941" s="1"/>
  <c r="O1015" i="18"/>
  <c r="O853" i="18" s="1"/>
  <c r="O583" i="7941" s="1"/>
  <c r="O753" i="18"/>
  <c r="O559" i="18" s="1"/>
  <c r="O97" i="7941" s="1"/>
  <c r="U210" i="7947"/>
  <c r="O1004" i="18"/>
  <c r="O842" i="18" s="1"/>
  <c r="O572" i="7941" s="1"/>
  <c r="S213" i="7947"/>
  <c r="O745" i="18"/>
  <c r="O551" i="18" s="1"/>
  <c r="O89" i="7941" s="1"/>
  <c r="O1013" i="18"/>
  <c r="O851" i="18" s="1"/>
  <c r="O581" i="7941" s="1"/>
  <c r="O757" i="18"/>
  <c r="O563" i="18" s="1"/>
  <c r="O101" i="7941" s="1"/>
  <c r="H227" i="7947"/>
  <c r="H5" i="7947" s="1"/>
  <c r="O752" i="18"/>
  <c r="P752" i="18" s="1"/>
  <c r="O740" i="18"/>
  <c r="P740" i="18" s="1"/>
  <c r="O733" i="18"/>
  <c r="O539" i="18" s="1"/>
  <c r="O77" i="7941" s="1"/>
  <c r="P730" i="18"/>
  <c r="O746" i="18"/>
  <c r="O552" i="18" s="1"/>
  <c r="O90" i="7941" s="1"/>
  <c r="O747" i="18"/>
  <c r="O553" i="18" s="1"/>
  <c r="O91" i="7941" s="1"/>
  <c r="O1008" i="18"/>
  <c r="O846" i="18" s="1"/>
  <c r="O576" i="7941" s="1"/>
  <c r="O997" i="18"/>
  <c r="O835" i="18" s="1"/>
  <c r="O565" i="7941" s="1"/>
  <c r="O36" i="7941"/>
  <c r="P36" i="7941" s="1"/>
  <c r="Q36" i="7941" s="1"/>
  <c r="S151" i="7947"/>
  <c r="S153" i="7947" s="1"/>
  <c r="T150" i="7947" s="1"/>
  <c r="S72" i="7947"/>
  <c r="S73" i="7947" s="1"/>
  <c r="T71" i="7947" s="1"/>
  <c r="S88" i="7947"/>
  <c r="S89" i="7947" s="1"/>
  <c r="T87" i="7947" s="1"/>
  <c r="S100" i="7947"/>
  <c r="S101" i="7947" s="1"/>
  <c r="T99" i="7947" s="1"/>
  <c r="S31" i="7947"/>
  <c r="S32" i="7947" s="1"/>
  <c r="T30" i="7947" s="1"/>
  <c r="T80" i="7947"/>
  <c r="T81" i="7947" s="1"/>
  <c r="U79" i="7947" s="1"/>
  <c r="S76" i="7947"/>
  <c r="S77" i="7947" s="1"/>
  <c r="T75" i="7947" s="1"/>
  <c r="R176" i="7947"/>
  <c r="R178" i="7947" s="1"/>
  <c r="S175" i="7947" s="1"/>
  <c r="T161" i="7947"/>
  <c r="T163" i="7947" s="1"/>
  <c r="U160" i="7947" s="1"/>
  <c r="S96" i="7947"/>
  <c r="S97" i="7947" s="1"/>
  <c r="T95" i="7947" s="1"/>
  <c r="F110" i="7947"/>
  <c r="F118" i="7947" s="1"/>
  <c r="I141" i="7947"/>
  <c r="I181" i="7947" s="1"/>
  <c r="I180" i="7947"/>
  <c r="R171" i="7947"/>
  <c r="R173" i="7947" s="1"/>
  <c r="S170" i="7947" s="1"/>
  <c r="L989" i="18"/>
  <c r="O1001" i="18"/>
  <c r="O839" i="18" s="1"/>
  <c r="O569" i="7941" s="1"/>
  <c r="Q28" i="7941"/>
  <c r="J42" i="7947"/>
  <c r="J23" i="7947"/>
  <c r="J43" i="7947" s="1"/>
  <c r="W205" i="7947"/>
  <c r="S39" i="7947"/>
  <c r="S40" i="7947" s="1"/>
  <c r="T38" i="7947" s="1"/>
  <c r="S156" i="7947"/>
  <c r="S158" i="7947" s="1"/>
  <c r="T155" i="7947" s="1"/>
  <c r="Y204" i="7947"/>
  <c r="K235" i="7941"/>
  <c r="L9" i="7941"/>
  <c r="O738" i="18"/>
  <c r="O544" i="18" s="1"/>
  <c r="O82" i="7941" s="1"/>
  <c r="O742" i="18"/>
  <c r="O548" i="18" s="1"/>
  <c r="O86" i="7941" s="1"/>
  <c r="F49" i="7947"/>
  <c r="F59" i="7947" s="1"/>
  <c r="I103" i="7947"/>
  <c r="I64" i="7947"/>
  <c r="I104" i="7947" s="1"/>
  <c r="R84" i="7947"/>
  <c r="R85" i="7947" s="1"/>
  <c r="S83" i="7947" s="1"/>
  <c r="L729" i="18"/>
  <c r="W202" i="7947"/>
  <c r="C232" i="7947"/>
  <c r="E234" i="7947" s="1"/>
  <c r="S68" i="7947"/>
  <c r="S69" i="7947" s="1"/>
  <c r="T67" i="7947" s="1"/>
  <c r="T92" i="7947"/>
  <c r="T93" i="7947" s="1"/>
  <c r="U91" i="7947" s="1"/>
  <c r="L493" i="7941"/>
  <c r="K677" i="7941"/>
  <c r="O831" i="18"/>
  <c r="O561" i="7941" s="1"/>
  <c r="P993" i="18"/>
  <c r="S35" i="7947"/>
  <c r="S36" i="7947" s="1"/>
  <c r="T34" i="7947" s="1"/>
  <c r="S27" i="7947"/>
  <c r="S28" i="7947" s="1"/>
  <c r="T26" i="7947" s="1"/>
  <c r="O999" i="18"/>
  <c r="S166" i="7947"/>
  <c r="S168" i="7947" s="1"/>
  <c r="T165" i="7947" s="1"/>
  <c r="N843" i="18"/>
  <c r="N573" i="7941" s="1"/>
  <c r="O1005" i="18"/>
  <c r="M699" i="7941"/>
  <c r="N699" i="7941" s="1"/>
  <c r="O699" i="7941" s="1"/>
  <c r="P699" i="7941" s="1"/>
  <c r="Q699" i="7941" s="1"/>
  <c r="M696" i="7941"/>
  <c r="N696" i="7941" s="1"/>
  <c r="O696" i="7941" s="1"/>
  <c r="P696" i="7941" s="1"/>
  <c r="Q696" i="7941" s="1"/>
  <c r="N845" i="18"/>
  <c r="N575" i="7941" s="1"/>
  <c r="O1007" i="18"/>
  <c r="N773" i="18"/>
  <c r="O773" i="18" s="1"/>
  <c r="P773" i="18" s="1"/>
  <c r="Q773" i="18" s="1"/>
  <c r="R773" i="18" s="1"/>
  <c r="N478" i="18"/>
  <c r="O478" i="18" s="1"/>
  <c r="P478" i="18" s="1"/>
  <c r="Q478" i="18" s="1"/>
  <c r="R478" i="18" s="1"/>
  <c r="M239" i="7941"/>
  <c r="N239" i="7941" s="1"/>
  <c r="O239" i="7941" s="1"/>
  <c r="P239" i="7941" s="1"/>
  <c r="Q239" i="7941" s="1"/>
  <c r="M688" i="7941"/>
  <c r="N688" i="7941" s="1"/>
  <c r="O688" i="7941" s="1"/>
  <c r="P688" i="7941" s="1"/>
  <c r="Q688" i="7941" s="1"/>
  <c r="N556" i="18"/>
  <c r="N94" i="7941" s="1"/>
  <c r="O750" i="18"/>
  <c r="M693" i="7941"/>
  <c r="N693" i="7941" s="1"/>
  <c r="O693" i="7941" s="1"/>
  <c r="P693" i="7941" s="1"/>
  <c r="Q693" i="7941" s="1"/>
  <c r="N556" i="7941"/>
  <c r="N538" i="18"/>
  <c r="N76" i="7941" s="1"/>
  <c r="O732" i="18"/>
  <c r="M702" i="7941"/>
  <c r="N702" i="7941" s="1"/>
  <c r="O702" i="7941" s="1"/>
  <c r="P702" i="7941" s="1"/>
  <c r="Q702" i="7941" s="1"/>
  <c r="N778" i="18"/>
  <c r="O778" i="18" s="1"/>
  <c r="P778" i="18" s="1"/>
  <c r="M244" i="7941"/>
  <c r="N244" i="7941" s="1"/>
  <c r="O244" i="7941" s="1"/>
  <c r="P244" i="7941" s="1"/>
  <c r="Q244" i="7941" s="1"/>
  <c r="N771" i="18"/>
  <c r="O771" i="18" s="1"/>
  <c r="L676" i="7941"/>
  <c r="M247" i="7941"/>
  <c r="N247" i="7941" s="1"/>
  <c r="O247" i="7941" s="1"/>
  <c r="P247" i="7941" s="1"/>
  <c r="Q247" i="7941" s="1"/>
  <c r="N489" i="18"/>
  <c r="O489" i="18" s="1"/>
  <c r="P489" i="18" s="1"/>
  <c r="Q489" i="18" s="1"/>
  <c r="R489" i="18" s="1"/>
  <c r="N790" i="18"/>
  <c r="O790" i="18" s="1"/>
  <c r="P790" i="18" s="1"/>
  <c r="Q790" i="18" s="1"/>
  <c r="R790" i="18" s="1"/>
  <c r="N499" i="18"/>
  <c r="O499" i="18" s="1"/>
  <c r="P499" i="18" s="1"/>
  <c r="Q499" i="18" s="1"/>
  <c r="R499" i="18" s="1"/>
  <c r="N490" i="18"/>
  <c r="O490" i="18" s="1"/>
  <c r="P490" i="18" s="1"/>
  <c r="Q490" i="18" s="1"/>
  <c r="R490" i="18" s="1"/>
  <c r="N772" i="18"/>
  <c r="O772" i="18" s="1"/>
  <c r="P772" i="18" s="1"/>
  <c r="Q772" i="18" s="1"/>
  <c r="R772" i="18" s="1"/>
  <c r="M687" i="7941"/>
  <c r="N841" i="18"/>
  <c r="N571" i="7941" s="1"/>
  <c r="O1003" i="18"/>
  <c r="M242" i="7941"/>
  <c r="N840" i="18"/>
  <c r="N570" i="7941" s="1"/>
  <c r="O1002" i="18"/>
  <c r="M252" i="7941"/>
  <c r="N252" i="7941" s="1"/>
  <c r="O252" i="7941" s="1"/>
  <c r="P252" i="7941" s="1"/>
  <c r="Q252" i="7941" s="1"/>
  <c r="N849" i="18"/>
  <c r="N579" i="7941" s="1"/>
  <c r="O1011" i="18"/>
  <c r="M257" i="7941"/>
  <c r="N257" i="7941" s="1"/>
  <c r="O257" i="7941" s="1"/>
  <c r="P257" i="7941" s="1"/>
  <c r="Q257" i="7941" s="1"/>
  <c r="N789" i="18"/>
  <c r="O789" i="18" s="1"/>
  <c r="P789" i="18" s="1"/>
  <c r="Q789" i="18" s="1"/>
  <c r="R789" i="18" s="1"/>
  <c r="O826" i="18"/>
  <c r="M258" i="7941"/>
  <c r="N258" i="7941" s="1"/>
  <c r="O258" i="7941" s="1"/>
  <c r="P258" i="7941" s="1"/>
  <c r="Q258" i="7941" s="1"/>
  <c r="O828" i="18"/>
  <c r="O558" i="7941" s="1"/>
  <c r="P990" i="18"/>
  <c r="N770" i="18"/>
  <c r="O770" i="18" s="1"/>
  <c r="P770" i="18" s="1"/>
  <c r="Q770" i="18" s="1"/>
  <c r="R770" i="18" s="1"/>
  <c r="L234" i="7941"/>
  <c r="N847" i="18"/>
  <c r="N577" i="7941" s="1"/>
  <c r="O1009" i="18"/>
  <c r="M72" i="7941"/>
  <c r="N780" i="18"/>
  <c r="O780" i="18" s="1"/>
  <c r="P780" i="18" s="1"/>
  <c r="Q780" i="18" s="1"/>
  <c r="R780" i="18" s="1"/>
  <c r="N784" i="18"/>
  <c r="M692" i="7941"/>
  <c r="N692" i="7941" s="1"/>
  <c r="O692" i="7941" s="1"/>
  <c r="P692" i="7941" s="1"/>
  <c r="Q692" i="7941" s="1"/>
  <c r="M249" i="7941"/>
  <c r="N850" i="18"/>
  <c r="N580" i="7941" s="1"/>
  <c r="O1012" i="18"/>
  <c r="O541" i="18"/>
  <c r="O79" i="7941" s="1"/>
  <c r="P735" i="18"/>
  <c r="M685" i="7941"/>
  <c r="N685" i="7941" s="1"/>
  <c r="O685" i="7941" s="1"/>
  <c r="P685" i="7941" s="1"/>
  <c r="Q685" i="7941" s="1"/>
  <c r="N486" i="18"/>
  <c r="O486" i="18" s="1"/>
  <c r="P486" i="18" s="1"/>
  <c r="Q486" i="18" s="1"/>
  <c r="R486" i="18" s="1"/>
  <c r="M701" i="7941"/>
  <c r="N701" i="7941" s="1"/>
  <c r="O701" i="7941" s="1"/>
  <c r="P701" i="7941" s="1"/>
  <c r="Q701" i="7941" s="1"/>
  <c r="M253" i="7941"/>
  <c r="N253" i="7941" s="1"/>
  <c r="O253" i="7941" s="1"/>
  <c r="P253" i="7941" s="1"/>
  <c r="Q253" i="7941" s="1"/>
  <c r="M704" i="7941"/>
  <c r="N704" i="7941" s="1"/>
  <c r="O704" i="7941" s="1"/>
  <c r="P704" i="7941" s="1"/>
  <c r="Q704" i="7941" s="1"/>
  <c r="M263" i="7941"/>
  <c r="N263" i="7941" s="1"/>
  <c r="O263" i="7941" s="1"/>
  <c r="P263" i="7941" s="1"/>
  <c r="Q263" i="7941" s="1"/>
  <c r="M254" i="7941"/>
  <c r="N254" i="7941" s="1"/>
  <c r="O254" i="7941" s="1"/>
  <c r="P254" i="7941" s="1"/>
  <c r="Q254" i="7941" s="1"/>
  <c r="N550" i="18"/>
  <c r="N88" i="7941" s="1"/>
  <c r="O744" i="18"/>
  <c r="M686" i="7941"/>
  <c r="N686" i="7941" s="1"/>
  <c r="O686" i="7941" s="1"/>
  <c r="P686" i="7941" s="1"/>
  <c r="Q686" i="7941" s="1"/>
  <c r="M251" i="7941"/>
  <c r="N251" i="7941" s="1"/>
  <c r="O251" i="7941" s="1"/>
  <c r="P251" i="7941" s="1"/>
  <c r="Q251" i="7941" s="1"/>
  <c r="N481" i="18"/>
  <c r="O481" i="18" s="1"/>
  <c r="P481" i="18" s="1"/>
  <c r="Q481" i="18" s="1"/>
  <c r="R481" i="18" s="1"/>
  <c r="N557" i="18"/>
  <c r="N95" i="7941" s="1"/>
  <c r="P751" i="18"/>
  <c r="P557" i="18" s="1"/>
  <c r="P95" i="7941" s="1"/>
  <c r="M703" i="7941"/>
  <c r="N703" i="7941" s="1"/>
  <c r="O703" i="7941" s="1"/>
  <c r="P703" i="7941" s="1"/>
  <c r="Q703" i="7941" s="1"/>
  <c r="P988" i="18"/>
  <c r="M705" i="7941"/>
  <c r="N705" i="7941" s="1"/>
  <c r="O705" i="7941" s="1"/>
  <c r="P705" i="7941" s="1"/>
  <c r="Q705" i="7941" s="1"/>
  <c r="M684" i="7941"/>
  <c r="N684" i="7941" s="1"/>
  <c r="O684" i="7941" s="1"/>
  <c r="P684" i="7941" s="1"/>
  <c r="Q684" i="7941" s="1"/>
  <c r="M697" i="7941"/>
  <c r="N697" i="7941" s="1"/>
  <c r="O697" i="7941" s="1"/>
  <c r="P697" i="7941" s="1"/>
  <c r="Q697" i="7941" s="1"/>
  <c r="N543" i="18"/>
  <c r="N81" i="7941" s="1"/>
  <c r="O737" i="18"/>
  <c r="M690" i="7941"/>
  <c r="N690" i="7941" s="1"/>
  <c r="O690" i="7941" s="1"/>
  <c r="P690" i="7941" s="1"/>
  <c r="Q690" i="7941" s="1"/>
  <c r="M694" i="7941"/>
  <c r="N694" i="7941" s="1"/>
  <c r="O694" i="7941" s="1"/>
  <c r="P694" i="7941" s="1"/>
  <c r="Q694" i="7941" s="1"/>
  <c r="M698" i="7941"/>
  <c r="N698" i="7941" s="1"/>
  <c r="O698" i="7941" s="1"/>
  <c r="P698" i="7941" s="1"/>
  <c r="Q698" i="7941" s="1"/>
  <c r="N555" i="18"/>
  <c r="N93" i="7941" s="1"/>
  <c r="O749" i="18"/>
  <c r="M691" i="7941"/>
  <c r="N691" i="7941" s="1"/>
  <c r="O691" i="7941" s="1"/>
  <c r="P691" i="7941" s="1"/>
  <c r="Q691" i="7941" s="1"/>
  <c r="N762" i="18"/>
  <c r="M250" i="7941"/>
  <c r="N250" i="7941" s="1"/>
  <c r="O250" i="7941" s="1"/>
  <c r="P250" i="7941" s="1"/>
  <c r="Q250" i="7941" s="1"/>
  <c r="M262" i="7941"/>
  <c r="N262" i="7941" s="1"/>
  <c r="O262" i="7941" s="1"/>
  <c r="P262" i="7941" s="1"/>
  <c r="Q262" i="7941" s="1"/>
  <c r="M695" i="7941"/>
  <c r="N695" i="7941" s="1"/>
  <c r="O695" i="7941" s="1"/>
  <c r="P695" i="7941" s="1"/>
  <c r="Q695" i="7941" s="1"/>
  <c r="O512" i="7941"/>
  <c r="P512" i="7941" s="1"/>
  <c r="Q512" i="7941" s="1"/>
  <c r="M261" i="7941"/>
  <c r="N261" i="7941" s="1"/>
  <c r="O261" i="7941" s="1"/>
  <c r="P261" i="7941" s="1"/>
  <c r="Q261" i="7941" s="1"/>
  <c r="P492" i="7941"/>
  <c r="O511" i="7941"/>
  <c r="P511" i="7941" s="1"/>
  <c r="Q511" i="7941" s="1"/>
  <c r="N545" i="18"/>
  <c r="N83" i="7941" s="1"/>
  <c r="O739" i="18"/>
  <c r="N488" i="18"/>
  <c r="O488" i="18" s="1"/>
  <c r="P488" i="18" s="1"/>
  <c r="Q488" i="18" s="1"/>
  <c r="R488" i="18" s="1"/>
  <c r="N852" i="18"/>
  <c r="N582" i="7941" s="1"/>
  <c r="O1014" i="18"/>
  <c r="N493" i="18"/>
  <c r="O493" i="18" s="1"/>
  <c r="P493" i="18" s="1"/>
  <c r="Q493" i="18" s="1"/>
  <c r="R493" i="18" s="1"/>
  <c r="N560" i="18"/>
  <c r="N98" i="7941" s="1"/>
  <c r="O754" i="18"/>
  <c r="O8" i="7941"/>
  <c r="M243" i="7941"/>
  <c r="N243" i="7941" s="1"/>
  <c r="O243" i="7941" s="1"/>
  <c r="P243" i="7941" s="1"/>
  <c r="Q243" i="7941" s="1"/>
  <c r="N485" i="18"/>
  <c r="O485" i="18" s="1"/>
  <c r="P485" i="18" s="1"/>
  <c r="Q485" i="18" s="1"/>
  <c r="R485" i="18" s="1"/>
  <c r="M259" i="7941"/>
  <c r="N259" i="7941" s="1"/>
  <c r="O259" i="7941" s="1"/>
  <c r="P259" i="7941" s="1"/>
  <c r="Q259" i="7941" s="1"/>
  <c r="N838" i="18"/>
  <c r="N568" i="7941" s="1"/>
  <c r="O1000" i="18"/>
  <c r="N487" i="18"/>
  <c r="O487" i="18" s="1"/>
  <c r="P487" i="18" s="1"/>
  <c r="Q487" i="18" s="1"/>
  <c r="R487" i="18" s="1"/>
  <c r="M700" i="7941"/>
  <c r="N700" i="7941" s="1"/>
  <c r="O700" i="7941" s="1"/>
  <c r="P700" i="7941" s="1"/>
  <c r="Q700" i="7941" s="1"/>
  <c r="M238" i="7941"/>
  <c r="N238" i="7941" s="1"/>
  <c r="N785" i="18"/>
  <c r="O785" i="18" s="1"/>
  <c r="P785" i="18" s="1"/>
  <c r="Q785" i="18" s="1"/>
  <c r="R785" i="18" s="1"/>
  <c r="N782" i="18"/>
  <c r="O782" i="18" s="1"/>
  <c r="P782" i="18" s="1"/>
  <c r="Q782" i="18" s="1"/>
  <c r="R782" i="18" s="1"/>
  <c r="M556" i="7941"/>
  <c r="N855" i="18"/>
  <c r="N585" i="7941" s="1"/>
  <c r="O1017" i="18"/>
  <c r="N836" i="18"/>
  <c r="N566" i="7941" s="1"/>
  <c r="O998" i="18"/>
  <c r="O836" i="18" s="1"/>
  <c r="O566" i="7941" s="1"/>
  <c r="M689" i="7941"/>
  <c r="N689" i="7941" s="1"/>
  <c r="O689" i="7941" s="1"/>
  <c r="P689" i="7941" s="1"/>
  <c r="Q689" i="7941" s="1"/>
  <c r="N561" i="18"/>
  <c r="N99" i="7941" s="1"/>
  <c r="O755" i="18"/>
  <c r="M256" i="7941"/>
  <c r="N256" i="7941" s="1"/>
  <c r="O256" i="7941" s="1"/>
  <c r="P256" i="7941" s="1"/>
  <c r="Q256" i="7941" s="1"/>
  <c r="M245" i="7941"/>
  <c r="N245" i="7941" s="1"/>
  <c r="O245" i="7941" s="1"/>
  <c r="P245" i="7941" s="1"/>
  <c r="Q245" i="7941" s="1"/>
  <c r="M248" i="7941"/>
  <c r="N534" i="18"/>
  <c r="O728" i="18"/>
  <c r="N774" i="18"/>
  <c r="O774" i="18" s="1"/>
  <c r="P774" i="18" s="1"/>
  <c r="Q774" i="18" s="1"/>
  <c r="R774" i="18" s="1"/>
  <c r="N562" i="18"/>
  <c r="N100" i="7941" s="1"/>
  <c r="O756" i="18"/>
  <c r="M246" i="7941"/>
  <c r="N246" i="7941" s="1"/>
  <c r="O246" i="7941" s="1"/>
  <c r="P246" i="7941" s="1"/>
  <c r="Q246" i="7941" s="1"/>
  <c r="M255" i="7941"/>
  <c r="N255" i="7941" s="1"/>
  <c r="O255" i="7941" s="1"/>
  <c r="P255" i="7941" s="1"/>
  <c r="Q255" i="7941" s="1"/>
  <c r="N470" i="18"/>
  <c r="M237" i="7941"/>
  <c r="N237" i="7941" s="1"/>
  <c r="O237" i="7941" s="1"/>
  <c r="P237" i="7941" s="1"/>
  <c r="Q237" i="7941" s="1"/>
  <c r="N479" i="18"/>
  <c r="O479" i="18" s="1"/>
  <c r="P479" i="18" s="1"/>
  <c r="Q479" i="18" s="1"/>
  <c r="R479" i="18" s="1"/>
  <c r="N788" i="18"/>
  <c r="O788" i="18" s="1"/>
  <c r="P788" i="18" s="1"/>
  <c r="Q788" i="18" s="1"/>
  <c r="R788" i="18" s="1"/>
  <c r="N844" i="18"/>
  <c r="N574" i="7941" s="1"/>
  <c r="O1006" i="18"/>
  <c r="M260" i="7941"/>
  <c r="N260" i="7941" s="1"/>
  <c r="O260" i="7941" s="1"/>
  <c r="P260" i="7941" s="1"/>
  <c r="Q260" i="7941" s="1"/>
  <c r="N480" i="18"/>
  <c r="O480" i="18" s="1"/>
  <c r="P480" i="18" s="1"/>
  <c r="Q480" i="18" s="1"/>
  <c r="R480" i="18" s="1"/>
  <c r="N483" i="18"/>
  <c r="O483" i="18" s="1"/>
  <c r="P483" i="18" s="1"/>
  <c r="Q483" i="18" s="1"/>
  <c r="R483" i="18" s="1"/>
  <c r="I65" i="7947" l="1"/>
  <c r="P748" i="18"/>
  <c r="P554" i="18" s="1"/>
  <c r="P92" i="7941" s="1"/>
  <c r="P1004" i="18"/>
  <c r="P842" i="18" s="1"/>
  <c r="P572" i="7941" s="1"/>
  <c r="P741" i="18"/>
  <c r="Q741" i="18" s="1"/>
  <c r="Q547" i="18" s="1"/>
  <c r="Q85" i="7941" s="1"/>
  <c r="P743" i="18"/>
  <c r="P549" i="18" s="1"/>
  <c r="P87" i="7941" s="1"/>
  <c r="P731" i="18"/>
  <c r="P537" i="18" s="1"/>
  <c r="P75" i="7941" s="1"/>
  <c r="O834" i="18"/>
  <c r="O564" i="7941" s="1"/>
  <c r="O542" i="18"/>
  <c r="O80" i="7941" s="1"/>
  <c r="O558" i="18"/>
  <c r="O96" i="7941" s="1"/>
  <c r="I224" i="7947"/>
  <c r="P753" i="18"/>
  <c r="P559" i="18" s="1"/>
  <c r="P97" i="7941" s="1"/>
  <c r="P1013" i="18"/>
  <c r="Q1013" i="18" s="1"/>
  <c r="Q851" i="18" s="1"/>
  <c r="Q581" i="7941" s="1"/>
  <c r="O546" i="18"/>
  <c r="O84" i="7941" s="1"/>
  <c r="Q748" i="18"/>
  <c r="Q554" i="18" s="1"/>
  <c r="Q92" i="7941" s="1"/>
  <c r="P1010" i="18"/>
  <c r="P848" i="18" s="1"/>
  <c r="P578" i="7941" s="1"/>
  <c r="P1015" i="18"/>
  <c r="P853" i="18" s="1"/>
  <c r="P583" i="7941" s="1"/>
  <c r="P1016" i="18"/>
  <c r="P854" i="18" s="1"/>
  <c r="P584" i="7941" s="1"/>
  <c r="V210" i="7947"/>
  <c r="P745" i="18"/>
  <c r="S214" i="7947"/>
  <c r="S218" i="7947" s="1"/>
  <c r="S220" i="7947" s="1"/>
  <c r="T217" i="7947" s="1"/>
  <c r="T213" i="7947"/>
  <c r="P733" i="18"/>
  <c r="P539" i="18" s="1"/>
  <c r="P77" i="7941" s="1"/>
  <c r="P1001" i="18"/>
  <c r="P839" i="18" s="1"/>
  <c r="P569" i="7941" s="1"/>
  <c r="P738" i="18"/>
  <c r="Q738" i="18" s="1"/>
  <c r="Q544" i="18" s="1"/>
  <c r="Q82" i="7941" s="1"/>
  <c r="D232" i="7947"/>
  <c r="P757" i="18"/>
  <c r="P563" i="18" s="1"/>
  <c r="P101" i="7941" s="1"/>
  <c r="P747" i="18"/>
  <c r="P997" i="18"/>
  <c r="P835" i="18" s="1"/>
  <c r="P565" i="7941" s="1"/>
  <c r="P746" i="18"/>
  <c r="P552" i="18" s="1"/>
  <c r="P90" i="7941" s="1"/>
  <c r="N687" i="7941"/>
  <c r="O687" i="7941" s="1"/>
  <c r="P687" i="7941" s="1"/>
  <c r="Q687" i="7941" s="1"/>
  <c r="P742" i="18"/>
  <c r="P548" i="18" s="1"/>
  <c r="P86" i="7941" s="1"/>
  <c r="P1008" i="18"/>
  <c r="Q1008" i="18" s="1"/>
  <c r="Q846" i="18" s="1"/>
  <c r="Q576" i="7941" s="1"/>
  <c r="Q730" i="18"/>
  <c r="Q536" i="18" s="1"/>
  <c r="Q74" i="7941" s="1"/>
  <c r="P536" i="18"/>
  <c r="P74" i="7941" s="1"/>
  <c r="Q778" i="18"/>
  <c r="R778" i="18" s="1"/>
  <c r="N248" i="7941"/>
  <c r="O248" i="7941" s="1"/>
  <c r="P248" i="7941" s="1"/>
  <c r="Q248" i="7941" s="1"/>
  <c r="N249" i="7941"/>
  <c r="O249" i="7941" s="1"/>
  <c r="P249" i="7941" s="1"/>
  <c r="Q249" i="7941" s="1"/>
  <c r="T166" i="7947"/>
  <c r="T168" i="7947" s="1"/>
  <c r="U165" i="7947" s="1"/>
  <c r="T39" i="7947"/>
  <c r="T40" i="7947" s="1"/>
  <c r="U38" i="7947" s="1"/>
  <c r="S171" i="7947"/>
  <c r="S173" i="7947" s="1"/>
  <c r="T170" i="7947" s="1"/>
  <c r="T96" i="7947"/>
  <c r="T97" i="7947" s="1"/>
  <c r="U95" i="7947" s="1"/>
  <c r="T31" i="7947"/>
  <c r="T32" i="7947" s="1"/>
  <c r="U30" i="7947" s="1"/>
  <c r="T35" i="7947"/>
  <c r="T36" i="7947" s="1"/>
  <c r="U34" i="7947" s="1"/>
  <c r="T68" i="7947"/>
  <c r="T69" i="7947" s="1"/>
  <c r="U67" i="7947" s="1"/>
  <c r="T88" i="7947"/>
  <c r="T89" i="7947" s="1"/>
  <c r="U87" i="7947" s="1"/>
  <c r="U161" i="7947"/>
  <c r="U163" i="7947" s="1"/>
  <c r="V160" i="7947" s="1"/>
  <c r="U80" i="7947"/>
  <c r="U81" i="7947" s="1"/>
  <c r="V79" i="7947" s="1"/>
  <c r="T76" i="7947"/>
  <c r="T77" i="7947" s="1"/>
  <c r="U75" i="7947" s="1"/>
  <c r="T151" i="7947"/>
  <c r="T153" i="7947" s="1"/>
  <c r="U150" i="7947" s="1"/>
  <c r="T100" i="7947"/>
  <c r="T101" i="7947" s="1"/>
  <c r="U99" i="7947" s="1"/>
  <c r="P998" i="18"/>
  <c r="P836" i="18" s="1"/>
  <c r="P566" i="7941" s="1"/>
  <c r="O238" i="7941"/>
  <c r="P238" i="7941" s="1"/>
  <c r="Q238" i="7941" s="1"/>
  <c r="O784" i="18"/>
  <c r="P784" i="18" s="1"/>
  <c r="Q784" i="18" s="1"/>
  <c r="R784" i="18" s="1"/>
  <c r="N242" i="7941"/>
  <c r="O242" i="7941" s="1"/>
  <c r="P242" i="7941" s="1"/>
  <c r="Q242" i="7941" s="1"/>
  <c r="P771" i="18"/>
  <c r="Q771" i="18" s="1"/>
  <c r="R771" i="18" s="1"/>
  <c r="X205" i="7947"/>
  <c r="L827" i="18"/>
  <c r="M989" i="18"/>
  <c r="N989" i="18" s="1"/>
  <c r="G119" i="7947"/>
  <c r="T27" i="7947"/>
  <c r="T28" i="7947" s="1"/>
  <c r="U26" i="7947" s="1"/>
  <c r="S84" i="7947"/>
  <c r="S85" i="7947" s="1"/>
  <c r="T83" i="7947" s="1"/>
  <c r="T156" i="7947"/>
  <c r="T158" i="7947" s="1"/>
  <c r="U155" i="7947" s="1"/>
  <c r="S176" i="7947"/>
  <c r="S178" i="7947" s="1"/>
  <c r="T175" i="7947" s="1"/>
  <c r="T72" i="7947"/>
  <c r="T73" i="7947" s="1"/>
  <c r="U71" i="7947" s="1"/>
  <c r="O837" i="18"/>
  <c r="O567" i="7941" s="1"/>
  <c r="P999" i="18"/>
  <c r="M493" i="7941"/>
  <c r="U92" i="7947"/>
  <c r="U93" i="7947" s="1"/>
  <c r="V91" i="7947" s="1"/>
  <c r="X202" i="7947"/>
  <c r="J63" i="7947"/>
  <c r="I105" i="7947"/>
  <c r="Z204" i="7947"/>
  <c r="P831" i="18"/>
  <c r="P561" i="7941" s="1"/>
  <c r="Q993" i="18"/>
  <c r="Q831" i="18" s="1"/>
  <c r="Q561" i="7941" s="1"/>
  <c r="L535" i="18"/>
  <c r="M729" i="18"/>
  <c r="N729" i="18" s="1"/>
  <c r="I225" i="7947"/>
  <c r="I4" i="7947" s="1"/>
  <c r="M9" i="7941"/>
  <c r="J24" i="7947"/>
  <c r="I143" i="7947"/>
  <c r="O855" i="18"/>
  <c r="O585" i="7941" s="1"/>
  <c r="P1017" i="18"/>
  <c r="P8" i="7941"/>
  <c r="O841" i="18"/>
  <c r="O571" i="7941" s="1"/>
  <c r="P1003" i="18"/>
  <c r="O844" i="18"/>
  <c r="O574" i="7941" s="1"/>
  <c r="P1006" i="18"/>
  <c r="N72" i="7941"/>
  <c r="O852" i="18"/>
  <c r="O582" i="7941" s="1"/>
  <c r="P1014" i="18"/>
  <c r="O550" i="18"/>
  <c r="O88" i="7941" s="1"/>
  <c r="P744" i="18"/>
  <c r="P541" i="18"/>
  <c r="P79" i="7941" s="1"/>
  <c r="Q735" i="18"/>
  <c r="Q541" i="18" s="1"/>
  <c r="Q79" i="7941" s="1"/>
  <c r="O538" i="18"/>
  <c r="O76" i="7941" s="1"/>
  <c r="P732" i="18"/>
  <c r="O561" i="18"/>
  <c r="O99" i="7941" s="1"/>
  <c r="P755" i="18"/>
  <c r="O560" i="18"/>
  <c r="O98" i="7941" s="1"/>
  <c r="P754" i="18"/>
  <c r="O543" i="18"/>
  <c r="O81" i="7941" s="1"/>
  <c r="P737" i="18"/>
  <c r="P828" i="18"/>
  <c r="P558" i="7941" s="1"/>
  <c r="Q990" i="18"/>
  <c r="Q828" i="18" s="1"/>
  <c r="Q558" i="7941" s="1"/>
  <c r="O556" i="7941"/>
  <c r="O849" i="18"/>
  <c r="O579" i="7941" s="1"/>
  <c r="P1011" i="18"/>
  <c r="O470" i="18"/>
  <c r="O534" i="18"/>
  <c r="P728" i="18"/>
  <c r="P542" i="18"/>
  <c r="P80" i="7941" s="1"/>
  <c r="Q736" i="18"/>
  <c r="Q542" i="18" s="1"/>
  <c r="Q80" i="7941" s="1"/>
  <c r="O838" i="18"/>
  <c r="O568" i="7941" s="1"/>
  <c r="P1000" i="18"/>
  <c r="O545" i="18"/>
  <c r="O83" i="7941" s="1"/>
  <c r="P739" i="18"/>
  <c r="Q492" i="7941"/>
  <c r="O850" i="18"/>
  <c r="O580" i="7941" s="1"/>
  <c r="P1012" i="18"/>
  <c r="P826" i="18"/>
  <c r="Q988" i="18"/>
  <c r="O847" i="18"/>
  <c r="O577" i="7941" s="1"/>
  <c r="P1009" i="18"/>
  <c r="O840" i="18"/>
  <c r="O570" i="7941" s="1"/>
  <c r="P1002" i="18"/>
  <c r="M676" i="7941"/>
  <c r="N676" i="7941" s="1"/>
  <c r="O556" i="18"/>
  <c r="O94" i="7941" s="1"/>
  <c r="P750" i="18"/>
  <c r="O845" i="18"/>
  <c r="O575" i="7941" s="1"/>
  <c r="P1007" i="18"/>
  <c r="P834" i="18"/>
  <c r="P564" i="7941" s="1"/>
  <c r="Q996" i="18"/>
  <c r="Q834" i="18" s="1"/>
  <c r="Q564" i="7941" s="1"/>
  <c r="O562" i="18"/>
  <c r="O100" i="7941" s="1"/>
  <c r="P756" i="18"/>
  <c r="O762" i="18"/>
  <c r="O555" i="18"/>
  <c r="O93" i="7941" s="1"/>
  <c r="P749" i="18"/>
  <c r="Q751" i="18"/>
  <c r="Q557" i="18" s="1"/>
  <c r="Q95" i="7941" s="1"/>
  <c r="M234" i="7941"/>
  <c r="P558" i="18"/>
  <c r="P96" i="7941" s="1"/>
  <c r="Q752" i="18"/>
  <c r="Q558" i="18" s="1"/>
  <c r="Q96" i="7941" s="1"/>
  <c r="P546" i="18"/>
  <c r="P84" i="7941" s="1"/>
  <c r="Q740" i="18"/>
  <c r="Q546" i="18" s="1"/>
  <c r="Q84" i="7941" s="1"/>
  <c r="O843" i="18"/>
  <c r="O573" i="7941" s="1"/>
  <c r="P1005" i="18"/>
  <c r="P547" i="18" l="1"/>
  <c r="P85" i="7941" s="1"/>
  <c r="Q1004" i="18"/>
  <c r="Q842" i="18" s="1"/>
  <c r="Q572" i="7941" s="1"/>
  <c r="Q731" i="18"/>
  <c r="Q537" i="18" s="1"/>
  <c r="Q75" i="7941" s="1"/>
  <c r="Q998" i="18"/>
  <c r="Q836" i="18" s="1"/>
  <c r="Q566" i="7941" s="1"/>
  <c r="Q1010" i="18"/>
  <c r="Q848" i="18" s="1"/>
  <c r="Q578" i="7941" s="1"/>
  <c r="P544" i="18"/>
  <c r="P82" i="7941" s="1"/>
  <c r="P851" i="18"/>
  <c r="P581" i="7941" s="1"/>
  <c r="Q743" i="18"/>
  <c r="Q549" i="18" s="1"/>
  <c r="Q87" i="7941" s="1"/>
  <c r="Q753" i="18"/>
  <c r="Q559" i="18" s="1"/>
  <c r="Q97" i="7941" s="1"/>
  <c r="Q746" i="18"/>
  <c r="Q552" i="18" s="1"/>
  <c r="Q90" i="7941" s="1"/>
  <c r="Q1015" i="18"/>
  <c r="Q853" i="18" s="1"/>
  <c r="Q583" i="7941" s="1"/>
  <c r="Q1001" i="18"/>
  <c r="Q839" i="18" s="1"/>
  <c r="Q569" i="7941" s="1"/>
  <c r="Q733" i="18"/>
  <c r="Q539" i="18" s="1"/>
  <c r="Q77" i="7941" s="1"/>
  <c r="Q757" i="18"/>
  <c r="Q563" i="18" s="1"/>
  <c r="Q101" i="7941" s="1"/>
  <c r="Q997" i="18"/>
  <c r="Q835" i="18" s="1"/>
  <c r="Q565" i="7941" s="1"/>
  <c r="P846" i="18"/>
  <c r="P576" i="7941" s="1"/>
  <c r="Q742" i="18"/>
  <c r="Q548" i="18" s="1"/>
  <c r="Q86" i="7941" s="1"/>
  <c r="Q1016" i="18"/>
  <c r="Q854" i="18" s="1"/>
  <c r="Q584" i="7941" s="1"/>
  <c r="N9" i="7941"/>
  <c r="P551" i="18"/>
  <c r="P89" i="7941" s="1"/>
  <c r="Q745" i="18"/>
  <c r="Q551" i="18" s="1"/>
  <c r="Q89" i="7941" s="1"/>
  <c r="U213" i="7947"/>
  <c r="T214" i="7947"/>
  <c r="T218" i="7947" s="1"/>
  <c r="T220" i="7947" s="1"/>
  <c r="U217" i="7947" s="1"/>
  <c r="W210" i="7947"/>
  <c r="P553" i="18"/>
  <c r="P91" i="7941" s="1"/>
  <c r="Q747" i="18"/>
  <c r="Q553" i="18" s="1"/>
  <c r="Q91" i="7941" s="1"/>
  <c r="U151" i="7947"/>
  <c r="U153" i="7947" s="1"/>
  <c r="V150" i="7947" s="1"/>
  <c r="U73" i="7947"/>
  <c r="V71" i="7947" s="1"/>
  <c r="U72" i="7947"/>
  <c r="U27" i="7947"/>
  <c r="U28" i="7947" s="1"/>
  <c r="V26" i="7947" s="1"/>
  <c r="U39" i="7947"/>
  <c r="U40" i="7947" s="1"/>
  <c r="V38" i="7947" s="1"/>
  <c r="N535" i="18"/>
  <c r="V92" i="7947"/>
  <c r="V93" i="7947" s="1"/>
  <c r="W91" i="7947" s="1"/>
  <c r="U68" i="7947"/>
  <c r="U69" i="7947" s="1"/>
  <c r="V67" i="7947" s="1"/>
  <c r="U96" i="7947"/>
  <c r="U97" i="7947" s="1"/>
  <c r="V95" i="7947" s="1"/>
  <c r="U100" i="7947"/>
  <c r="U101" i="7947" s="1"/>
  <c r="V99" i="7947" s="1"/>
  <c r="U35" i="7947"/>
  <c r="U36" i="7947" s="1"/>
  <c r="V34" i="7947" s="1"/>
  <c r="V161" i="7947"/>
  <c r="V163" i="7947" s="1"/>
  <c r="W160" i="7947" s="1"/>
  <c r="J140" i="7947"/>
  <c r="I183" i="7947"/>
  <c r="I227" i="7947" s="1"/>
  <c r="I5" i="7947" s="1"/>
  <c r="O729" i="18"/>
  <c r="P729" i="18" s="1"/>
  <c r="T176" i="7947"/>
  <c r="T178" i="7947" s="1"/>
  <c r="U175" i="7947" s="1"/>
  <c r="M827" i="18"/>
  <c r="Y205" i="7947"/>
  <c r="Y202" i="7947"/>
  <c r="P837" i="18"/>
  <c r="P567" i="7941" s="1"/>
  <c r="Q999" i="18"/>
  <c r="Q837" i="18" s="1"/>
  <c r="Q567" i="7941" s="1"/>
  <c r="U156" i="7947"/>
  <c r="U158" i="7947" s="1"/>
  <c r="V155" i="7947" s="1"/>
  <c r="T84" i="7947"/>
  <c r="T85" i="7947" s="1"/>
  <c r="U83" i="7947" s="1"/>
  <c r="J44" i="7947"/>
  <c r="K22" i="7947"/>
  <c r="L73" i="7941"/>
  <c r="M471" i="18"/>
  <c r="N827" i="18"/>
  <c r="O989" i="18"/>
  <c r="P989" i="18" s="1"/>
  <c r="P827" i="18" s="1"/>
  <c r="P557" i="7941" s="1"/>
  <c r="U76" i="7947"/>
  <c r="U77" i="7947" s="1"/>
  <c r="V75" i="7947" s="1"/>
  <c r="V80" i="7947"/>
  <c r="V81" i="7947" s="1"/>
  <c r="W79" i="7947" s="1"/>
  <c r="U31" i="7947"/>
  <c r="U32" i="7947" s="1"/>
  <c r="V30" i="7947" s="1"/>
  <c r="T171" i="7947"/>
  <c r="T173" i="7947" s="1"/>
  <c r="U170" i="7947" s="1"/>
  <c r="U166" i="7947"/>
  <c r="U168" i="7947" s="1"/>
  <c r="V165" i="7947" s="1"/>
  <c r="M535" i="18"/>
  <c r="U88" i="7947"/>
  <c r="U89" i="7947" s="1"/>
  <c r="V87" i="7947" s="1"/>
  <c r="O676" i="7941"/>
  <c r="AA204" i="7947"/>
  <c r="J64" i="7947"/>
  <c r="J104" i="7947" s="1"/>
  <c r="J103" i="7947"/>
  <c r="N493" i="7941"/>
  <c r="L557" i="7941"/>
  <c r="M763" i="18"/>
  <c r="P560" i="18"/>
  <c r="P98" i="7941" s="1"/>
  <c r="Q754" i="18"/>
  <c r="Q560" i="18" s="1"/>
  <c r="Q98" i="7941" s="1"/>
  <c r="N234" i="7941"/>
  <c r="P562" i="18"/>
  <c r="P100" i="7941" s="1"/>
  <c r="Q756" i="18"/>
  <c r="Q562" i="18" s="1"/>
  <c r="Q100" i="7941" s="1"/>
  <c r="P845" i="18"/>
  <c r="P575" i="7941" s="1"/>
  <c r="Q1007" i="18"/>
  <c r="Q845" i="18" s="1"/>
  <c r="Q575" i="7941" s="1"/>
  <c r="P545" i="18"/>
  <c r="P83" i="7941" s="1"/>
  <c r="Q739" i="18"/>
  <c r="Q545" i="18" s="1"/>
  <c r="Q83" i="7941" s="1"/>
  <c r="P543" i="18"/>
  <c r="P81" i="7941" s="1"/>
  <c r="Q737" i="18"/>
  <c r="Q543" i="18" s="1"/>
  <c r="Q81" i="7941" s="1"/>
  <c r="P852" i="18"/>
  <c r="P582" i="7941" s="1"/>
  <c r="Q1014" i="18"/>
  <c r="Q852" i="18" s="1"/>
  <c r="Q582" i="7941" s="1"/>
  <c r="P841" i="18"/>
  <c r="P571" i="7941" s="1"/>
  <c r="Q1003" i="18"/>
  <c r="Q841" i="18" s="1"/>
  <c r="Q571" i="7941" s="1"/>
  <c r="P855" i="18"/>
  <c r="P585" i="7941" s="1"/>
  <c r="Q1017" i="18"/>
  <c r="Q855" i="18" s="1"/>
  <c r="Q585" i="7941" s="1"/>
  <c r="P762" i="18"/>
  <c r="O72" i="7941"/>
  <c r="P843" i="18"/>
  <c r="P573" i="7941" s="1"/>
  <c r="Q1005" i="18"/>
  <c r="Q843" i="18" s="1"/>
  <c r="Q573" i="7941" s="1"/>
  <c r="P555" i="18"/>
  <c r="P93" i="7941" s="1"/>
  <c r="Q749" i="18"/>
  <c r="Q555" i="18" s="1"/>
  <c r="Q93" i="7941" s="1"/>
  <c r="P847" i="18"/>
  <c r="P577" i="7941" s="1"/>
  <c r="Q1009" i="18"/>
  <c r="Q847" i="18" s="1"/>
  <c r="Q577" i="7941" s="1"/>
  <c r="Q826" i="18"/>
  <c r="P470" i="18"/>
  <c r="P538" i="18"/>
  <c r="P76" i="7941" s="1"/>
  <c r="Q732" i="18"/>
  <c r="Q538" i="18" s="1"/>
  <c r="Q76" i="7941" s="1"/>
  <c r="P550" i="18"/>
  <c r="P88" i="7941" s="1"/>
  <c r="Q744" i="18"/>
  <c r="Q550" i="18" s="1"/>
  <c r="Q88" i="7941" s="1"/>
  <c r="P840" i="18"/>
  <c r="P570" i="7941" s="1"/>
  <c r="Q1002" i="18"/>
  <c r="Q840" i="18" s="1"/>
  <c r="Q570" i="7941" s="1"/>
  <c r="P849" i="18"/>
  <c r="P579" i="7941" s="1"/>
  <c r="Q1011" i="18"/>
  <c r="Q849" i="18" s="1"/>
  <c r="Q579" i="7941" s="1"/>
  <c r="P561" i="18"/>
  <c r="P99" i="7941" s="1"/>
  <c r="Q755" i="18"/>
  <c r="Q561" i="18" s="1"/>
  <c r="Q99" i="7941" s="1"/>
  <c r="P556" i="18"/>
  <c r="P94" i="7941" s="1"/>
  <c r="Q750" i="18"/>
  <c r="Q556" i="18" s="1"/>
  <c r="Q94" i="7941" s="1"/>
  <c r="P556" i="7941"/>
  <c r="P850" i="18"/>
  <c r="P580" i="7941" s="1"/>
  <c r="Q1012" i="18"/>
  <c r="Q850" i="18" s="1"/>
  <c r="Q580" i="7941" s="1"/>
  <c r="P838" i="18"/>
  <c r="P568" i="7941" s="1"/>
  <c r="Q1000" i="18"/>
  <c r="Q838" i="18" s="1"/>
  <c r="Q568" i="7941" s="1"/>
  <c r="P534" i="18"/>
  <c r="Q728" i="18"/>
  <c r="P844" i="18"/>
  <c r="P574" i="7941" s="1"/>
  <c r="Q1006" i="18"/>
  <c r="Q844" i="18" s="1"/>
  <c r="Q574" i="7941" s="1"/>
  <c r="Q8" i="7941"/>
  <c r="O9" i="7941" l="1"/>
  <c r="P9" i="7941" s="1"/>
  <c r="Q9" i="7941" s="1"/>
  <c r="V213" i="7947"/>
  <c r="U214" i="7947"/>
  <c r="U218" i="7947" s="1"/>
  <c r="U220" i="7947" s="1"/>
  <c r="V217" i="7947" s="1"/>
  <c r="X210" i="7947"/>
  <c r="P535" i="18"/>
  <c r="P73" i="7941" s="1"/>
  <c r="Q729" i="18"/>
  <c r="Q535" i="18" s="1"/>
  <c r="Q73" i="7941" s="1"/>
  <c r="V100" i="7947"/>
  <c r="V101" i="7947" s="1"/>
  <c r="W99" i="7947" s="1"/>
  <c r="V166" i="7947"/>
  <c r="V168" i="7947" s="1"/>
  <c r="W165" i="7947" s="1"/>
  <c r="W161" i="7947"/>
  <c r="W163" i="7947" s="1"/>
  <c r="X160" i="7947" s="1"/>
  <c r="V156" i="7947"/>
  <c r="V158" i="7947" s="1"/>
  <c r="W155" i="7947" s="1"/>
  <c r="U176" i="7947"/>
  <c r="U178" i="7947" s="1"/>
  <c r="V175" i="7947" s="1"/>
  <c r="V76" i="7947"/>
  <c r="V77" i="7947" s="1"/>
  <c r="W75" i="7947" s="1"/>
  <c r="V151" i="7947"/>
  <c r="V153" i="7947" s="1"/>
  <c r="W150" i="7947" s="1"/>
  <c r="V88" i="7947"/>
  <c r="V89" i="7947" s="1"/>
  <c r="W87" i="7947" s="1"/>
  <c r="L235" i="7941"/>
  <c r="J141" i="7947"/>
  <c r="J181" i="7947" s="1"/>
  <c r="J225" i="7947" s="1"/>
  <c r="J4" i="7947" s="1"/>
  <c r="J180" i="7947"/>
  <c r="J224" i="7947" s="1"/>
  <c r="V68" i="7947"/>
  <c r="V69" i="7947" s="1"/>
  <c r="W67" i="7947" s="1"/>
  <c r="V39" i="7947"/>
  <c r="V40" i="7947" s="1"/>
  <c r="W38" i="7947" s="1"/>
  <c r="L677" i="7941"/>
  <c r="K23" i="7947"/>
  <c r="K43" i="7947" s="1"/>
  <c r="K42" i="7947"/>
  <c r="Z202" i="7947"/>
  <c r="O493" i="7941"/>
  <c r="N73" i="7941"/>
  <c r="V31" i="7947"/>
  <c r="V32" i="7947" s="1"/>
  <c r="W30" i="7947" s="1"/>
  <c r="N557" i="7941"/>
  <c r="U84" i="7947"/>
  <c r="U85" i="7947" s="1"/>
  <c r="V83" i="7947" s="1"/>
  <c r="Z205" i="7947"/>
  <c r="V72" i="7947"/>
  <c r="V73" i="7947" s="1"/>
  <c r="W71" i="7947" s="1"/>
  <c r="J65" i="7947"/>
  <c r="M73" i="7941"/>
  <c r="O827" i="18"/>
  <c r="N471" i="18"/>
  <c r="M557" i="7941"/>
  <c r="O535" i="18"/>
  <c r="V35" i="7947"/>
  <c r="V36" i="7947" s="1"/>
  <c r="W34" i="7947" s="1"/>
  <c r="V96" i="7947"/>
  <c r="V97" i="7947" s="1"/>
  <c r="W95" i="7947" s="1"/>
  <c r="W92" i="7947"/>
  <c r="W93" i="7947" s="1"/>
  <c r="X91" i="7947" s="1"/>
  <c r="P676" i="7941"/>
  <c r="V27" i="7947"/>
  <c r="V28" i="7947" s="1"/>
  <c r="W26" i="7947" s="1"/>
  <c r="N763" i="18"/>
  <c r="AB204" i="7947"/>
  <c r="U171" i="7947"/>
  <c r="U173" i="7947" s="1"/>
  <c r="V170" i="7947" s="1"/>
  <c r="W80" i="7947"/>
  <c r="W81" i="7947" s="1"/>
  <c r="X79" i="7947" s="1"/>
  <c r="Q989" i="18"/>
  <c r="Q827" i="18" s="1"/>
  <c r="Q557" i="7941" s="1"/>
  <c r="Q556" i="7941"/>
  <c r="Q534" i="18"/>
  <c r="O234" i="7941"/>
  <c r="P72" i="7941"/>
  <c r="Q470" i="18"/>
  <c r="Q762" i="18"/>
  <c r="K24" i="7947" l="1"/>
  <c r="Y210" i="7947"/>
  <c r="W213" i="7947"/>
  <c r="V214" i="7947"/>
  <c r="V218" i="7947" s="1"/>
  <c r="V220" i="7947" s="1"/>
  <c r="W217" i="7947" s="1"/>
  <c r="J143" i="7947"/>
  <c r="J183" i="7947" s="1"/>
  <c r="X161" i="7947"/>
  <c r="X163" i="7947" s="1"/>
  <c r="Y160" i="7947" s="1"/>
  <c r="W35" i="7947"/>
  <c r="W36" i="7947" s="1"/>
  <c r="X34" i="7947" s="1"/>
  <c r="W72" i="7947"/>
  <c r="W73" i="7947" s="1"/>
  <c r="X71" i="7947" s="1"/>
  <c r="W39" i="7947"/>
  <c r="W40" i="7947" s="1"/>
  <c r="X38" i="7947" s="1"/>
  <c r="W88" i="7947"/>
  <c r="W89" i="7947" s="1"/>
  <c r="X87" i="7947" s="1"/>
  <c r="V176" i="7947"/>
  <c r="V178" i="7947" s="1"/>
  <c r="W175" i="7947" s="1"/>
  <c r="V171" i="7947"/>
  <c r="V173" i="7947" s="1"/>
  <c r="W170" i="7947" s="1"/>
  <c r="W151" i="7947"/>
  <c r="W153" i="7947" s="1"/>
  <c r="X150" i="7947" s="1"/>
  <c r="W31" i="7947"/>
  <c r="W32" i="7947" s="1"/>
  <c r="X30" i="7947" s="1"/>
  <c r="W100" i="7947"/>
  <c r="W101" i="7947" s="1"/>
  <c r="X99" i="7947" s="1"/>
  <c r="P493" i="7941"/>
  <c r="W68" i="7947"/>
  <c r="W69" i="7947" s="1"/>
  <c r="X67" i="7947" s="1"/>
  <c r="W156" i="7947"/>
  <c r="W158" i="7947" s="1"/>
  <c r="X155" i="7947" s="1"/>
  <c r="W96" i="7947"/>
  <c r="W97" i="7947" s="1"/>
  <c r="X95" i="7947" s="1"/>
  <c r="O557" i="7941"/>
  <c r="K63" i="7947"/>
  <c r="J105" i="7947"/>
  <c r="AA202" i="7947"/>
  <c r="X92" i="7947"/>
  <c r="X93" i="7947" s="1"/>
  <c r="Y91" i="7947" s="1"/>
  <c r="V84" i="7947"/>
  <c r="V85" i="7947" s="1"/>
  <c r="W83" i="7947" s="1"/>
  <c r="K44" i="7947"/>
  <c r="L22" i="7947"/>
  <c r="M677" i="7941"/>
  <c r="W76" i="7947"/>
  <c r="W77" i="7947" s="1"/>
  <c r="X75" i="7947" s="1"/>
  <c r="W166" i="7947"/>
  <c r="W168" i="7947" s="1"/>
  <c r="X165" i="7947" s="1"/>
  <c r="AC204" i="7947"/>
  <c r="Q676" i="7941"/>
  <c r="O73" i="7941"/>
  <c r="AA205" i="7947"/>
  <c r="M235" i="7941"/>
  <c r="W27" i="7947"/>
  <c r="W28" i="7947" s="1"/>
  <c r="X26" i="7947" s="1"/>
  <c r="X80" i="7947"/>
  <c r="X81" i="7947" s="1"/>
  <c r="Y79" i="7947" s="1"/>
  <c r="O763" i="18"/>
  <c r="O471" i="18"/>
  <c r="P234" i="7941"/>
  <c r="R762" i="18"/>
  <c r="R470" i="18"/>
  <c r="Q72" i="7941"/>
  <c r="K140" i="7947" l="1"/>
  <c r="K180" i="7947" s="1"/>
  <c r="Z210" i="7947"/>
  <c r="X213" i="7947"/>
  <c r="W214" i="7947"/>
  <c r="W218" i="7947" s="1"/>
  <c r="W220" i="7947" s="1"/>
  <c r="X217" i="7947" s="1"/>
  <c r="N677" i="7941"/>
  <c r="O677" i="7941" s="1"/>
  <c r="P763" i="18"/>
  <c r="Q763" i="18" s="1"/>
  <c r="W84" i="7947"/>
  <c r="W85" i="7947" s="1"/>
  <c r="X83" i="7947" s="1"/>
  <c r="X31" i="7947"/>
  <c r="X32" i="7947" s="1"/>
  <c r="Y30" i="7947" s="1"/>
  <c r="Y92" i="7947"/>
  <c r="Y93" i="7947" s="1"/>
  <c r="Z91" i="7947" s="1"/>
  <c r="Y80" i="7947"/>
  <c r="Y81" i="7947" s="1"/>
  <c r="Z79" i="7947" s="1"/>
  <c r="X156" i="7947"/>
  <c r="X158" i="7947" s="1"/>
  <c r="Y155" i="7947" s="1"/>
  <c r="X68" i="7947"/>
  <c r="X69" i="7947" s="1"/>
  <c r="Y67" i="7947" s="1"/>
  <c r="Y161" i="7947"/>
  <c r="Y163" i="7947" s="1"/>
  <c r="Z160" i="7947" s="1"/>
  <c r="X166" i="7947"/>
  <c r="X168" i="7947" s="1"/>
  <c r="Y165" i="7947" s="1"/>
  <c r="X39" i="7947"/>
  <c r="X40" i="7947" s="1"/>
  <c r="Y38" i="7947" s="1"/>
  <c r="AB205" i="7947"/>
  <c r="L23" i="7947"/>
  <c r="L43" i="7947" s="1"/>
  <c r="L42" i="7947"/>
  <c r="P471" i="18"/>
  <c r="AB202" i="7947"/>
  <c r="X100" i="7947"/>
  <c r="X101" i="7947" s="1"/>
  <c r="Y99" i="7947" s="1"/>
  <c r="X151" i="7947"/>
  <c r="X153" i="7947" s="1"/>
  <c r="Y150" i="7947" s="1"/>
  <c r="X35" i="7947"/>
  <c r="X36" i="7947" s="1"/>
  <c r="Y34" i="7947" s="1"/>
  <c r="N235" i="7941"/>
  <c r="AD204" i="7947"/>
  <c r="X76" i="7947"/>
  <c r="X77" i="7947" s="1"/>
  <c r="Y75" i="7947" s="1"/>
  <c r="J227" i="7947"/>
  <c r="J5" i="7947" s="1"/>
  <c r="X96" i="7947"/>
  <c r="X97" i="7947" s="1"/>
  <c r="Y95" i="7947" s="1"/>
  <c r="Q493" i="7941"/>
  <c r="W171" i="7947"/>
  <c r="W173" i="7947" s="1"/>
  <c r="X170" i="7947" s="1"/>
  <c r="X88" i="7947"/>
  <c r="X89" i="7947" s="1"/>
  <c r="Y87" i="7947" s="1"/>
  <c r="X72" i="7947"/>
  <c r="X73" i="7947" s="1"/>
  <c r="Y71" i="7947" s="1"/>
  <c r="X27" i="7947"/>
  <c r="X28" i="7947" s="1"/>
  <c r="Y26" i="7947" s="1"/>
  <c r="W176" i="7947"/>
  <c r="W178" i="7947" s="1"/>
  <c r="X175" i="7947" s="1"/>
  <c r="K64" i="7947"/>
  <c r="K104" i="7947" s="1"/>
  <c r="K103" i="7947"/>
  <c r="Q234" i="7941"/>
  <c r="K141" i="7947" l="1"/>
  <c r="K181" i="7947" s="1"/>
  <c r="K225" i="7947" s="1"/>
  <c r="K4" i="7947" s="1"/>
  <c r="L24" i="7947"/>
  <c r="Y213" i="7947"/>
  <c r="X214" i="7947"/>
  <c r="X218" i="7947" s="1"/>
  <c r="X220" i="7947" s="1"/>
  <c r="Y217" i="7947" s="1"/>
  <c r="AA210" i="7947"/>
  <c r="Y88" i="7947"/>
  <c r="Y89" i="7947" s="1"/>
  <c r="Z87" i="7947" s="1"/>
  <c r="Y96" i="7947"/>
  <c r="Y97" i="7947"/>
  <c r="Z95" i="7947" s="1"/>
  <c r="Y31" i="7947"/>
  <c r="Y32" i="7947" s="1"/>
  <c r="Z30" i="7947" s="1"/>
  <c r="Y72" i="7947"/>
  <c r="Y73" i="7947" s="1"/>
  <c r="Z71" i="7947" s="1"/>
  <c r="X171" i="7947"/>
  <c r="X173" i="7947" s="1"/>
  <c r="Y170" i="7947" s="1"/>
  <c r="Y39" i="7947"/>
  <c r="Y40" i="7947" s="1"/>
  <c r="Z38" i="7947" s="1"/>
  <c r="Y68" i="7947"/>
  <c r="Y69" i="7947" s="1"/>
  <c r="Z67" i="7947" s="1"/>
  <c r="Y166" i="7947"/>
  <c r="Y168" i="7947" s="1"/>
  <c r="Z165" i="7947" s="1"/>
  <c r="Y76" i="7947"/>
  <c r="Y77" i="7947" s="1"/>
  <c r="Z75" i="7947" s="1"/>
  <c r="K65" i="7947"/>
  <c r="O235" i="7941"/>
  <c r="R763" i="18"/>
  <c r="P677" i="7941"/>
  <c r="Y27" i="7947"/>
  <c r="Y28" i="7947" s="1"/>
  <c r="Z26" i="7947" s="1"/>
  <c r="Y151" i="7947"/>
  <c r="Y153" i="7947" s="1"/>
  <c r="Z150" i="7947" s="1"/>
  <c r="Q471" i="18"/>
  <c r="X176" i="7947"/>
  <c r="X178" i="7947" s="1"/>
  <c r="Y175" i="7947" s="1"/>
  <c r="AE204" i="7947"/>
  <c r="AC202" i="7947"/>
  <c r="L44" i="7947"/>
  <c r="M22" i="7947"/>
  <c r="Z161" i="7947"/>
  <c r="Z163" i="7947" s="1"/>
  <c r="AA160" i="7947" s="1"/>
  <c r="Y156" i="7947"/>
  <c r="Y158" i="7947" s="1"/>
  <c r="Z155" i="7947" s="1"/>
  <c r="Z92" i="7947"/>
  <c r="Z93" i="7947" s="1"/>
  <c r="AA91" i="7947" s="1"/>
  <c r="X84" i="7947"/>
  <c r="X85" i="7947" s="1"/>
  <c r="Y83" i="7947" s="1"/>
  <c r="AC205" i="7947"/>
  <c r="Z80" i="7947"/>
  <c r="Z81" i="7947" s="1"/>
  <c r="AA79" i="7947" s="1"/>
  <c r="K224" i="7947"/>
  <c r="Y35" i="7947"/>
  <c r="Y36" i="7947" s="1"/>
  <c r="Z34" i="7947" s="1"/>
  <c r="Y100" i="7947"/>
  <c r="Y101" i="7947" s="1"/>
  <c r="Z99" i="7947" s="1"/>
  <c r="K143" i="7947" l="1"/>
  <c r="L140" i="7947" s="1"/>
  <c r="AB210" i="7947"/>
  <c r="Z213" i="7947"/>
  <c r="Y214" i="7947"/>
  <c r="Y218" i="7947" s="1"/>
  <c r="Y220" i="7947" s="1"/>
  <c r="Z217" i="7947" s="1"/>
  <c r="Z39" i="7947"/>
  <c r="Z40" i="7947" s="1"/>
  <c r="AA38" i="7947" s="1"/>
  <c r="Y84" i="7947"/>
  <c r="Y85" i="7947" s="1"/>
  <c r="Z83" i="7947" s="1"/>
  <c r="Z151" i="7947"/>
  <c r="Z153" i="7947" s="1"/>
  <c r="AA150" i="7947" s="1"/>
  <c r="Z166" i="7947"/>
  <c r="Z168" i="7947" s="1"/>
  <c r="AA165" i="7947" s="1"/>
  <c r="Y171" i="7947"/>
  <c r="Y173" i="7947" s="1"/>
  <c r="Z170" i="7947" s="1"/>
  <c r="AA80" i="7947"/>
  <c r="AA81" i="7947" s="1"/>
  <c r="AB79" i="7947" s="1"/>
  <c r="Z27" i="7947"/>
  <c r="Z28" i="7947" s="1"/>
  <c r="AA26" i="7947" s="1"/>
  <c r="Z76" i="7947"/>
  <c r="Z77" i="7947" s="1"/>
  <c r="AA75" i="7947" s="1"/>
  <c r="Z72" i="7947"/>
  <c r="Z73" i="7947" s="1"/>
  <c r="AA71" i="7947" s="1"/>
  <c r="Z100" i="7947"/>
  <c r="Z101" i="7947"/>
  <c r="AA99" i="7947" s="1"/>
  <c r="Z156" i="7947"/>
  <c r="Z158" i="7947" s="1"/>
  <c r="AA155" i="7947" s="1"/>
  <c r="Z88" i="7947"/>
  <c r="Z89" i="7947" s="1"/>
  <c r="AA87" i="7947" s="1"/>
  <c r="Y176" i="7947"/>
  <c r="Y178" i="7947" s="1"/>
  <c r="Z175" i="7947" s="1"/>
  <c r="AF204" i="7947"/>
  <c r="Z96" i="7947"/>
  <c r="Z97" i="7947" s="1"/>
  <c r="AA95" i="7947" s="1"/>
  <c r="AD202" i="7947"/>
  <c r="R471" i="18"/>
  <c r="Z68" i="7947"/>
  <c r="Z69" i="7947" s="1"/>
  <c r="AA67" i="7947" s="1"/>
  <c r="Z31" i="7947"/>
  <c r="Z32" i="7947" s="1"/>
  <c r="AA30" i="7947" s="1"/>
  <c r="M42" i="7947"/>
  <c r="M23" i="7947"/>
  <c r="M43" i="7947" s="1"/>
  <c r="K183" i="7947"/>
  <c r="Z35" i="7947"/>
  <c r="Z36" i="7947" s="1"/>
  <c r="AA34" i="7947" s="1"/>
  <c r="AD205" i="7947"/>
  <c r="AA92" i="7947"/>
  <c r="AA93" i="7947" s="1"/>
  <c r="AB91" i="7947" s="1"/>
  <c r="AA161" i="7947"/>
  <c r="AA163" i="7947" s="1"/>
  <c r="AB160" i="7947" s="1"/>
  <c r="Q677" i="7941"/>
  <c r="P235" i="7941"/>
  <c r="K105" i="7947"/>
  <c r="L63" i="7947"/>
  <c r="AA213" i="7947" l="1"/>
  <c r="Z214" i="7947"/>
  <c r="Z218" i="7947" s="1"/>
  <c r="Z220" i="7947" s="1"/>
  <c r="AA217" i="7947" s="1"/>
  <c r="AC210" i="7947"/>
  <c r="K227" i="7947"/>
  <c r="K5" i="7947" s="1"/>
  <c r="Z176" i="7947"/>
  <c r="Z178" i="7947" s="1"/>
  <c r="AA175" i="7947" s="1"/>
  <c r="AB80" i="7947"/>
  <c r="AB81" i="7947" s="1"/>
  <c r="AC79" i="7947" s="1"/>
  <c r="AA31" i="7947"/>
  <c r="AA32" i="7947" s="1"/>
  <c r="AB30" i="7947" s="1"/>
  <c r="AB92" i="7947"/>
  <c r="AB93" i="7947" s="1"/>
  <c r="AC91" i="7947" s="1"/>
  <c r="Z171" i="7947"/>
  <c r="Z173" i="7947" s="1"/>
  <c r="AA170" i="7947" s="1"/>
  <c r="AA35" i="7947"/>
  <c r="AA36" i="7947" s="1"/>
  <c r="AB34" i="7947" s="1"/>
  <c r="AA166" i="7947"/>
  <c r="AA168" i="7947" s="1"/>
  <c r="AB165" i="7947" s="1"/>
  <c r="AA68" i="7947"/>
  <c r="AA69" i="7947" s="1"/>
  <c r="AB67" i="7947" s="1"/>
  <c r="AA100" i="7947"/>
  <c r="AA101" i="7947" s="1"/>
  <c r="AB99" i="7947" s="1"/>
  <c r="H263" i="7947"/>
  <c r="J263" i="7947" s="1"/>
  <c r="C263" i="7947"/>
  <c r="E263" i="7947" s="1"/>
  <c r="E274" i="7947" s="1"/>
  <c r="AA151" i="7947"/>
  <c r="AA153" i="7947" s="1"/>
  <c r="AB150" i="7947" s="1"/>
  <c r="Q235" i="7941"/>
  <c r="AA76" i="7947"/>
  <c r="AA77" i="7947" s="1"/>
  <c r="AB75" i="7947" s="1"/>
  <c r="AA39" i="7947"/>
  <c r="AA40" i="7947" s="1"/>
  <c r="AB38" i="7947" s="1"/>
  <c r="L64" i="7947"/>
  <c r="L104" i="7947" s="1"/>
  <c r="L103" i="7947"/>
  <c r="M24" i="7947"/>
  <c r="AE202" i="7947"/>
  <c r="AA88" i="7947"/>
  <c r="AA89" i="7947" s="1"/>
  <c r="AB87" i="7947" s="1"/>
  <c r="AA156" i="7947"/>
  <c r="AA158" i="7947" s="1"/>
  <c r="AB155" i="7947" s="1"/>
  <c r="AA72" i="7947"/>
  <c r="AA73" i="7947" s="1"/>
  <c r="AB71" i="7947" s="1"/>
  <c r="AA27" i="7947"/>
  <c r="AA28" i="7947" s="1"/>
  <c r="AB26" i="7947" s="1"/>
  <c r="Z84" i="7947"/>
  <c r="Z85" i="7947" s="1"/>
  <c r="AA83" i="7947" s="1"/>
  <c r="H264" i="7947"/>
  <c r="J264" i="7947" s="1"/>
  <c r="C264" i="7947"/>
  <c r="E264" i="7947" s="1"/>
  <c r="E275" i="7947" s="1"/>
  <c r="L180" i="7947"/>
  <c r="L141" i="7947"/>
  <c r="L181" i="7947" s="1"/>
  <c r="AA96" i="7947"/>
  <c r="AA97" i="7947" s="1"/>
  <c r="AB95" i="7947" s="1"/>
  <c r="AB161" i="7947"/>
  <c r="AB163" i="7947" s="1"/>
  <c r="AC160" i="7947" s="1"/>
  <c r="AE205" i="7947"/>
  <c r="AG204" i="7947"/>
  <c r="L65" i="7947" l="1"/>
  <c r="AB213" i="7947"/>
  <c r="AA214" i="7947"/>
  <c r="AA218" i="7947" s="1"/>
  <c r="AA220" i="7947" s="1"/>
  <c r="AB217" i="7947" s="1"/>
  <c r="AD210" i="7947"/>
  <c r="L224" i="7947"/>
  <c r="AB96" i="7947"/>
  <c r="AB97" i="7947" s="1"/>
  <c r="AC95" i="7947" s="1"/>
  <c r="AB76" i="7947"/>
  <c r="AB77" i="7947" s="1"/>
  <c r="AC75" i="7947" s="1"/>
  <c r="AB100" i="7947"/>
  <c r="AB101" i="7947" s="1"/>
  <c r="AC99" i="7947" s="1"/>
  <c r="AB35" i="7947"/>
  <c r="AB36" i="7947" s="1"/>
  <c r="AC34" i="7947" s="1"/>
  <c r="AA171" i="7947"/>
  <c r="AA173" i="7947" s="1"/>
  <c r="AB170" i="7947" s="1"/>
  <c r="AB156" i="7947"/>
  <c r="AB158" i="7947" s="1"/>
  <c r="AC155" i="7947" s="1"/>
  <c r="AC161" i="7947"/>
  <c r="AC163" i="7947" s="1"/>
  <c r="AD160" i="7947" s="1"/>
  <c r="AB68" i="7947"/>
  <c r="AB69" i="7947" s="1"/>
  <c r="AC67" i="7947" s="1"/>
  <c r="AC80" i="7947"/>
  <c r="AC81" i="7947" s="1"/>
  <c r="AD79" i="7947" s="1"/>
  <c r="AB88" i="7947"/>
  <c r="AB89" i="7947" s="1"/>
  <c r="AC87" i="7947" s="1"/>
  <c r="AB166" i="7947"/>
  <c r="AB168" i="7947" s="1"/>
  <c r="AC165" i="7947" s="1"/>
  <c r="AA176" i="7947"/>
  <c r="AA178" i="7947" s="1"/>
  <c r="AB175" i="7947" s="1"/>
  <c r="AC92" i="7947"/>
  <c r="AC93" i="7947" s="1"/>
  <c r="AD91" i="7947" s="1"/>
  <c r="M44" i="7947"/>
  <c r="N22" i="7947"/>
  <c r="AB27" i="7947"/>
  <c r="AB28" i="7947" s="1"/>
  <c r="AC26" i="7947" s="1"/>
  <c r="AB39" i="7947"/>
  <c r="AB40" i="7947" s="1"/>
  <c r="AC38" i="7947" s="1"/>
  <c r="AB151" i="7947"/>
  <c r="AB153" i="7947" s="1"/>
  <c r="AC150" i="7947" s="1"/>
  <c r="AF205" i="7947"/>
  <c r="AF202" i="7947"/>
  <c r="L105" i="7947"/>
  <c r="M63" i="7947"/>
  <c r="AB31" i="7947"/>
  <c r="AB32" i="7947" s="1"/>
  <c r="AC30" i="7947" s="1"/>
  <c r="AH204" i="7947"/>
  <c r="L143" i="7947"/>
  <c r="AA84" i="7947"/>
  <c r="AA85" i="7947" s="1"/>
  <c r="AB83" i="7947" s="1"/>
  <c r="AB72" i="7947"/>
  <c r="AB73" i="7947" s="1"/>
  <c r="AC71" i="7947" s="1"/>
  <c r="L225" i="7947"/>
  <c r="L4" i="7947" s="1"/>
  <c r="AE210" i="7947" l="1"/>
  <c r="AC213" i="7947"/>
  <c r="AB214" i="7947"/>
  <c r="AB218" i="7947" s="1"/>
  <c r="AB220" i="7947" s="1"/>
  <c r="AC217" i="7947" s="1"/>
  <c r="AC31" i="7947"/>
  <c r="AC32" i="7947" s="1"/>
  <c r="AD30" i="7947" s="1"/>
  <c r="AC27" i="7947"/>
  <c r="AC28" i="7947" s="1"/>
  <c r="AD26" i="7947" s="1"/>
  <c r="AD161" i="7947"/>
  <c r="AD163" i="7947" s="1"/>
  <c r="AE160" i="7947" s="1"/>
  <c r="AC35" i="7947"/>
  <c r="AC36" i="7947" s="1"/>
  <c r="AD34" i="7947" s="1"/>
  <c r="AD80" i="7947"/>
  <c r="AD81" i="7947" s="1"/>
  <c r="AE79" i="7947" s="1"/>
  <c r="AC156" i="7947"/>
  <c r="AC158" i="7947" s="1"/>
  <c r="AD155" i="7947" s="1"/>
  <c r="AC100" i="7947"/>
  <c r="AC101" i="7947" s="1"/>
  <c r="AD99" i="7947" s="1"/>
  <c r="AC151" i="7947"/>
  <c r="AC153" i="7947" s="1"/>
  <c r="AD150" i="7947" s="1"/>
  <c r="AD92" i="7947"/>
  <c r="AD93" i="7947" s="1"/>
  <c r="AE91" i="7947" s="1"/>
  <c r="AC88" i="7947"/>
  <c r="AC89" i="7947" s="1"/>
  <c r="AD87" i="7947" s="1"/>
  <c r="AC68" i="7947"/>
  <c r="AC69" i="7947" s="1"/>
  <c r="AD67" i="7947" s="1"/>
  <c r="AI204" i="7947"/>
  <c r="AG202" i="7947"/>
  <c r="AC166" i="7947"/>
  <c r="AC168" i="7947" s="1"/>
  <c r="AD165" i="7947" s="1"/>
  <c r="AC76" i="7947"/>
  <c r="AC77" i="7947" s="1"/>
  <c r="AD75" i="7947" s="1"/>
  <c r="AB84" i="7947"/>
  <c r="AB85" i="7947" s="1"/>
  <c r="AC83" i="7947" s="1"/>
  <c r="M64" i="7947"/>
  <c r="M104" i="7947" s="1"/>
  <c r="M103" i="7947"/>
  <c r="AB176" i="7947"/>
  <c r="AB178" i="7947" s="1"/>
  <c r="AC175" i="7947" s="1"/>
  <c r="AB171" i="7947"/>
  <c r="AB173" i="7947" s="1"/>
  <c r="AC170" i="7947" s="1"/>
  <c r="AC97" i="7947"/>
  <c r="AD95" i="7947" s="1"/>
  <c r="AC96" i="7947"/>
  <c r="AC72" i="7947"/>
  <c r="AC73" i="7947" s="1"/>
  <c r="AD71" i="7947" s="1"/>
  <c r="AC39" i="7947"/>
  <c r="AC40" i="7947" s="1"/>
  <c r="AD38" i="7947" s="1"/>
  <c r="L183" i="7947"/>
  <c r="L227" i="7947" s="1"/>
  <c r="L5" i="7947" s="1"/>
  <c r="M140" i="7947"/>
  <c r="AG205" i="7947"/>
  <c r="N42" i="7947"/>
  <c r="N23" i="7947"/>
  <c r="N43" i="7947" s="1"/>
  <c r="M65" i="7947" l="1"/>
  <c r="M105" i="7947" s="1"/>
  <c r="AD213" i="7947"/>
  <c r="AC214" i="7947"/>
  <c r="AC218" i="7947" s="1"/>
  <c r="AC220" i="7947" s="1"/>
  <c r="AD217" i="7947" s="1"/>
  <c r="AF210" i="7947"/>
  <c r="AD151" i="7947"/>
  <c r="AD153" i="7947" s="1"/>
  <c r="AE150" i="7947" s="1"/>
  <c r="AC84" i="7947"/>
  <c r="AC85" i="7947" s="1"/>
  <c r="AD83" i="7947" s="1"/>
  <c r="AE92" i="7947"/>
  <c r="AE93" i="7947" s="1"/>
  <c r="AF91" i="7947" s="1"/>
  <c r="AD72" i="7947"/>
  <c r="AD73" i="7947" s="1"/>
  <c r="AE71" i="7947" s="1"/>
  <c r="AE80" i="7947"/>
  <c r="AE81" i="7947" s="1"/>
  <c r="AF79" i="7947" s="1"/>
  <c r="AD76" i="7947"/>
  <c r="AD77" i="7947" s="1"/>
  <c r="AE75" i="7947" s="1"/>
  <c r="AD100" i="7947"/>
  <c r="AD101" i="7947" s="1"/>
  <c r="AE99" i="7947" s="1"/>
  <c r="AC171" i="7947"/>
  <c r="AC173" i="7947" s="1"/>
  <c r="AD170" i="7947" s="1"/>
  <c r="AD166" i="7947"/>
  <c r="AD168" i="7947" s="1"/>
  <c r="AE165" i="7947" s="1"/>
  <c r="AD156" i="7947"/>
  <c r="AD158" i="7947" s="1"/>
  <c r="AE155" i="7947" s="1"/>
  <c r="AD31" i="7947"/>
  <c r="AD32" i="7947" s="1"/>
  <c r="AE30" i="7947" s="1"/>
  <c r="M180" i="7947"/>
  <c r="M224" i="7947" s="1"/>
  <c r="M141" i="7947"/>
  <c r="M181" i="7947" s="1"/>
  <c r="M225" i="7947" s="1"/>
  <c r="M4" i="7947" s="1"/>
  <c r="AD35" i="7947"/>
  <c r="AD36" i="7947" s="1"/>
  <c r="AE34" i="7947" s="1"/>
  <c r="AH205" i="7947"/>
  <c r="AH202" i="7947"/>
  <c r="AJ204" i="7947"/>
  <c r="AD88" i="7947"/>
  <c r="AD89" i="7947" s="1"/>
  <c r="AE87" i="7947" s="1"/>
  <c r="AD27" i="7947"/>
  <c r="AD28" i="7947" s="1"/>
  <c r="AE26" i="7947" s="1"/>
  <c r="N24" i="7947"/>
  <c r="AD68" i="7947"/>
  <c r="AD69" i="7947" s="1"/>
  <c r="AE67" i="7947" s="1"/>
  <c r="AE161" i="7947"/>
  <c r="AE163" i="7947" s="1"/>
  <c r="AF160" i="7947" s="1"/>
  <c r="AD39" i="7947"/>
  <c r="AD40" i="7947" s="1"/>
  <c r="AE38" i="7947" s="1"/>
  <c r="AD96" i="7947"/>
  <c r="AD97" i="7947" s="1"/>
  <c r="AE95" i="7947" s="1"/>
  <c r="AC176" i="7947"/>
  <c r="AC178" i="7947" s="1"/>
  <c r="AD175" i="7947" s="1"/>
  <c r="N63" i="7947" l="1"/>
  <c r="AG210" i="7947"/>
  <c r="AE213" i="7947"/>
  <c r="AD214" i="7947"/>
  <c r="AD218" i="7947" s="1"/>
  <c r="AD220" i="7947" s="1"/>
  <c r="AE217" i="7947" s="1"/>
  <c r="M143" i="7947"/>
  <c r="N140" i="7947" s="1"/>
  <c r="AE166" i="7947"/>
  <c r="AE168" i="7947" s="1"/>
  <c r="AF165" i="7947" s="1"/>
  <c r="AF92" i="7947"/>
  <c r="AF93" i="7947" s="1"/>
  <c r="AG91" i="7947" s="1"/>
  <c r="AD171" i="7947"/>
  <c r="AD173" i="7947" s="1"/>
  <c r="AE170" i="7947" s="1"/>
  <c r="AF80" i="7947"/>
  <c r="AF81" i="7947" s="1"/>
  <c r="AG79" i="7947" s="1"/>
  <c r="AE96" i="7947"/>
  <c r="AE97" i="7947" s="1"/>
  <c r="AF95" i="7947" s="1"/>
  <c r="AD176" i="7947"/>
  <c r="AD178" i="7947" s="1"/>
  <c r="AE175" i="7947" s="1"/>
  <c r="AE35" i="7947"/>
  <c r="AE36" i="7947" s="1"/>
  <c r="AF34" i="7947" s="1"/>
  <c r="AE31" i="7947"/>
  <c r="AE32" i="7947" s="1"/>
  <c r="AF30" i="7947" s="1"/>
  <c r="AE100" i="7947"/>
  <c r="AE101" i="7947" s="1"/>
  <c r="AF99" i="7947" s="1"/>
  <c r="AE88" i="7947"/>
  <c r="AE89" i="7947" s="1"/>
  <c r="AF87" i="7947" s="1"/>
  <c r="AE156" i="7947"/>
  <c r="AE158" i="7947" s="1"/>
  <c r="AF155" i="7947" s="1"/>
  <c r="AE151" i="7947"/>
  <c r="AE153" i="7947" s="1"/>
  <c r="AF150" i="7947" s="1"/>
  <c r="AE68" i="7947"/>
  <c r="AE69" i="7947" s="1"/>
  <c r="AF67" i="7947" s="1"/>
  <c r="AE76" i="7947"/>
  <c r="AE77" i="7947" s="1"/>
  <c r="AF75" i="7947" s="1"/>
  <c r="AD84" i="7947"/>
  <c r="AD85" i="7947" s="1"/>
  <c r="AE83" i="7947" s="1"/>
  <c r="AE27" i="7947"/>
  <c r="AE28" i="7947" s="1"/>
  <c r="AF26" i="7947" s="1"/>
  <c r="AE72" i="7947"/>
  <c r="AE73" i="7947" s="1"/>
  <c r="AF71" i="7947" s="1"/>
  <c r="AE39" i="7947"/>
  <c r="AE40" i="7947"/>
  <c r="AF38" i="7947" s="1"/>
  <c r="N44" i="7947"/>
  <c r="O22" i="7947"/>
  <c r="N64" i="7947"/>
  <c r="N104" i="7947" s="1"/>
  <c r="N103" i="7947"/>
  <c r="AF161" i="7947"/>
  <c r="AF163" i="7947" s="1"/>
  <c r="AG160" i="7947" s="1"/>
  <c r="AK204" i="7947"/>
  <c r="AI202" i="7947"/>
  <c r="AI205" i="7947"/>
  <c r="N65" i="7947" l="1"/>
  <c r="M183" i="7947"/>
  <c r="M227" i="7947" s="1"/>
  <c r="M5" i="7947" s="1"/>
  <c r="AF213" i="7947"/>
  <c r="AE214" i="7947"/>
  <c r="AE218" i="7947" s="1"/>
  <c r="AE220" i="7947" s="1"/>
  <c r="AF217" i="7947" s="1"/>
  <c r="AH210" i="7947"/>
  <c r="AE171" i="7947"/>
  <c r="AE173" i="7947" s="1"/>
  <c r="AF170" i="7947" s="1"/>
  <c r="AF151" i="7947"/>
  <c r="AF153" i="7947" s="1"/>
  <c r="AG150" i="7947" s="1"/>
  <c r="AF100" i="7947"/>
  <c r="AF101" i="7947" s="1"/>
  <c r="AG99" i="7947" s="1"/>
  <c r="AE176" i="7947"/>
  <c r="AE178" i="7947" s="1"/>
  <c r="AF175" i="7947" s="1"/>
  <c r="AF68" i="7947"/>
  <c r="AF69" i="7947"/>
  <c r="AG67" i="7947" s="1"/>
  <c r="AF88" i="7947"/>
  <c r="AF89" i="7947" s="1"/>
  <c r="AG87" i="7947" s="1"/>
  <c r="AF35" i="7947"/>
  <c r="AF36" i="7947" s="1"/>
  <c r="AG34" i="7947" s="1"/>
  <c r="AF96" i="7947"/>
  <c r="AF97" i="7947" s="1"/>
  <c r="AG95" i="7947" s="1"/>
  <c r="AG161" i="7947"/>
  <c r="AG163" i="7947" s="1"/>
  <c r="AH160" i="7947" s="1"/>
  <c r="AF27" i="7947"/>
  <c r="AF28" i="7947" s="1"/>
  <c r="AG26" i="7947" s="1"/>
  <c r="AF76" i="7947"/>
  <c r="AF77" i="7947" s="1"/>
  <c r="AG75" i="7947" s="1"/>
  <c r="AG80" i="7947"/>
  <c r="AG81" i="7947" s="1"/>
  <c r="AH79" i="7947" s="1"/>
  <c r="AF166" i="7947"/>
  <c r="AF168" i="7947" s="1"/>
  <c r="AG165" i="7947" s="1"/>
  <c r="AJ202" i="7947"/>
  <c r="N141" i="7947"/>
  <c r="N181" i="7947" s="1"/>
  <c r="N225" i="7947" s="1"/>
  <c r="N4" i="7947" s="1"/>
  <c r="N180" i="7947"/>
  <c r="N224" i="7947" s="1"/>
  <c r="AF31" i="7947"/>
  <c r="AF32" i="7947" s="1"/>
  <c r="AG30" i="7947" s="1"/>
  <c r="AG92" i="7947"/>
  <c r="AG93" i="7947" s="1"/>
  <c r="AH91" i="7947" s="1"/>
  <c r="O23" i="7947"/>
  <c r="O43" i="7947" s="1"/>
  <c r="O42" i="7947"/>
  <c r="O24" i="7947"/>
  <c r="AF73" i="7947"/>
  <c r="AG71" i="7947" s="1"/>
  <c r="AF72" i="7947"/>
  <c r="AE84" i="7947"/>
  <c r="AE85" i="7947" s="1"/>
  <c r="AF83" i="7947" s="1"/>
  <c r="AF156" i="7947"/>
  <c r="AF158" i="7947" s="1"/>
  <c r="AG155" i="7947" s="1"/>
  <c r="AJ205" i="7947"/>
  <c r="AF39" i="7947"/>
  <c r="AF40" i="7947" s="1"/>
  <c r="AG38" i="7947" s="1"/>
  <c r="AL204" i="7947"/>
  <c r="N105" i="7947"/>
  <c r="O63" i="7947"/>
  <c r="N143" i="7947" l="1"/>
  <c r="O140" i="7947" s="1"/>
  <c r="AI210" i="7947"/>
  <c r="AG213" i="7947"/>
  <c r="AF214" i="7947"/>
  <c r="AF218" i="7947" s="1"/>
  <c r="AF220" i="7947" s="1"/>
  <c r="AG217" i="7947" s="1"/>
  <c r="AG31" i="7947"/>
  <c r="AG32" i="7947" s="1"/>
  <c r="AH30" i="7947" s="1"/>
  <c r="AG166" i="7947"/>
  <c r="AG168" i="7947" s="1"/>
  <c r="AH165" i="7947" s="1"/>
  <c r="AH80" i="7947"/>
  <c r="AH81" i="7947" s="1"/>
  <c r="AI79" i="7947" s="1"/>
  <c r="AG100" i="7947"/>
  <c r="AG101" i="7947" s="1"/>
  <c r="AH99" i="7947" s="1"/>
  <c r="AF84" i="7947"/>
  <c r="AF85" i="7947" s="1"/>
  <c r="AG83" i="7947" s="1"/>
  <c r="AG76" i="7947"/>
  <c r="AG77" i="7947" s="1"/>
  <c r="AH75" i="7947" s="1"/>
  <c r="AG151" i="7947"/>
  <c r="AG153" i="7947" s="1"/>
  <c r="AH150" i="7947" s="1"/>
  <c r="AG39" i="7947"/>
  <c r="AG40" i="7947" s="1"/>
  <c r="AH38" i="7947" s="1"/>
  <c r="AF171" i="7947"/>
  <c r="AF173" i="7947" s="1"/>
  <c r="AG170" i="7947" s="1"/>
  <c r="AK205" i="7947"/>
  <c r="AF176" i="7947"/>
  <c r="AF178" i="7947" s="1"/>
  <c r="AG175" i="7947" s="1"/>
  <c r="O64" i="7947"/>
  <c r="O104" i="7947" s="1"/>
  <c r="O103" i="7947"/>
  <c r="AG27" i="7947"/>
  <c r="AG28" i="7947" s="1"/>
  <c r="AH26" i="7947" s="1"/>
  <c r="AG96" i="7947"/>
  <c r="AG97" i="7947" s="1"/>
  <c r="AH95" i="7947" s="1"/>
  <c r="AG156" i="7947"/>
  <c r="AG158" i="7947" s="1"/>
  <c r="AH155" i="7947" s="1"/>
  <c r="AG72" i="7947"/>
  <c r="AG73" i="7947" s="1"/>
  <c r="AH71" i="7947" s="1"/>
  <c r="AH92" i="7947"/>
  <c r="AH93" i="7947" s="1"/>
  <c r="AI91" i="7947" s="1"/>
  <c r="AH161" i="7947"/>
  <c r="AH163" i="7947" s="1"/>
  <c r="AI160" i="7947" s="1"/>
  <c r="AG35" i="7947"/>
  <c r="AG36" i="7947" s="1"/>
  <c r="AH34" i="7947" s="1"/>
  <c r="AG68" i="7947"/>
  <c r="AG69" i="7947" s="1"/>
  <c r="AH67" i="7947" s="1"/>
  <c r="AG88" i="7947"/>
  <c r="AG89" i="7947" s="1"/>
  <c r="AH87" i="7947" s="1"/>
  <c r="AM204" i="7947"/>
  <c r="O44" i="7947"/>
  <c r="P22" i="7947"/>
  <c r="AK202" i="7947"/>
  <c r="O65" i="7947" l="1"/>
  <c r="N183" i="7947"/>
  <c r="N227" i="7947" s="1"/>
  <c r="N5" i="7947" s="1"/>
  <c r="AH213" i="7947"/>
  <c r="AG214" i="7947"/>
  <c r="AG218" i="7947" s="1"/>
  <c r="AG220" i="7947" s="1"/>
  <c r="AH217" i="7947" s="1"/>
  <c r="AJ210" i="7947"/>
  <c r="AH96" i="7947"/>
  <c r="AH97" i="7947"/>
  <c r="AI95" i="7947" s="1"/>
  <c r="AH73" i="7947"/>
  <c r="AI71" i="7947" s="1"/>
  <c r="AH72" i="7947"/>
  <c r="AH27" i="7947"/>
  <c r="AH28" i="7947" s="1"/>
  <c r="AI26" i="7947" s="1"/>
  <c r="AH151" i="7947"/>
  <c r="AH153" i="7947" s="1"/>
  <c r="AI150" i="7947" s="1"/>
  <c r="AH166" i="7947"/>
  <c r="AH168" i="7947" s="1"/>
  <c r="AI165" i="7947" s="1"/>
  <c r="AI92" i="7947"/>
  <c r="AI93" i="7947" s="1"/>
  <c r="AJ91" i="7947" s="1"/>
  <c r="AH68" i="7947"/>
  <c r="AH69" i="7947"/>
  <c r="AI67" i="7947" s="1"/>
  <c r="AG176" i="7947"/>
  <c r="AG178" i="7947" s="1"/>
  <c r="AH175" i="7947" s="1"/>
  <c r="AH76" i="7947"/>
  <c r="AH77" i="7947" s="1"/>
  <c r="AI75" i="7947" s="1"/>
  <c r="AH31" i="7947"/>
  <c r="AH32" i="7947" s="1"/>
  <c r="AI30" i="7947" s="1"/>
  <c r="P42" i="7947"/>
  <c r="P23" i="7947"/>
  <c r="P43" i="7947" s="1"/>
  <c r="AL205" i="7947"/>
  <c r="AH100" i="7947"/>
  <c r="AH101" i="7947" s="1"/>
  <c r="AI99" i="7947" s="1"/>
  <c r="AH88" i="7947"/>
  <c r="AH89" i="7947" s="1"/>
  <c r="AI87" i="7947" s="1"/>
  <c r="O180" i="7947"/>
  <c r="O224" i="7947" s="1"/>
  <c r="O141" i="7947"/>
  <c r="O181" i="7947" s="1"/>
  <c r="O225" i="7947" s="1"/>
  <c r="O4" i="7947" s="1"/>
  <c r="O105" i="7947"/>
  <c r="P63" i="7947"/>
  <c r="AH40" i="7947"/>
  <c r="AI38" i="7947" s="1"/>
  <c r="AH39" i="7947"/>
  <c r="AL202" i="7947"/>
  <c r="AN204" i="7947"/>
  <c r="AH36" i="7947"/>
  <c r="AI34" i="7947" s="1"/>
  <c r="AH35" i="7947"/>
  <c r="AH156" i="7947"/>
  <c r="AH158" i="7947" s="1"/>
  <c r="AI155" i="7947" s="1"/>
  <c r="AG171" i="7947"/>
  <c r="AG173" i="7947" s="1"/>
  <c r="AH170" i="7947" s="1"/>
  <c r="AG85" i="7947"/>
  <c r="AH83" i="7947" s="1"/>
  <c r="AG84" i="7947"/>
  <c r="AI80" i="7947"/>
  <c r="AI81" i="7947" s="1"/>
  <c r="AJ79" i="7947" s="1"/>
  <c r="AI161" i="7947"/>
  <c r="AI163" i="7947" s="1"/>
  <c r="AJ160" i="7947" s="1"/>
  <c r="AK210" i="7947" l="1"/>
  <c r="AI213" i="7947"/>
  <c r="AH214" i="7947"/>
  <c r="AH218" i="7947" s="1"/>
  <c r="AH220" i="7947" s="1"/>
  <c r="AI217" i="7947" s="1"/>
  <c r="O143" i="7947"/>
  <c r="P140" i="7947" s="1"/>
  <c r="AI31" i="7947"/>
  <c r="AI32" i="7947" s="1"/>
  <c r="AJ30" i="7947" s="1"/>
  <c r="AI151" i="7947"/>
  <c r="AI153" i="7947" s="1"/>
  <c r="AJ150" i="7947" s="1"/>
  <c r="AI156" i="7947"/>
  <c r="AI158" i="7947" s="1"/>
  <c r="AJ155" i="7947" s="1"/>
  <c r="AI76" i="7947"/>
  <c r="AI77" i="7947" s="1"/>
  <c r="AJ75" i="7947" s="1"/>
  <c r="AJ92" i="7947"/>
  <c r="AJ93" i="7947" s="1"/>
  <c r="AK91" i="7947" s="1"/>
  <c r="AI88" i="7947"/>
  <c r="AI89" i="7947" s="1"/>
  <c r="AJ87" i="7947" s="1"/>
  <c r="AH176" i="7947"/>
  <c r="AH178" i="7947" s="1"/>
  <c r="AI175" i="7947" s="1"/>
  <c r="AH171" i="7947"/>
  <c r="AH173" i="7947" s="1"/>
  <c r="AI170" i="7947" s="1"/>
  <c r="AJ161" i="7947"/>
  <c r="AJ163" i="7947" s="1"/>
  <c r="AK160" i="7947" s="1"/>
  <c r="AI100" i="7947"/>
  <c r="AI101" i="7947" s="1"/>
  <c r="AJ99" i="7947" s="1"/>
  <c r="AI35" i="7947"/>
  <c r="AI36" i="7947" s="1"/>
  <c r="AJ34" i="7947" s="1"/>
  <c r="AI166" i="7947"/>
  <c r="AI168" i="7947" s="1"/>
  <c r="AJ165" i="7947" s="1"/>
  <c r="AI72" i="7947"/>
  <c r="AI73" i="7947" s="1"/>
  <c r="AJ71" i="7947" s="1"/>
  <c r="AO204" i="7947"/>
  <c r="P24" i="7947"/>
  <c r="AH84" i="7947"/>
  <c r="AH85" i="7947" s="1"/>
  <c r="AI83" i="7947" s="1"/>
  <c r="AI39" i="7947"/>
  <c r="AI40" i="7947" s="1"/>
  <c r="AJ38" i="7947" s="1"/>
  <c r="AM205" i="7947"/>
  <c r="AI27" i="7947"/>
  <c r="AI28" i="7947" s="1"/>
  <c r="AJ26" i="7947" s="1"/>
  <c r="AI96" i="7947"/>
  <c r="AI97" i="7947" s="1"/>
  <c r="AJ95" i="7947" s="1"/>
  <c r="AJ80" i="7947"/>
  <c r="AJ81" i="7947" s="1"/>
  <c r="AK79" i="7947" s="1"/>
  <c r="AI68" i="7947"/>
  <c r="AI69" i="7947" s="1"/>
  <c r="AJ67" i="7947" s="1"/>
  <c r="AM202" i="7947"/>
  <c r="P103" i="7947"/>
  <c r="P64" i="7947"/>
  <c r="P104" i="7947" s="1"/>
  <c r="P65" i="7947" l="1"/>
  <c r="AJ213" i="7947"/>
  <c r="AI214" i="7947"/>
  <c r="AI218" i="7947" s="1"/>
  <c r="AI220" i="7947" s="1"/>
  <c r="AJ217" i="7947" s="1"/>
  <c r="AL210" i="7947"/>
  <c r="O183" i="7947"/>
  <c r="O227" i="7947" s="1"/>
  <c r="O5" i="7947" s="1"/>
  <c r="AI176" i="7947"/>
  <c r="AI178" i="7947" s="1"/>
  <c r="AJ175" i="7947" s="1"/>
  <c r="AK80" i="7947"/>
  <c r="AK81" i="7947" s="1"/>
  <c r="AL79" i="7947" s="1"/>
  <c r="AJ100" i="7947"/>
  <c r="AJ101" i="7947" s="1"/>
  <c r="AK99" i="7947" s="1"/>
  <c r="AJ76" i="7947"/>
  <c r="AJ77" i="7947" s="1"/>
  <c r="AK75" i="7947" s="1"/>
  <c r="AJ96" i="7947"/>
  <c r="AJ97" i="7947" s="1"/>
  <c r="AK95" i="7947" s="1"/>
  <c r="AJ166" i="7947"/>
  <c r="AJ168" i="7947" s="1"/>
  <c r="AK165" i="7947" s="1"/>
  <c r="AK161" i="7947"/>
  <c r="AK163" i="7947" s="1"/>
  <c r="AL160" i="7947" s="1"/>
  <c r="AJ27" i="7947"/>
  <c r="AJ28" i="7947" s="1"/>
  <c r="AK26" i="7947" s="1"/>
  <c r="AI171" i="7947"/>
  <c r="AI173" i="7947" s="1"/>
  <c r="AJ170" i="7947" s="1"/>
  <c r="P180" i="7947"/>
  <c r="P224" i="7947" s="1"/>
  <c r="P141" i="7947"/>
  <c r="P181" i="7947" s="1"/>
  <c r="P225" i="7947" s="1"/>
  <c r="P4" i="7947" s="1"/>
  <c r="AJ72" i="7947"/>
  <c r="AJ73" i="7947" s="1"/>
  <c r="AK71" i="7947" s="1"/>
  <c r="AJ151" i="7947"/>
  <c r="AJ153" i="7947" s="1"/>
  <c r="AK150" i="7947" s="1"/>
  <c r="Q63" i="7947"/>
  <c r="P105" i="7947"/>
  <c r="AP204" i="7947"/>
  <c r="AN202" i="7947"/>
  <c r="AJ39" i="7947"/>
  <c r="AJ40" i="7947" s="1"/>
  <c r="AK38" i="7947" s="1"/>
  <c r="P44" i="7947"/>
  <c r="Q22" i="7947"/>
  <c r="AJ35" i="7947"/>
  <c r="AJ36" i="7947" s="1"/>
  <c r="AK34" i="7947" s="1"/>
  <c r="AJ88" i="7947"/>
  <c r="AJ89" i="7947" s="1"/>
  <c r="AK87" i="7947" s="1"/>
  <c r="AI84" i="7947"/>
  <c r="AI85" i="7947" s="1"/>
  <c r="AJ83" i="7947" s="1"/>
  <c r="AK92" i="7947"/>
  <c r="AK93" i="7947" s="1"/>
  <c r="AL91" i="7947" s="1"/>
  <c r="AJ156" i="7947"/>
  <c r="AJ158" i="7947" s="1"/>
  <c r="AK155" i="7947" s="1"/>
  <c r="AJ31" i="7947"/>
  <c r="AJ32" i="7947" s="1"/>
  <c r="AK30" i="7947" s="1"/>
  <c r="AJ68" i="7947"/>
  <c r="AJ69" i="7947" s="1"/>
  <c r="AK67" i="7947" s="1"/>
  <c r="AN205" i="7947"/>
  <c r="AM210" i="7947" l="1"/>
  <c r="AK213" i="7947"/>
  <c r="AJ214" i="7947"/>
  <c r="AJ218" i="7947" s="1"/>
  <c r="AJ220" i="7947" s="1"/>
  <c r="AK217" i="7947" s="1"/>
  <c r="AK156" i="7947"/>
  <c r="AK158" i="7947" s="1"/>
  <c r="AL155" i="7947" s="1"/>
  <c r="AK27" i="7947"/>
  <c r="AK28" i="7947" s="1"/>
  <c r="AL26" i="7947" s="1"/>
  <c r="AK68" i="7947"/>
  <c r="AK69" i="7947" s="1"/>
  <c r="AL67" i="7947" s="1"/>
  <c r="AL92" i="7947"/>
  <c r="AL93" i="7947" s="1"/>
  <c r="AM91" i="7947" s="1"/>
  <c r="AL80" i="7947"/>
  <c r="AL81" i="7947" s="1"/>
  <c r="AM79" i="7947" s="1"/>
  <c r="AK35" i="7947"/>
  <c r="AK36" i="7947" s="1"/>
  <c r="AL34" i="7947" s="1"/>
  <c r="AK96" i="7947"/>
  <c r="AK97" i="7947" s="1"/>
  <c r="AL95" i="7947" s="1"/>
  <c r="AK31" i="7947"/>
  <c r="AK32" i="7947" s="1"/>
  <c r="AL30" i="7947" s="1"/>
  <c r="AK166" i="7947"/>
  <c r="AK168" i="7947" s="1"/>
  <c r="AL165" i="7947" s="1"/>
  <c r="Q103" i="7947"/>
  <c r="Q64" i="7947"/>
  <c r="Q104" i="7947" s="1"/>
  <c r="AL161" i="7947"/>
  <c r="AL163" i="7947" s="1"/>
  <c r="AM160" i="7947" s="1"/>
  <c r="AK76" i="7947"/>
  <c r="AK77" i="7947" s="1"/>
  <c r="AL75" i="7947" s="1"/>
  <c r="AJ84" i="7947"/>
  <c r="AJ85" i="7947" s="1"/>
  <c r="AK83" i="7947" s="1"/>
  <c r="AK39" i="7947"/>
  <c r="AK40" i="7947" s="1"/>
  <c r="AL38" i="7947" s="1"/>
  <c r="AQ204" i="7947"/>
  <c r="AK151" i="7947"/>
  <c r="AK153" i="7947" s="1"/>
  <c r="AL150" i="7947" s="1"/>
  <c r="AK72" i="7947"/>
  <c r="AK73" i="7947" s="1"/>
  <c r="AL71" i="7947" s="1"/>
  <c r="AJ171" i="7947"/>
  <c r="AJ173" i="7947" s="1"/>
  <c r="AK170" i="7947" s="1"/>
  <c r="AK100" i="7947"/>
  <c r="AK101" i="7947" s="1"/>
  <c r="AL99" i="7947" s="1"/>
  <c r="AJ176" i="7947"/>
  <c r="AJ178" i="7947" s="1"/>
  <c r="AK175" i="7947" s="1"/>
  <c r="AK88" i="7947"/>
  <c r="AK89" i="7947" s="1"/>
  <c r="AL87" i="7947" s="1"/>
  <c r="AO205" i="7947"/>
  <c r="Q23" i="7947"/>
  <c r="Q43" i="7947" s="1"/>
  <c r="Q42" i="7947"/>
  <c r="AO202" i="7947"/>
  <c r="P143" i="7947"/>
  <c r="Q65" i="7947" l="1"/>
  <c r="AL213" i="7947"/>
  <c r="AK214" i="7947"/>
  <c r="AK218" i="7947" s="1"/>
  <c r="AK220" i="7947" s="1"/>
  <c r="AL217" i="7947" s="1"/>
  <c r="AN210" i="7947"/>
  <c r="AL35" i="7947"/>
  <c r="AL36" i="7947" s="1"/>
  <c r="AM34" i="7947" s="1"/>
  <c r="AL100" i="7947"/>
  <c r="AL101" i="7947" s="1"/>
  <c r="AM99" i="7947" s="1"/>
  <c r="AL31" i="7947"/>
  <c r="AL32" i="7947" s="1"/>
  <c r="AM30" i="7947" s="1"/>
  <c r="AL69" i="7947"/>
  <c r="AM67" i="7947" s="1"/>
  <c r="AL68" i="7947"/>
  <c r="AK84" i="7947"/>
  <c r="AK85" i="7947" s="1"/>
  <c r="AL83" i="7947" s="1"/>
  <c r="AM92" i="7947"/>
  <c r="AM93" i="7947" s="1"/>
  <c r="AN91" i="7947" s="1"/>
  <c r="AL156" i="7947"/>
  <c r="AL158" i="7947" s="1"/>
  <c r="AM155" i="7947" s="1"/>
  <c r="AP202" i="7947"/>
  <c r="AL72" i="7947"/>
  <c r="AL73" i="7947" s="1"/>
  <c r="AM71" i="7947" s="1"/>
  <c r="AK176" i="7947"/>
  <c r="AK178" i="7947" s="1"/>
  <c r="AL175" i="7947" s="1"/>
  <c r="AK171" i="7947"/>
  <c r="AK173" i="7947" s="1"/>
  <c r="AL170" i="7947" s="1"/>
  <c r="AL151" i="7947"/>
  <c r="AL153" i="7947" s="1"/>
  <c r="AM150" i="7947" s="1"/>
  <c r="AL39" i="7947"/>
  <c r="AL40" i="7947" s="1"/>
  <c r="AM38" i="7947" s="1"/>
  <c r="AL76" i="7947"/>
  <c r="AL77" i="7947" s="1"/>
  <c r="AM75" i="7947" s="1"/>
  <c r="AL88" i="7947"/>
  <c r="AL89" i="7947" s="1"/>
  <c r="AM87" i="7947" s="1"/>
  <c r="AM161" i="7947"/>
  <c r="AM163" i="7947" s="1"/>
  <c r="AN160" i="7947" s="1"/>
  <c r="AP205" i="7947"/>
  <c r="Q105" i="7947"/>
  <c r="R63" i="7947"/>
  <c r="AL166" i="7947"/>
  <c r="AL168" i="7947" s="1"/>
  <c r="AM165" i="7947" s="1"/>
  <c r="AL96" i="7947"/>
  <c r="AL97" i="7947" s="1"/>
  <c r="AM95" i="7947" s="1"/>
  <c r="AM80" i="7947"/>
  <c r="AM81" i="7947" s="1"/>
  <c r="AN79" i="7947" s="1"/>
  <c r="AL27" i="7947"/>
  <c r="AL28" i="7947" s="1"/>
  <c r="AM26" i="7947" s="1"/>
  <c r="P183" i="7947"/>
  <c r="P227" i="7947" s="1"/>
  <c r="P5" i="7947" s="1"/>
  <c r="Q140" i="7947"/>
  <c r="Q24" i="7947"/>
  <c r="AR204" i="7947"/>
  <c r="AO210" i="7947" l="1"/>
  <c r="AM213" i="7947"/>
  <c r="AL214" i="7947"/>
  <c r="AL218" i="7947" s="1"/>
  <c r="AL220" i="7947" s="1"/>
  <c r="AM217" i="7947" s="1"/>
  <c r="AM27" i="7947"/>
  <c r="AM28" i="7947" s="1"/>
  <c r="AN26" i="7947" s="1"/>
  <c r="AM76" i="7947"/>
  <c r="AM77" i="7947" s="1"/>
  <c r="AN75" i="7947" s="1"/>
  <c r="AN80" i="7947"/>
  <c r="AN81" i="7947" s="1"/>
  <c r="AO79" i="7947" s="1"/>
  <c r="AM31" i="7947"/>
  <c r="AM32" i="7947" s="1"/>
  <c r="AN30" i="7947" s="1"/>
  <c r="AM96" i="7947"/>
  <c r="AM97" i="7947" s="1"/>
  <c r="AN95" i="7947" s="1"/>
  <c r="AL176" i="7947"/>
  <c r="AL178" i="7947" s="1"/>
  <c r="AM175" i="7947" s="1"/>
  <c r="AM156" i="7947"/>
  <c r="AM158" i="7947" s="1"/>
  <c r="AN155" i="7947" s="1"/>
  <c r="AM100" i="7947"/>
  <c r="AM101" i="7947" s="1"/>
  <c r="AN99" i="7947" s="1"/>
  <c r="AM88" i="7947"/>
  <c r="AM89" i="7947" s="1"/>
  <c r="AN87" i="7947" s="1"/>
  <c r="AM151" i="7947"/>
  <c r="AM153" i="7947" s="1"/>
  <c r="AN150" i="7947" s="1"/>
  <c r="AM35" i="7947"/>
  <c r="AM36" i="7947" s="1"/>
  <c r="AN34" i="7947" s="1"/>
  <c r="AN161" i="7947"/>
  <c r="AN163" i="7947" s="1"/>
  <c r="AO160" i="7947" s="1"/>
  <c r="AN92" i="7947"/>
  <c r="AN93" i="7947" s="1"/>
  <c r="AO91" i="7947" s="1"/>
  <c r="AQ205" i="7947"/>
  <c r="AS204" i="7947"/>
  <c r="AM68" i="7947"/>
  <c r="AM69" i="7947" s="1"/>
  <c r="AN67" i="7947" s="1"/>
  <c r="R22" i="7947"/>
  <c r="Q44" i="7947"/>
  <c r="R64" i="7947"/>
  <c r="R104" i="7947" s="1"/>
  <c r="R103" i="7947"/>
  <c r="AM39" i="7947"/>
  <c r="AM40" i="7947" s="1"/>
  <c r="AN38" i="7947" s="1"/>
  <c r="AL171" i="7947"/>
  <c r="AL173" i="7947" s="1"/>
  <c r="AM170" i="7947" s="1"/>
  <c r="AM72" i="7947"/>
  <c r="AM73" i="7947" s="1"/>
  <c r="AN71" i="7947" s="1"/>
  <c r="AL84" i="7947"/>
  <c r="AL85" i="7947" s="1"/>
  <c r="AM83" i="7947" s="1"/>
  <c r="AM166" i="7947"/>
  <c r="AM168" i="7947" s="1"/>
  <c r="AN165" i="7947" s="1"/>
  <c r="Q180" i="7947"/>
  <c r="Q224" i="7947" s="1"/>
  <c r="Q141" i="7947"/>
  <c r="Q181" i="7947" s="1"/>
  <c r="Q225" i="7947" s="1"/>
  <c r="Q4" i="7947" s="1"/>
  <c r="AQ202" i="7947"/>
  <c r="AN213" i="7947" l="1"/>
  <c r="AM214" i="7947"/>
  <c r="AM218" i="7947" s="1"/>
  <c r="AM220" i="7947" s="1"/>
  <c r="AN217" i="7947" s="1"/>
  <c r="AP210" i="7947"/>
  <c r="AN88" i="7947"/>
  <c r="AN89" i="7947" s="1"/>
  <c r="AO87" i="7947" s="1"/>
  <c r="AN72" i="7947"/>
  <c r="AN73" i="7947" s="1"/>
  <c r="AO71" i="7947" s="1"/>
  <c r="AN68" i="7947"/>
  <c r="AN69" i="7947" s="1"/>
  <c r="AO67" i="7947" s="1"/>
  <c r="AN35" i="7947"/>
  <c r="AN36" i="7947" s="1"/>
  <c r="AO34" i="7947" s="1"/>
  <c r="AN166" i="7947"/>
  <c r="AN168" i="7947" s="1"/>
  <c r="AO165" i="7947" s="1"/>
  <c r="AM171" i="7947"/>
  <c r="AM173" i="7947" s="1"/>
  <c r="AN170" i="7947" s="1"/>
  <c r="AN151" i="7947"/>
  <c r="AN153" i="7947" s="1"/>
  <c r="AO150" i="7947" s="1"/>
  <c r="AN96" i="7947"/>
  <c r="AN97" i="7947" s="1"/>
  <c r="AO95" i="7947" s="1"/>
  <c r="AN100" i="7947"/>
  <c r="AN101" i="7947" s="1"/>
  <c r="AO99" i="7947" s="1"/>
  <c r="AT204" i="7947"/>
  <c r="AR205" i="7947"/>
  <c r="AM176" i="7947"/>
  <c r="AM178" i="7947" s="1"/>
  <c r="AN175" i="7947" s="1"/>
  <c r="AN76" i="7947"/>
  <c r="AN77" i="7947" s="1"/>
  <c r="AO75" i="7947" s="1"/>
  <c r="AM84" i="7947"/>
  <c r="AM85" i="7947" s="1"/>
  <c r="AN83" i="7947" s="1"/>
  <c r="R42" i="7947"/>
  <c r="R23" i="7947"/>
  <c r="R43" i="7947" s="1"/>
  <c r="AO92" i="7947"/>
  <c r="AO93" i="7947" s="1"/>
  <c r="AP91" i="7947" s="1"/>
  <c r="AN156" i="7947"/>
  <c r="AN158" i="7947" s="1"/>
  <c r="AO155" i="7947" s="1"/>
  <c r="AO80" i="7947"/>
  <c r="AO81" i="7947" s="1"/>
  <c r="AP79" i="7947" s="1"/>
  <c r="AN27" i="7947"/>
  <c r="AN28" i="7947" s="1"/>
  <c r="AO26" i="7947" s="1"/>
  <c r="AN39" i="7947"/>
  <c r="AN40" i="7947" s="1"/>
  <c r="AO38" i="7947" s="1"/>
  <c r="AO161" i="7947"/>
  <c r="AO163" i="7947" s="1"/>
  <c r="AP160" i="7947" s="1"/>
  <c r="AN31" i="7947"/>
  <c r="AN32" i="7947" s="1"/>
  <c r="AO30" i="7947" s="1"/>
  <c r="AR202" i="7947"/>
  <c r="Q143" i="7947"/>
  <c r="R65" i="7947"/>
  <c r="R24" i="7947" l="1"/>
  <c r="S22" i="7947" s="1"/>
  <c r="AQ210" i="7947"/>
  <c r="AO213" i="7947"/>
  <c r="AN214" i="7947"/>
  <c r="AN218" i="7947" s="1"/>
  <c r="AN220" i="7947" s="1"/>
  <c r="AO217" i="7947" s="1"/>
  <c r="AO39" i="7947"/>
  <c r="AO40" i="7947" s="1"/>
  <c r="AP38" i="7947" s="1"/>
  <c r="AO151" i="7947"/>
  <c r="AO153" i="7947" s="1"/>
  <c r="AP150" i="7947" s="1"/>
  <c r="AO27" i="7947"/>
  <c r="AO28" i="7947" s="1"/>
  <c r="AP26" i="7947" s="1"/>
  <c r="AN176" i="7947"/>
  <c r="AN178" i="7947" s="1"/>
  <c r="AO175" i="7947" s="1"/>
  <c r="AO76" i="7947"/>
  <c r="AO77" i="7947" s="1"/>
  <c r="AP75" i="7947" s="1"/>
  <c r="AP80" i="7947"/>
  <c r="AP81" i="7947" s="1"/>
  <c r="AQ79" i="7947" s="1"/>
  <c r="AO96" i="7947"/>
  <c r="AO97" i="7947" s="1"/>
  <c r="AP95" i="7947" s="1"/>
  <c r="AO68" i="7947"/>
  <c r="AO69" i="7947" s="1"/>
  <c r="AP67" i="7947" s="1"/>
  <c r="AO156" i="7947"/>
  <c r="AO158" i="7947" s="1"/>
  <c r="AP155" i="7947" s="1"/>
  <c r="AN171" i="7947"/>
  <c r="AN173" i="7947" s="1"/>
  <c r="AO170" i="7947" s="1"/>
  <c r="AO72" i="7947"/>
  <c r="AO73" i="7947" s="1"/>
  <c r="AP71" i="7947" s="1"/>
  <c r="S63" i="7947"/>
  <c r="R105" i="7947"/>
  <c r="AO31" i="7947"/>
  <c r="AO32" i="7947" s="1"/>
  <c r="AP30" i="7947" s="1"/>
  <c r="AP92" i="7947"/>
  <c r="AP93" i="7947" s="1"/>
  <c r="AQ91" i="7947" s="1"/>
  <c r="AS205" i="7947"/>
  <c r="AP161" i="7947"/>
  <c r="AP163" i="7947" s="1"/>
  <c r="AQ160" i="7947" s="1"/>
  <c r="AO35" i="7947"/>
  <c r="AO36" i="7947" s="1"/>
  <c r="AP34" i="7947" s="1"/>
  <c r="R140" i="7947"/>
  <c r="Q183" i="7947"/>
  <c r="Q227" i="7947" s="1"/>
  <c r="Q5" i="7947" s="1"/>
  <c r="AN84" i="7947"/>
  <c r="AN85" i="7947" s="1"/>
  <c r="AO83" i="7947" s="1"/>
  <c r="AU204" i="7947"/>
  <c r="AO100" i="7947"/>
  <c r="AO101" i="7947" s="1"/>
  <c r="AP99" i="7947" s="1"/>
  <c r="AO166" i="7947"/>
  <c r="AO168" i="7947" s="1"/>
  <c r="AP165" i="7947" s="1"/>
  <c r="AO88" i="7947"/>
  <c r="AO89" i="7947" s="1"/>
  <c r="AP87" i="7947" s="1"/>
  <c r="AS202" i="7947"/>
  <c r="R44" i="7947" l="1"/>
  <c r="AP213" i="7947"/>
  <c r="AO214" i="7947"/>
  <c r="AO218" i="7947" s="1"/>
  <c r="AO220" i="7947" s="1"/>
  <c r="AP217" i="7947" s="1"/>
  <c r="AR210" i="7947"/>
  <c r="AP31" i="7947"/>
  <c r="AP32" i="7947" s="1"/>
  <c r="AQ30" i="7947" s="1"/>
  <c r="AP166" i="7947"/>
  <c r="AP168" i="7947" s="1"/>
  <c r="AQ165" i="7947" s="1"/>
  <c r="AO84" i="7947"/>
  <c r="AO85" i="7947" s="1"/>
  <c r="AP83" i="7947" s="1"/>
  <c r="AP96" i="7947"/>
  <c r="AP97" i="7947" s="1"/>
  <c r="AQ95" i="7947" s="1"/>
  <c r="AP88" i="7947"/>
  <c r="AP89" i="7947" s="1"/>
  <c r="AQ87" i="7947" s="1"/>
  <c r="AQ161" i="7947"/>
  <c r="AQ163" i="7947" s="1"/>
  <c r="AR160" i="7947" s="1"/>
  <c r="AP151" i="7947"/>
  <c r="AP153" i="7947" s="1"/>
  <c r="AQ150" i="7947" s="1"/>
  <c r="AP68" i="7947"/>
  <c r="AP69" i="7947" s="1"/>
  <c r="AQ67" i="7947" s="1"/>
  <c r="AQ92" i="7947"/>
  <c r="AQ93" i="7947" s="1"/>
  <c r="AR91" i="7947" s="1"/>
  <c r="AP156" i="7947"/>
  <c r="AP158" i="7947" s="1"/>
  <c r="AQ155" i="7947" s="1"/>
  <c r="AP39" i="7947"/>
  <c r="AP40" i="7947" s="1"/>
  <c r="AQ38" i="7947" s="1"/>
  <c r="AO171" i="7947"/>
  <c r="AO173" i="7947" s="1"/>
  <c r="AP170" i="7947" s="1"/>
  <c r="R141" i="7947"/>
  <c r="R181" i="7947" s="1"/>
  <c r="R225" i="7947" s="1"/>
  <c r="R4" i="7947" s="1"/>
  <c r="R180" i="7947"/>
  <c r="R224" i="7947" s="1"/>
  <c r="S23" i="7947"/>
  <c r="S43" i="7947" s="1"/>
  <c r="S42" i="7947"/>
  <c r="AT205" i="7947"/>
  <c r="AT202" i="7947"/>
  <c r="S64" i="7947"/>
  <c r="S104" i="7947" s="1"/>
  <c r="S103" i="7947"/>
  <c r="AO176" i="7947"/>
  <c r="AO178" i="7947" s="1"/>
  <c r="AP175" i="7947" s="1"/>
  <c r="AP100" i="7947"/>
  <c r="AP101" i="7947" s="1"/>
  <c r="AQ99" i="7947" s="1"/>
  <c r="AP35" i="7947"/>
  <c r="AP36" i="7947" s="1"/>
  <c r="AQ34" i="7947" s="1"/>
  <c r="AP72" i="7947"/>
  <c r="AP73" i="7947" s="1"/>
  <c r="AQ71" i="7947" s="1"/>
  <c r="AP76" i="7947"/>
  <c r="AP77" i="7947" s="1"/>
  <c r="AQ75" i="7947" s="1"/>
  <c r="AP27" i="7947"/>
  <c r="AP28" i="7947" s="1"/>
  <c r="AQ26" i="7947" s="1"/>
  <c r="AV204" i="7947"/>
  <c r="AQ80" i="7947"/>
  <c r="AQ81" i="7947" s="1"/>
  <c r="AR79" i="7947" s="1"/>
  <c r="S65" i="7947" l="1"/>
  <c r="AS210" i="7947"/>
  <c r="AQ213" i="7947"/>
  <c r="AP214" i="7947"/>
  <c r="AP218" i="7947" s="1"/>
  <c r="AP220" i="7947" s="1"/>
  <c r="AQ217" i="7947" s="1"/>
  <c r="AR92" i="7947"/>
  <c r="AR93" i="7947" s="1"/>
  <c r="AS91" i="7947" s="1"/>
  <c r="AQ68" i="7947"/>
  <c r="AQ69" i="7947" s="1"/>
  <c r="AR67" i="7947" s="1"/>
  <c r="AQ88" i="7947"/>
  <c r="AQ89" i="7947" s="1"/>
  <c r="AR87" i="7947" s="1"/>
  <c r="AQ166" i="7947"/>
  <c r="AQ168" i="7947" s="1"/>
  <c r="AR165" i="7947" s="1"/>
  <c r="AQ100" i="7947"/>
  <c r="AQ101" i="7947" s="1"/>
  <c r="AR99" i="7947" s="1"/>
  <c r="AQ39" i="7947"/>
  <c r="AQ40" i="7947" s="1"/>
  <c r="AR38" i="7947" s="1"/>
  <c r="AQ151" i="7947"/>
  <c r="AQ153" i="7947" s="1"/>
  <c r="AR150" i="7947" s="1"/>
  <c r="AP84" i="7947"/>
  <c r="AP85" i="7947" s="1"/>
  <c r="AQ83" i="7947" s="1"/>
  <c r="AQ27" i="7947"/>
  <c r="AQ28" i="7947" s="1"/>
  <c r="AR26" i="7947" s="1"/>
  <c r="AQ156" i="7947"/>
  <c r="AQ158" i="7947" s="1"/>
  <c r="AR155" i="7947" s="1"/>
  <c r="AU205" i="7947"/>
  <c r="AR161" i="7947"/>
  <c r="AR163" i="7947" s="1"/>
  <c r="AS160" i="7947" s="1"/>
  <c r="AQ96" i="7947"/>
  <c r="AQ97" i="7947" s="1"/>
  <c r="AR95" i="7947" s="1"/>
  <c r="S105" i="7947"/>
  <c r="T63" i="7947"/>
  <c r="AU202" i="7947"/>
  <c r="R143" i="7947"/>
  <c r="AQ76" i="7947"/>
  <c r="AQ77" i="7947" s="1"/>
  <c r="AR75" i="7947" s="1"/>
  <c r="AQ35" i="7947"/>
  <c r="AQ36" i="7947" s="1"/>
  <c r="AR34" i="7947" s="1"/>
  <c r="AP176" i="7947"/>
  <c r="AP178" i="7947" s="1"/>
  <c r="AQ175" i="7947" s="1"/>
  <c r="AP171" i="7947"/>
  <c r="AP173" i="7947" s="1"/>
  <c r="AQ170" i="7947" s="1"/>
  <c r="AR80" i="7947"/>
  <c r="AR81" i="7947" s="1"/>
  <c r="AS79" i="7947" s="1"/>
  <c r="AQ72" i="7947"/>
  <c r="AQ73" i="7947" s="1"/>
  <c r="AR71" i="7947" s="1"/>
  <c r="AQ31" i="7947"/>
  <c r="AQ32" i="7947" s="1"/>
  <c r="AR30" i="7947" s="1"/>
  <c r="AW204" i="7947"/>
  <c r="S24" i="7947"/>
  <c r="AR213" i="7947" l="1"/>
  <c r="AQ214" i="7947"/>
  <c r="AQ218" i="7947" s="1"/>
  <c r="AQ220" i="7947" s="1"/>
  <c r="AR217" i="7947" s="1"/>
  <c r="AT210" i="7947"/>
  <c r="AR39" i="7947"/>
  <c r="AR40" i="7947" s="1"/>
  <c r="AS38" i="7947" s="1"/>
  <c r="AR31" i="7947"/>
  <c r="AR32" i="7947" s="1"/>
  <c r="AS30" i="7947" s="1"/>
  <c r="AR100" i="7947"/>
  <c r="AR101" i="7947" s="1"/>
  <c r="AS99" i="7947" s="1"/>
  <c r="AR68" i="7947"/>
  <c r="AR69" i="7947" s="1"/>
  <c r="AS67" i="7947" s="1"/>
  <c r="AR96" i="7947"/>
  <c r="AR97" i="7947" s="1"/>
  <c r="AS95" i="7947" s="1"/>
  <c r="AR76" i="7947"/>
  <c r="AR77" i="7947" s="1"/>
  <c r="AS75" i="7947" s="1"/>
  <c r="AR166" i="7947"/>
  <c r="AR168" i="7947" s="1"/>
  <c r="AS165" i="7947" s="1"/>
  <c r="AS80" i="7947"/>
  <c r="AS81" i="7947" s="1"/>
  <c r="AT79" i="7947" s="1"/>
  <c r="AQ176" i="7947"/>
  <c r="AQ178" i="7947" s="1"/>
  <c r="AR175" i="7947" s="1"/>
  <c r="AR151" i="7947"/>
  <c r="AR153" i="7947" s="1"/>
  <c r="AS150" i="7947" s="1"/>
  <c r="AQ84" i="7947"/>
  <c r="AQ85" i="7947" s="1"/>
  <c r="AR83" i="7947" s="1"/>
  <c r="T22" i="7947"/>
  <c r="S44" i="7947"/>
  <c r="AV202" i="7947"/>
  <c r="AR72" i="7947"/>
  <c r="AR73" i="7947" s="1"/>
  <c r="AS71" i="7947" s="1"/>
  <c r="AR35" i="7947"/>
  <c r="AR36" i="7947" s="1"/>
  <c r="AS34" i="7947" s="1"/>
  <c r="AR156" i="7947"/>
  <c r="AR158" i="7947" s="1"/>
  <c r="AS155" i="7947" s="1"/>
  <c r="AX204" i="7947"/>
  <c r="AV205" i="7947"/>
  <c r="AR27" i="7947"/>
  <c r="AR28" i="7947" s="1"/>
  <c r="AS26" i="7947" s="1"/>
  <c r="AR88" i="7947"/>
  <c r="AR89" i="7947" s="1"/>
  <c r="AS87" i="7947" s="1"/>
  <c r="AS92" i="7947"/>
  <c r="AS93" i="7947" s="1"/>
  <c r="AT91" i="7947" s="1"/>
  <c r="AQ171" i="7947"/>
  <c r="AQ173" i="7947" s="1"/>
  <c r="AR170" i="7947" s="1"/>
  <c r="AS161" i="7947"/>
  <c r="AS163" i="7947" s="1"/>
  <c r="AT160" i="7947" s="1"/>
  <c r="R183" i="7947"/>
  <c r="R227" i="7947" s="1"/>
  <c r="R5" i="7947" s="1"/>
  <c r="S140" i="7947"/>
  <c r="T64" i="7947"/>
  <c r="T104" i="7947" s="1"/>
  <c r="T103" i="7947"/>
  <c r="T65" i="7947" l="1"/>
  <c r="AU210" i="7947"/>
  <c r="AS213" i="7947"/>
  <c r="AR214" i="7947"/>
  <c r="AR218" i="7947" s="1"/>
  <c r="AR220" i="7947" s="1"/>
  <c r="AS217" i="7947" s="1"/>
  <c r="AS76" i="7947"/>
  <c r="AS77" i="7947" s="1"/>
  <c r="AT75" i="7947" s="1"/>
  <c r="AS96" i="7947"/>
  <c r="AS97" i="7947" s="1"/>
  <c r="AT95" i="7947" s="1"/>
  <c r="AT92" i="7947"/>
  <c r="AT93" i="7947" s="1"/>
  <c r="AU91" i="7947" s="1"/>
  <c r="AS72" i="7947"/>
  <c r="AS73" i="7947" s="1"/>
  <c r="AT71" i="7947" s="1"/>
  <c r="AS68" i="7947"/>
  <c r="AS69" i="7947" s="1"/>
  <c r="AT67" i="7947" s="1"/>
  <c r="AR84" i="7947"/>
  <c r="AR85" i="7947" s="1"/>
  <c r="AS83" i="7947" s="1"/>
  <c r="AS166" i="7947"/>
  <c r="AS168" i="7947" s="1"/>
  <c r="AT165" i="7947" s="1"/>
  <c r="AS100" i="7947"/>
  <c r="AS101" i="7947" s="1"/>
  <c r="AT99" i="7947" s="1"/>
  <c r="AS88" i="7947"/>
  <c r="AS89" i="7947" s="1"/>
  <c r="AT87" i="7947" s="1"/>
  <c r="T42" i="7947"/>
  <c r="T23" i="7947"/>
  <c r="T43" i="7947" s="1"/>
  <c r="U63" i="7947"/>
  <c r="T105" i="7947"/>
  <c r="AT161" i="7947"/>
  <c r="AT163" i="7947" s="1"/>
  <c r="AU160" i="7947" s="1"/>
  <c r="AS27" i="7947"/>
  <c r="AS28" i="7947" s="1"/>
  <c r="AT26" i="7947" s="1"/>
  <c r="AY204" i="7947"/>
  <c r="AW202" i="7947"/>
  <c r="AR171" i="7947"/>
  <c r="AR173" i="7947" s="1"/>
  <c r="AS170" i="7947" s="1"/>
  <c r="AS156" i="7947"/>
  <c r="AS158" i="7947" s="1"/>
  <c r="AT155" i="7947" s="1"/>
  <c r="AS151" i="7947"/>
  <c r="AS153" i="7947" s="1"/>
  <c r="AT150" i="7947" s="1"/>
  <c r="AS35" i="7947"/>
  <c r="AS36" i="7947" s="1"/>
  <c r="AT34" i="7947" s="1"/>
  <c r="AR176" i="7947"/>
  <c r="AR178" i="7947" s="1"/>
  <c r="AS175" i="7947" s="1"/>
  <c r="AS39" i="7947"/>
  <c r="AS40" i="7947" s="1"/>
  <c r="AT38" i="7947" s="1"/>
  <c r="AW205" i="7947"/>
  <c r="AT80" i="7947"/>
  <c r="AT81" i="7947"/>
  <c r="AU79" i="7947" s="1"/>
  <c r="AS31" i="7947"/>
  <c r="AS32" i="7947" s="1"/>
  <c r="AT30" i="7947" s="1"/>
  <c r="S180" i="7947"/>
  <c r="S224" i="7947" s="1"/>
  <c r="S141" i="7947"/>
  <c r="S181" i="7947" s="1"/>
  <c r="S225" i="7947" s="1"/>
  <c r="S4" i="7947" s="1"/>
  <c r="AT213" i="7947" l="1"/>
  <c r="AS214" i="7947"/>
  <c r="AS218" i="7947" s="1"/>
  <c r="AS220" i="7947" s="1"/>
  <c r="AT217" i="7947" s="1"/>
  <c r="AV210" i="7947"/>
  <c r="AU161" i="7947"/>
  <c r="AU163" i="7947" s="1"/>
  <c r="AV160" i="7947" s="1"/>
  <c r="AT156" i="7947"/>
  <c r="AT158" i="7947" s="1"/>
  <c r="AU155" i="7947" s="1"/>
  <c r="AT88" i="7947"/>
  <c r="AT89" i="7947" s="1"/>
  <c r="AU87" i="7947" s="1"/>
  <c r="AT96" i="7947"/>
  <c r="AT97" i="7947" s="1"/>
  <c r="AU95" i="7947" s="1"/>
  <c r="AU92" i="7947"/>
  <c r="AU93" i="7947" s="1"/>
  <c r="AV91" i="7947" s="1"/>
  <c r="AU80" i="7947"/>
  <c r="AU81" i="7947" s="1"/>
  <c r="AV79" i="7947" s="1"/>
  <c r="AT35" i="7947"/>
  <c r="AT36" i="7947" s="1"/>
  <c r="AU34" i="7947" s="1"/>
  <c r="AT100" i="7947"/>
  <c r="AT101" i="7947" s="1"/>
  <c r="AU99" i="7947" s="1"/>
  <c r="AS84" i="7947"/>
  <c r="AS85" i="7947" s="1"/>
  <c r="AT83" i="7947" s="1"/>
  <c r="S143" i="7947"/>
  <c r="U64" i="7947"/>
  <c r="U104" i="7947" s="1"/>
  <c r="U103" i="7947"/>
  <c r="AT39" i="7947"/>
  <c r="AT40" i="7947" s="1"/>
  <c r="AU38" i="7947" s="1"/>
  <c r="AX202" i="7947"/>
  <c r="AT27" i="7947"/>
  <c r="AT28" i="7947" s="1"/>
  <c r="AU26" i="7947" s="1"/>
  <c r="AT72" i="7947"/>
  <c r="AT73" i="7947" s="1"/>
  <c r="AU71" i="7947" s="1"/>
  <c r="AT31" i="7947"/>
  <c r="AT32" i="7947" s="1"/>
  <c r="AU30" i="7947" s="1"/>
  <c r="AS176" i="7947"/>
  <c r="AS178" i="7947" s="1"/>
  <c r="AT175" i="7947" s="1"/>
  <c r="AT151" i="7947"/>
  <c r="AT153" i="7947" s="1"/>
  <c r="AU150" i="7947" s="1"/>
  <c r="AS171" i="7947"/>
  <c r="AS173" i="7947" s="1"/>
  <c r="AT170" i="7947" s="1"/>
  <c r="AZ204" i="7947"/>
  <c r="AT166" i="7947"/>
  <c r="AT168" i="7947" s="1"/>
  <c r="AU165" i="7947" s="1"/>
  <c r="AT68" i="7947"/>
  <c r="AT69" i="7947" s="1"/>
  <c r="AU67" i="7947" s="1"/>
  <c r="AT76" i="7947"/>
  <c r="AT77" i="7947" s="1"/>
  <c r="AU75" i="7947" s="1"/>
  <c r="AX205" i="7947"/>
  <c r="T24" i="7947"/>
  <c r="U65" i="7947" l="1"/>
  <c r="AW210" i="7947"/>
  <c r="AU213" i="7947"/>
  <c r="AT214" i="7947"/>
  <c r="AT218" i="7947" s="1"/>
  <c r="AT220" i="7947" s="1"/>
  <c r="AU217" i="7947" s="1"/>
  <c r="AU100" i="7947"/>
  <c r="AU101" i="7947" s="1"/>
  <c r="AV99" i="7947" s="1"/>
  <c r="AU31" i="7947"/>
  <c r="AU32" i="7947" s="1"/>
  <c r="AV30" i="7947" s="1"/>
  <c r="AU39" i="7947"/>
  <c r="AU40" i="7947" s="1"/>
  <c r="AV38" i="7947" s="1"/>
  <c r="AU89" i="7947"/>
  <c r="AV87" i="7947" s="1"/>
  <c r="AU88" i="7947"/>
  <c r="AU68" i="7947"/>
  <c r="AU69" i="7947" s="1"/>
  <c r="AV67" i="7947" s="1"/>
  <c r="AU72" i="7947"/>
  <c r="AU73" i="7947" s="1"/>
  <c r="AV71" i="7947" s="1"/>
  <c r="AU156" i="7947"/>
  <c r="AU158" i="7947" s="1"/>
  <c r="AV155" i="7947" s="1"/>
  <c r="AT171" i="7947"/>
  <c r="AT173" i="7947" s="1"/>
  <c r="AU170" i="7947" s="1"/>
  <c r="AU27" i="7947"/>
  <c r="AU28" i="7947" s="1"/>
  <c r="AV26" i="7947" s="1"/>
  <c r="AV161" i="7947"/>
  <c r="AV163" i="7947" s="1"/>
  <c r="AW160" i="7947" s="1"/>
  <c r="T44" i="7947"/>
  <c r="U22" i="7947"/>
  <c r="AV80" i="7947"/>
  <c r="AV81" i="7947" s="1"/>
  <c r="AW79" i="7947" s="1"/>
  <c r="AU96" i="7947"/>
  <c r="AU97" i="7947" s="1"/>
  <c r="AV95" i="7947" s="1"/>
  <c r="AY202" i="7947"/>
  <c r="U105" i="7947"/>
  <c r="V63" i="7947"/>
  <c r="AU76" i="7947"/>
  <c r="AU77" i="7947" s="1"/>
  <c r="AV75" i="7947" s="1"/>
  <c r="AT176" i="7947"/>
  <c r="AT178" i="7947" s="1"/>
  <c r="AU175" i="7947" s="1"/>
  <c r="AY205" i="7947"/>
  <c r="BA204" i="7947"/>
  <c r="AU151" i="7947"/>
  <c r="AU153" i="7947" s="1"/>
  <c r="AV150" i="7947" s="1"/>
  <c r="AT84" i="7947"/>
  <c r="AT85" i="7947" s="1"/>
  <c r="AU83" i="7947" s="1"/>
  <c r="AU35" i="7947"/>
  <c r="AU36" i="7947" s="1"/>
  <c r="AV34" i="7947" s="1"/>
  <c r="AV92" i="7947"/>
  <c r="AV93" i="7947" s="1"/>
  <c r="AW91" i="7947" s="1"/>
  <c r="AU166" i="7947"/>
  <c r="AU168" i="7947" s="1"/>
  <c r="AV165" i="7947" s="1"/>
  <c r="S183" i="7947"/>
  <c r="S227" i="7947" s="1"/>
  <c r="S5" i="7947" s="1"/>
  <c r="T140" i="7947"/>
  <c r="AV213" i="7947" l="1"/>
  <c r="AU214" i="7947"/>
  <c r="AU218" i="7947" s="1"/>
  <c r="AU220" i="7947" s="1"/>
  <c r="AV217" i="7947" s="1"/>
  <c r="AX210" i="7947"/>
  <c r="AV96" i="7947"/>
  <c r="AV97" i="7947" s="1"/>
  <c r="AW95" i="7947" s="1"/>
  <c r="AV72" i="7947"/>
  <c r="AV73" i="7947" s="1"/>
  <c r="AW71" i="7947" s="1"/>
  <c r="AU171" i="7947"/>
  <c r="AU173" i="7947" s="1"/>
  <c r="AV170" i="7947" s="1"/>
  <c r="AV39" i="7947"/>
  <c r="AV40" i="7947" s="1"/>
  <c r="AW38" i="7947" s="1"/>
  <c r="AV35" i="7947"/>
  <c r="AV36" i="7947" s="1"/>
  <c r="AW34" i="7947" s="1"/>
  <c r="AV31" i="7947"/>
  <c r="AV32" i="7947" s="1"/>
  <c r="AW30" i="7947" s="1"/>
  <c r="AU84" i="7947"/>
  <c r="AU85" i="7947" s="1"/>
  <c r="AV83" i="7947" s="1"/>
  <c r="AV76" i="7947"/>
  <c r="AV77" i="7947" s="1"/>
  <c r="AW75" i="7947" s="1"/>
  <c r="AV100" i="7947"/>
  <c r="AV101" i="7947" s="1"/>
  <c r="AW99" i="7947" s="1"/>
  <c r="AV151" i="7947"/>
  <c r="AV153" i="7947" s="1"/>
  <c r="AW150" i="7947" s="1"/>
  <c r="AW161" i="7947"/>
  <c r="AW163" i="7947" s="1"/>
  <c r="AX160" i="7947" s="1"/>
  <c r="AV88" i="7947"/>
  <c r="AV89" i="7947" s="1"/>
  <c r="AW87" i="7947" s="1"/>
  <c r="T141" i="7947"/>
  <c r="T181" i="7947" s="1"/>
  <c r="T225" i="7947" s="1"/>
  <c r="T4" i="7947" s="1"/>
  <c r="T180" i="7947"/>
  <c r="T224" i="7947" s="1"/>
  <c r="BB204" i="7947"/>
  <c r="V64" i="7947"/>
  <c r="V104" i="7947" s="1"/>
  <c r="V103" i="7947"/>
  <c r="U23" i="7947"/>
  <c r="U43" i="7947" s="1"/>
  <c r="U42" i="7947"/>
  <c r="AZ205" i="7947"/>
  <c r="AW92" i="7947"/>
  <c r="AW93" i="7947" s="1"/>
  <c r="AX91" i="7947" s="1"/>
  <c r="AU176" i="7947"/>
  <c r="AU178" i="7947" s="1"/>
  <c r="AV175" i="7947" s="1"/>
  <c r="AV27" i="7947"/>
  <c r="AV28" i="7947" s="1"/>
  <c r="AW26" i="7947" s="1"/>
  <c r="AV156" i="7947"/>
  <c r="AV158" i="7947" s="1"/>
  <c r="AW155" i="7947" s="1"/>
  <c r="AV68" i="7947"/>
  <c r="AV69" i="7947" s="1"/>
  <c r="AW67" i="7947" s="1"/>
  <c r="AV166" i="7947"/>
  <c r="AV168" i="7947" s="1"/>
  <c r="AW165" i="7947" s="1"/>
  <c r="AW80" i="7947"/>
  <c r="AW81" i="7947" s="1"/>
  <c r="AX79" i="7947" s="1"/>
  <c r="AZ202" i="7947"/>
  <c r="U24" i="7947" l="1"/>
  <c r="AY210" i="7947"/>
  <c r="AW213" i="7947"/>
  <c r="AV214" i="7947"/>
  <c r="AV218" i="7947" s="1"/>
  <c r="AV220" i="7947" s="1"/>
  <c r="AW217" i="7947" s="1"/>
  <c r="T143" i="7947"/>
  <c r="U140" i="7947" s="1"/>
  <c r="AW88" i="7947"/>
  <c r="AW89" i="7947" s="1"/>
  <c r="AX87" i="7947" s="1"/>
  <c r="AW100" i="7947"/>
  <c r="AW101" i="7947" s="1"/>
  <c r="AX99" i="7947" s="1"/>
  <c r="AW27" i="7947"/>
  <c r="AW28" i="7947" s="1"/>
  <c r="AX26" i="7947" s="1"/>
  <c r="AW39" i="7947"/>
  <c r="AW40" i="7947" s="1"/>
  <c r="AX38" i="7947" s="1"/>
  <c r="AX92" i="7947"/>
  <c r="AX93" i="7947" s="1"/>
  <c r="AY91" i="7947" s="1"/>
  <c r="AW68" i="7947"/>
  <c r="AW69" i="7947" s="1"/>
  <c r="AX67" i="7947" s="1"/>
  <c r="AX80" i="7947"/>
  <c r="AX81" i="7947" s="1"/>
  <c r="AY79" i="7947" s="1"/>
  <c r="AW151" i="7947"/>
  <c r="AW153" i="7947" s="1"/>
  <c r="AX150" i="7947" s="1"/>
  <c r="BA202" i="7947"/>
  <c r="AW166" i="7947"/>
  <c r="AW168" i="7947" s="1"/>
  <c r="AX165" i="7947" s="1"/>
  <c r="AW156" i="7947"/>
  <c r="AW158" i="7947" s="1"/>
  <c r="AX155" i="7947" s="1"/>
  <c r="AW76" i="7947"/>
  <c r="AW77" i="7947" s="1"/>
  <c r="AX75" i="7947" s="1"/>
  <c r="AW72" i="7947"/>
  <c r="AW73" i="7947" s="1"/>
  <c r="AX71" i="7947" s="1"/>
  <c r="AV176" i="7947"/>
  <c r="AV178" i="7947" s="1"/>
  <c r="AW175" i="7947" s="1"/>
  <c r="BC204" i="7947"/>
  <c r="AX161" i="7947"/>
  <c r="AX163" i="7947" s="1"/>
  <c r="AY160" i="7947" s="1"/>
  <c r="AV84" i="7947"/>
  <c r="AV85" i="7947" s="1"/>
  <c r="AW83" i="7947" s="1"/>
  <c r="AW35" i="7947"/>
  <c r="AW36" i="7947" s="1"/>
  <c r="AX34" i="7947" s="1"/>
  <c r="AV171" i="7947"/>
  <c r="AV173" i="7947" s="1"/>
  <c r="AW170" i="7947" s="1"/>
  <c r="AW96" i="7947"/>
  <c r="AW97" i="7947" s="1"/>
  <c r="AX95" i="7947" s="1"/>
  <c r="V22" i="7947"/>
  <c r="U44" i="7947"/>
  <c r="AW31" i="7947"/>
  <c r="AW32" i="7947" s="1"/>
  <c r="AX30" i="7947" s="1"/>
  <c r="BA205" i="7947"/>
  <c r="V65" i="7947"/>
  <c r="AX213" i="7947" l="1"/>
  <c r="AW214" i="7947"/>
  <c r="AW218" i="7947" s="1"/>
  <c r="AW220" i="7947" s="1"/>
  <c r="AX217" i="7947" s="1"/>
  <c r="AZ210" i="7947"/>
  <c r="T183" i="7947"/>
  <c r="T227" i="7947" s="1"/>
  <c r="T5" i="7947" s="1"/>
  <c r="AX166" i="7947"/>
  <c r="AX168" i="7947" s="1"/>
  <c r="AY165" i="7947" s="1"/>
  <c r="AX96" i="7947"/>
  <c r="AX97" i="7947"/>
  <c r="AY95" i="7947" s="1"/>
  <c r="AW171" i="7947"/>
  <c r="AW173" i="7947" s="1"/>
  <c r="AX170" i="7947" s="1"/>
  <c r="AY161" i="7947"/>
  <c r="AY163" i="7947" s="1"/>
  <c r="AZ160" i="7947" s="1"/>
  <c r="AW176" i="7947"/>
  <c r="AW178" i="7947" s="1"/>
  <c r="AX175" i="7947" s="1"/>
  <c r="AX76" i="7947"/>
  <c r="AX77" i="7947" s="1"/>
  <c r="AY75" i="7947" s="1"/>
  <c r="AX151" i="7947"/>
  <c r="AX153" i="7947" s="1"/>
  <c r="AY150" i="7947" s="1"/>
  <c r="AX35" i="7947"/>
  <c r="AX36" i="7947" s="1"/>
  <c r="AY34" i="7947" s="1"/>
  <c r="AX156" i="7947"/>
  <c r="AX158" i="7947" s="1"/>
  <c r="AY155" i="7947" s="1"/>
  <c r="AX27" i="7947"/>
  <c r="AX28" i="7947" s="1"/>
  <c r="AY26" i="7947" s="1"/>
  <c r="AX39" i="7947"/>
  <c r="AX40" i="7947" s="1"/>
  <c r="AY38" i="7947" s="1"/>
  <c r="BB205" i="7947"/>
  <c r="V42" i="7947"/>
  <c r="V23" i="7947"/>
  <c r="V43" i="7947" s="1"/>
  <c r="U180" i="7947"/>
  <c r="U224" i="7947" s="1"/>
  <c r="U141" i="7947"/>
  <c r="U181" i="7947" s="1"/>
  <c r="U225" i="7947" s="1"/>
  <c r="U4" i="7947" s="1"/>
  <c r="BB202" i="7947"/>
  <c r="AX72" i="7947"/>
  <c r="AX73" i="7947" s="1"/>
  <c r="AY71" i="7947" s="1"/>
  <c r="AX68" i="7947"/>
  <c r="AX69" i="7947" s="1"/>
  <c r="AY67" i="7947" s="1"/>
  <c r="AX31" i="7947"/>
  <c r="AX32" i="7947" s="1"/>
  <c r="AY30" i="7947" s="1"/>
  <c r="BD204" i="7947"/>
  <c r="AY80" i="7947"/>
  <c r="AY81" i="7947" s="1"/>
  <c r="AZ79" i="7947" s="1"/>
  <c r="AY92" i="7947"/>
  <c r="AY93" i="7947" s="1"/>
  <c r="AZ91" i="7947" s="1"/>
  <c r="AX88" i="7947"/>
  <c r="AX89" i="7947" s="1"/>
  <c r="AY87" i="7947" s="1"/>
  <c r="AW84" i="7947"/>
  <c r="AW85" i="7947" s="1"/>
  <c r="AX83" i="7947" s="1"/>
  <c r="AX100" i="7947"/>
  <c r="AX101" i="7947" s="1"/>
  <c r="AY99" i="7947" s="1"/>
  <c r="W63" i="7947"/>
  <c r="V105" i="7947"/>
  <c r="BA210" i="7947" l="1"/>
  <c r="AY213" i="7947"/>
  <c r="AX214" i="7947"/>
  <c r="AX218" i="7947" s="1"/>
  <c r="AX220" i="7947" s="1"/>
  <c r="AY217" i="7947" s="1"/>
  <c r="U143" i="7947"/>
  <c r="U183" i="7947" s="1"/>
  <c r="U227" i="7947" s="1"/>
  <c r="U5" i="7947" s="1"/>
  <c r="AY31" i="7947"/>
  <c r="AY32" i="7947" s="1"/>
  <c r="AZ30" i="7947" s="1"/>
  <c r="AY39" i="7947"/>
  <c r="AY40" i="7947"/>
  <c r="AZ38" i="7947" s="1"/>
  <c r="AY68" i="7947"/>
  <c r="AY69" i="7947" s="1"/>
  <c r="AZ67" i="7947" s="1"/>
  <c r="AY27" i="7947"/>
  <c r="AY28" i="7947" s="1"/>
  <c r="AZ26" i="7947" s="1"/>
  <c r="AX176" i="7947"/>
  <c r="AX178" i="7947" s="1"/>
  <c r="AY175" i="7947" s="1"/>
  <c r="AZ92" i="7947"/>
  <c r="AZ93" i="7947" s="1"/>
  <c r="BA91" i="7947" s="1"/>
  <c r="AY72" i="7947"/>
  <c r="AY73" i="7947" s="1"/>
  <c r="AZ71" i="7947" s="1"/>
  <c r="AY156" i="7947"/>
  <c r="AY158" i="7947" s="1"/>
  <c r="AZ155" i="7947" s="1"/>
  <c r="AZ161" i="7947"/>
  <c r="AZ163" i="7947" s="1"/>
  <c r="BA160" i="7947" s="1"/>
  <c r="AY88" i="7947"/>
  <c r="AY89" i="7947" s="1"/>
  <c r="AZ87" i="7947" s="1"/>
  <c r="AY166" i="7947"/>
  <c r="AY168" i="7947" s="1"/>
  <c r="AZ165" i="7947" s="1"/>
  <c r="BC205" i="7947"/>
  <c r="AY76" i="7947"/>
  <c r="AY77" i="7947" s="1"/>
  <c r="AZ75" i="7947" s="1"/>
  <c r="V24" i="7947"/>
  <c r="AY100" i="7947"/>
  <c r="AY101" i="7947" s="1"/>
  <c r="AZ99" i="7947" s="1"/>
  <c r="AY35" i="7947"/>
  <c r="AY36" i="7947" s="1"/>
  <c r="AZ34" i="7947" s="1"/>
  <c r="AY96" i="7947"/>
  <c r="AY97" i="7947" s="1"/>
  <c r="AZ95" i="7947" s="1"/>
  <c r="AZ80" i="7947"/>
  <c r="AZ81" i="7947" s="1"/>
  <c r="BA79" i="7947" s="1"/>
  <c r="AY151" i="7947"/>
  <c r="AY153" i="7947" s="1"/>
  <c r="AZ150" i="7947" s="1"/>
  <c r="AX171" i="7947"/>
  <c r="AX173" i="7947" s="1"/>
  <c r="AY170" i="7947" s="1"/>
  <c r="W64" i="7947"/>
  <c r="W104" i="7947" s="1"/>
  <c r="W103" i="7947"/>
  <c r="AX84" i="7947"/>
  <c r="AX85" i="7947" s="1"/>
  <c r="AY83" i="7947" s="1"/>
  <c r="BE204" i="7947"/>
  <c r="BC202" i="7947"/>
  <c r="V140" i="7947" l="1"/>
  <c r="V141" i="7947" s="1"/>
  <c r="V181" i="7947" s="1"/>
  <c r="V225" i="7947" s="1"/>
  <c r="V4" i="7947" s="1"/>
  <c r="AZ213" i="7947"/>
  <c r="AY214" i="7947"/>
  <c r="AY218" i="7947" s="1"/>
  <c r="AY220" i="7947" s="1"/>
  <c r="AZ217" i="7947" s="1"/>
  <c r="BB210" i="7947"/>
  <c r="AZ166" i="7947"/>
  <c r="AZ168" i="7947" s="1"/>
  <c r="BA165" i="7947" s="1"/>
  <c r="AZ68" i="7947"/>
  <c r="AZ69" i="7947" s="1"/>
  <c r="BA67" i="7947" s="1"/>
  <c r="AY171" i="7947"/>
  <c r="AY173" i="7947" s="1"/>
  <c r="AZ170" i="7947" s="1"/>
  <c r="BA80" i="7947"/>
  <c r="BA81" i="7947" s="1"/>
  <c r="BB79" i="7947" s="1"/>
  <c r="AY84" i="7947"/>
  <c r="AY85" i="7947" s="1"/>
  <c r="AZ83" i="7947" s="1"/>
  <c r="AZ151" i="7947"/>
  <c r="AZ153" i="7947" s="1"/>
  <c r="BA150" i="7947" s="1"/>
  <c r="AZ100" i="7947"/>
  <c r="AZ101" i="7947" s="1"/>
  <c r="BA99" i="7947" s="1"/>
  <c r="AZ72" i="7947"/>
  <c r="AZ73" i="7947" s="1"/>
  <c r="BA71" i="7947" s="1"/>
  <c r="BA161" i="7947"/>
  <c r="BA163" i="7947" s="1"/>
  <c r="BB160" i="7947" s="1"/>
  <c r="AZ27" i="7947"/>
  <c r="AZ28" i="7947" s="1"/>
  <c r="BA26" i="7947" s="1"/>
  <c r="AZ31" i="7947"/>
  <c r="AZ32" i="7947" s="1"/>
  <c r="BA30" i="7947" s="1"/>
  <c r="AZ35" i="7947"/>
  <c r="AZ36" i="7947" s="1"/>
  <c r="BA34" i="7947" s="1"/>
  <c r="AZ156" i="7947"/>
  <c r="AZ158" i="7947" s="1"/>
  <c r="BA155" i="7947" s="1"/>
  <c r="BD205" i="7947"/>
  <c r="AZ88" i="7947"/>
  <c r="AZ89" i="7947" s="1"/>
  <c r="BA87" i="7947" s="1"/>
  <c r="BA92" i="7947"/>
  <c r="BA93" i="7947" s="1"/>
  <c r="BB91" i="7947" s="1"/>
  <c r="AZ39" i="7947"/>
  <c r="AZ40" i="7947" s="1"/>
  <c r="BA38" i="7947" s="1"/>
  <c r="AZ96" i="7947"/>
  <c r="AZ97" i="7947" s="1"/>
  <c r="BA95" i="7947" s="1"/>
  <c r="AZ76" i="7947"/>
  <c r="AZ77" i="7947" s="1"/>
  <c r="BA75" i="7947" s="1"/>
  <c r="AY176" i="7947"/>
  <c r="AY178" i="7947" s="1"/>
  <c r="AZ175" i="7947" s="1"/>
  <c r="V44" i="7947"/>
  <c r="W22" i="7947"/>
  <c r="BD202" i="7947"/>
  <c r="W65" i="7947"/>
  <c r="V180" i="7947" l="1"/>
  <c r="V224" i="7947" s="1"/>
  <c r="BC210" i="7947"/>
  <c r="BA213" i="7947"/>
  <c r="AZ214" i="7947"/>
  <c r="AZ218" i="7947" s="1"/>
  <c r="AZ220" i="7947" s="1"/>
  <c r="BA217" i="7947" s="1"/>
  <c r="BA76" i="7947"/>
  <c r="BA77" i="7947" s="1"/>
  <c r="BB75" i="7947" s="1"/>
  <c r="BA27" i="7947"/>
  <c r="BA28" i="7947"/>
  <c r="BB26" i="7947" s="1"/>
  <c r="BB80" i="7947"/>
  <c r="BB81" i="7947" s="1"/>
  <c r="BC79" i="7947" s="1"/>
  <c r="BA96" i="7947"/>
  <c r="BA97" i="7947" s="1"/>
  <c r="BB95" i="7947" s="1"/>
  <c r="AZ171" i="7947"/>
  <c r="AZ173" i="7947" s="1"/>
  <c r="BA170" i="7947" s="1"/>
  <c r="BA39" i="7947"/>
  <c r="BA40" i="7947" s="1"/>
  <c r="BB38" i="7947" s="1"/>
  <c r="BA151" i="7947"/>
  <c r="BA153" i="7947" s="1"/>
  <c r="BB150" i="7947" s="1"/>
  <c r="BA68" i="7947"/>
  <c r="BA69" i="7947" s="1"/>
  <c r="BB67" i="7947" s="1"/>
  <c r="BB92" i="7947"/>
  <c r="BB93" i="7947" s="1"/>
  <c r="BC91" i="7947" s="1"/>
  <c r="BA72" i="7947"/>
  <c r="BA73" i="7947" s="1"/>
  <c r="BB71" i="7947" s="1"/>
  <c r="AZ84" i="7947"/>
  <c r="AZ85" i="7947" s="1"/>
  <c r="BA83" i="7947" s="1"/>
  <c r="BA166" i="7947"/>
  <c r="BA168" i="7947" s="1"/>
  <c r="BB165" i="7947" s="1"/>
  <c r="AZ176" i="7947"/>
  <c r="AZ178" i="7947" s="1"/>
  <c r="BA175" i="7947" s="1"/>
  <c r="W42" i="7947"/>
  <c r="W23" i="7947"/>
  <c r="W43" i="7947" s="1"/>
  <c r="V143" i="7947"/>
  <c r="BA35" i="7947"/>
  <c r="BA36" i="7947" s="1"/>
  <c r="BB34" i="7947" s="1"/>
  <c r="W105" i="7947"/>
  <c r="X63" i="7947"/>
  <c r="BA88" i="7947"/>
  <c r="BA89" i="7947" s="1"/>
  <c r="BB87" i="7947" s="1"/>
  <c r="BA156" i="7947"/>
  <c r="BA158" i="7947" s="1"/>
  <c r="BB155" i="7947" s="1"/>
  <c r="BA31" i="7947"/>
  <c r="BA32" i="7947" s="1"/>
  <c r="BB30" i="7947" s="1"/>
  <c r="BB161" i="7947"/>
  <c r="BB163" i="7947" s="1"/>
  <c r="BC160" i="7947" s="1"/>
  <c r="BA100" i="7947"/>
  <c r="BA101" i="7947" s="1"/>
  <c r="BB99" i="7947" s="1"/>
  <c r="BE205" i="7947"/>
  <c r="BE202" i="7947"/>
  <c r="BB213" i="7947" l="1"/>
  <c r="BA214" i="7947"/>
  <c r="BA218" i="7947" s="1"/>
  <c r="BA220" i="7947" s="1"/>
  <c r="BB217" i="7947" s="1"/>
  <c r="BD210" i="7947"/>
  <c r="BB88" i="7947"/>
  <c r="BB89" i="7947" s="1"/>
  <c r="BC87" i="7947" s="1"/>
  <c r="BB166" i="7947"/>
  <c r="BB168" i="7947" s="1"/>
  <c r="BC165" i="7947" s="1"/>
  <c r="BB151" i="7947"/>
  <c r="BB153" i="7947" s="1"/>
  <c r="BC150" i="7947" s="1"/>
  <c r="BB100" i="7947"/>
  <c r="BB101" i="7947" s="1"/>
  <c r="BC99" i="7947" s="1"/>
  <c r="BB39" i="7947"/>
  <c r="BB40" i="7947" s="1"/>
  <c r="BC38" i="7947" s="1"/>
  <c r="BC161" i="7947"/>
  <c r="BC163" i="7947" s="1"/>
  <c r="BD160" i="7947" s="1"/>
  <c r="BB35" i="7947"/>
  <c r="BB36" i="7947" s="1"/>
  <c r="BC34" i="7947" s="1"/>
  <c r="BA176" i="7947"/>
  <c r="BA178" i="7947" s="1"/>
  <c r="BB175" i="7947" s="1"/>
  <c r="BC80" i="7947"/>
  <c r="BC81" i="7947" s="1"/>
  <c r="BD79" i="7947" s="1"/>
  <c r="BB96" i="7947"/>
  <c r="BB97" i="7947" s="1"/>
  <c r="BC95" i="7947" s="1"/>
  <c r="X64" i="7947"/>
  <c r="X104" i="7947" s="1"/>
  <c r="X103" i="7947"/>
  <c r="W140" i="7947"/>
  <c r="V183" i="7947"/>
  <c r="V227" i="7947" s="1"/>
  <c r="V5" i="7947" s="1"/>
  <c r="BB156" i="7947"/>
  <c r="BB158" i="7947" s="1"/>
  <c r="BC155" i="7947" s="1"/>
  <c r="BB72" i="7947"/>
  <c r="BB73" i="7947" s="1"/>
  <c r="BC71" i="7947" s="1"/>
  <c r="BB68" i="7947"/>
  <c r="BB69" i="7947" s="1"/>
  <c r="BC67" i="7947" s="1"/>
  <c r="BB31" i="7947"/>
  <c r="BB32" i="7947" s="1"/>
  <c r="BC30" i="7947" s="1"/>
  <c r="BA84" i="7947"/>
  <c r="BA85" i="7947" s="1"/>
  <c r="BB83" i="7947" s="1"/>
  <c r="BC92" i="7947"/>
  <c r="BC93" i="7947" s="1"/>
  <c r="BD91" i="7947" s="1"/>
  <c r="BA171" i="7947"/>
  <c r="BA173" i="7947" s="1"/>
  <c r="BB170" i="7947" s="1"/>
  <c r="BB76" i="7947"/>
  <c r="BB77" i="7947" s="1"/>
  <c r="BC75" i="7947" s="1"/>
  <c r="BB27" i="7947"/>
  <c r="BB28" i="7947" s="1"/>
  <c r="BC26" i="7947" s="1"/>
  <c r="W24" i="7947"/>
  <c r="X65" i="7947" l="1"/>
  <c r="BE210" i="7947"/>
  <c r="BC213" i="7947"/>
  <c r="BB214" i="7947"/>
  <c r="BB218" i="7947" s="1"/>
  <c r="BB220" i="7947" s="1"/>
  <c r="BC217" i="7947" s="1"/>
  <c r="BB84" i="7947"/>
  <c r="BB85" i="7947" s="1"/>
  <c r="BC83" i="7947" s="1"/>
  <c r="BC151" i="7947"/>
  <c r="BC153" i="7947" s="1"/>
  <c r="BD150" i="7947" s="1"/>
  <c r="BC96" i="7947"/>
  <c r="BC97" i="7947" s="1"/>
  <c r="BD95" i="7947" s="1"/>
  <c r="BC27" i="7947"/>
  <c r="BC28" i="7947" s="1"/>
  <c r="BD26" i="7947" s="1"/>
  <c r="BC35" i="7947"/>
  <c r="BC36" i="7947" s="1"/>
  <c r="BD34" i="7947" s="1"/>
  <c r="BD92" i="7947"/>
  <c r="BD93" i="7947"/>
  <c r="BE91" i="7947" s="1"/>
  <c r="BC156" i="7947"/>
  <c r="BC158" i="7947" s="1"/>
  <c r="BD155" i="7947" s="1"/>
  <c r="BD161" i="7947"/>
  <c r="BD163" i="7947" s="1"/>
  <c r="BE160" i="7947" s="1"/>
  <c r="BC88" i="7947"/>
  <c r="BC89" i="7947" s="1"/>
  <c r="BD87" i="7947" s="1"/>
  <c r="BC72" i="7947"/>
  <c r="BC73" i="7947" s="1"/>
  <c r="BD71" i="7947" s="1"/>
  <c r="BB176" i="7947"/>
  <c r="BB178" i="7947" s="1"/>
  <c r="BC175" i="7947" s="1"/>
  <c r="BC100" i="7947"/>
  <c r="BC101" i="7947" s="1"/>
  <c r="BD99" i="7947" s="1"/>
  <c r="BB171" i="7947"/>
  <c r="BB173" i="7947" s="1"/>
  <c r="BC170" i="7947" s="1"/>
  <c r="BC31" i="7947"/>
  <c r="BC32" i="7947" s="1"/>
  <c r="BD30" i="7947" s="1"/>
  <c r="W141" i="7947"/>
  <c r="W181" i="7947" s="1"/>
  <c r="W225" i="7947" s="1"/>
  <c r="W4" i="7947" s="1"/>
  <c r="W180" i="7947"/>
  <c r="W224" i="7947" s="1"/>
  <c r="BC166" i="7947"/>
  <c r="BC168" i="7947" s="1"/>
  <c r="BD165" i="7947" s="1"/>
  <c r="X22" i="7947"/>
  <c r="W44" i="7947"/>
  <c r="BC68" i="7947"/>
  <c r="BC69" i="7947" s="1"/>
  <c r="BD67" i="7947" s="1"/>
  <c r="X105" i="7947"/>
  <c r="Y63" i="7947"/>
  <c r="BD80" i="7947"/>
  <c r="BD81" i="7947" s="1"/>
  <c r="BE79" i="7947" s="1"/>
  <c r="BC39" i="7947"/>
  <c r="BC40" i="7947" s="1"/>
  <c r="BD38" i="7947" s="1"/>
  <c r="BC76" i="7947"/>
  <c r="BC77" i="7947" s="1"/>
  <c r="BD75" i="7947" s="1"/>
  <c r="BD213" i="7947" l="1"/>
  <c r="BC214" i="7947"/>
  <c r="BC218" i="7947" s="1"/>
  <c r="BC220" i="7947" s="1"/>
  <c r="BD217" i="7947" s="1"/>
  <c r="BD31" i="7947"/>
  <c r="BD32" i="7947" s="1"/>
  <c r="BE30" i="7947" s="1"/>
  <c r="BC176" i="7947"/>
  <c r="BC178" i="7947" s="1"/>
  <c r="BD175" i="7947" s="1"/>
  <c r="BE161" i="7947"/>
  <c r="BE163" i="7947" s="1"/>
  <c r="BD156" i="7947"/>
  <c r="BD158" i="7947" s="1"/>
  <c r="BE155" i="7947" s="1"/>
  <c r="BD76" i="7947"/>
  <c r="BD77" i="7947" s="1"/>
  <c r="BE75" i="7947" s="1"/>
  <c r="BD68" i="7947"/>
  <c r="BD69" i="7947" s="1"/>
  <c r="BE67" i="7947" s="1"/>
  <c r="BD166" i="7947"/>
  <c r="BD168" i="7947" s="1"/>
  <c r="BE165" i="7947" s="1"/>
  <c r="BC171" i="7947"/>
  <c r="BC173" i="7947" s="1"/>
  <c r="BD170" i="7947" s="1"/>
  <c r="BC84" i="7947"/>
  <c r="BC85" i="7947" s="1"/>
  <c r="BD83" i="7947" s="1"/>
  <c r="BD72" i="7947"/>
  <c r="BD73" i="7947" s="1"/>
  <c r="BE71" i="7947" s="1"/>
  <c r="BE92" i="7947"/>
  <c r="BE93" i="7947" s="1"/>
  <c r="BD151" i="7947"/>
  <c r="BD153" i="7947" s="1"/>
  <c r="BE150" i="7947" s="1"/>
  <c r="Y103" i="7947"/>
  <c r="Y64" i="7947"/>
  <c r="Y104" i="7947" s="1"/>
  <c r="W143" i="7947"/>
  <c r="BE80" i="7947"/>
  <c r="BE81" i="7947" s="1"/>
  <c r="BD88" i="7947"/>
  <c r="BD89" i="7947" s="1"/>
  <c r="BE87" i="7947" s="1"/>
  <c r="BD35" i="7947"/>
  <c r="BD36" i="7947" s="1"/>
  <c r="BE34" i="7947" s="1"/>
  <c r="BD96" i="7947"/>
  <c r="BD97" i="7947" s="1"/>
  <c r="BE95" i="7947" s="1"/>
  <c r="BD100" i="7947"/>
  <c r="BD101" i="7947" s="1"/>
  <c r="BE99" i="7947" s="1"/>
  <c r="BD27" i="7947"/>
  <c r="BD28" i="7947" s="1"/>
  <c r="BE26" i="7947" s="1"/>
  <c r="BD39" i="7947"/>
  <c r="BD40" i="7947" s="1"/>
  <c r="BE38" i="7947" s="1"/>
  <c r="X23" i="7947"/>
  <c r="X43" i="7947" s="1"/>
  <c r="X42" i="7947"/>
  <c r="BE213" i="7947" l="1"/>
  <c r="BE214" i="7947" s="1"/>
  <c r="BE218" i="7947" s="1"/>
  <c r="BD214" i="7947"/>
  <c r="BD218" i="7947" s="1"/>
  <c r="BD220" i="7947" s="1"/>
  <c r="BE217" i="7947" s="1"/>
  <c r="BE166" i="7947"/>
  <c r="BE168" i="7947" s="1"/>
  <c r="BE100" i="7947"/>
  <c r="BE101" i="7947" s="1"/>
  <c r="BE72" i="7947"/>
  <c r="BE73" i="7947" s="1"/>
  <c r="BE96" i="7947"/>
  <c r="BE97" i="7947" s="1"/>
  <c r="BD84" i="7947"/>
  <c r="BD85" i="7947" s="1"/>
  <c r="BE83" i="7947" s="1"/>
  <c r="BE88" i="7947"/>
  <c r="BE89" i="7947" s="1"/>
  <c r="BE35" i="7947"/>
  <c r="BE36" i="7947" s="1"/>
  <c r="BD171" i="7947"/>
  <c r="BD173" i="7947" s="1"/>
  <c r="BE170" i="7947" s="1"/>
  <c r="BE76" i="7947"/>
  <c r="BE77" i="7947" s="1"/>
  <c r="BD176" i="7947"/>
  <c r="BD178" i="7947" s="1"/>
  <c r="BE175" i="7947" s="1"/>
  <c r="BE39" i="7947"/>
  <c r="BE40" i="7947" s="1"/>
  <c r="BE27" i="7947"/>
  <c r="BE28" i="7947" s="1"/>
  <c r="BE151" i="7947"/>
  <c r="BE153" i="7947" s="1"/>
  <c r="BE68" i="7947"/>
  <c r="BE69" i="7947" s="1"/>
  <c r="BE156" i="7947"/>
  <c r="BE158" i="7947" s="1"/>
  <c r="X24" i="7947"/>
  <c r="BE31" i="7947"/>
  <c r="BE32" i="7947" s="1"/>
  <c r="W183" i="7947"/>
  <c r="W227" i="7947" s="1"/>
  <c r="W5" i="7947" s="1"/>
  <c r="X140" i="7947"/>
  <c r="Y65" i="7947"/>
  <c r="BE220" i="7947" l="1"/>
  <c r="BE171" i="7947"/>
  <c r="BE173" i="7947" s="1"/>
  <c r="BE84" i="7947"/>
  <c r="BE85" i="7947" s="1"/>
  <c r="X44" i="7947"/>
  <c r="Y22" i="7947"/>
  <c r="BE176" i="7947"/>
  <c r="BE178" i="7947" s="1"/>
  <c r="Z63" i="7947"/>
  <c r="Y105" i="7947"/>
  <c r="X180" i="7947"/>
  <c r="X224" i="7947" s="1"/>
  <c r="X141" i="7947"/>
  <c r="X181" i="7947" s="1"/>
  <c r="X225" i="7947" s="1"/>
  <c r="X4" i="7947" s="1"/>
  <c r="X143" i="7947" l="1"/>
  <c r="Y23" i="7947"/>
  <c r="Y43" i="7947" s="1"/>
  <c r="Y42" i="7947"/>
  <c r="Z103" i="7947"/>
  <c r="Z64" i="7947"/>
  <c r="Z104" i="7947" s="1"/>
  <c r="Y24" i="7947" l="1"/>
  <c r="Z22" i="7947" s="1"/>
  <c r="Z65" i="7947"/>
  <c r="Y140" i="7947"/>
  <c r="X183" i="7947"/>
  <c r="X227" i="7947" s="1"/>
  <c r="X5" i="7947" s="1"/>
  <c r="Y44" i="7947" l="1"/>
  <c r="Y180" i="7947"/>
  <c r="Y224" i="7947" s="1"/>
  <c r="Y141" i="7947"/>
  <c r="Y181" i="7947" s="1"/>
  <c r="Y225" i="7947" s="1"/>
  <c r="Y4" i="7947" s="1"/>
  <c r="Z42" i="7947"/>
  <c r="Z23" i="7947"/>
  <c r="Z43" i="7947" s="1"/>
  <c r="AA63" i="7947"/>
  <c r="Z105" i="7947"/>
  <c r="Y143" i="7947" l="1"/>
  <c r="Z140" i="7947" s="1"/>
  <c r="Z24" i="7947"/>
  <c r="AA103" i="7947"/>
  <c r="AA64" i="7947"/>
  <c r="AA104" i="7947" s="1"/>
  <c r="AA65" i="7947" l="1"/>
  <c r="AB63" i="7947" s="1"/>
  <c r="Y183" i="7947"/>
  <c r="Y227" i="7947" s="1"/>
  <c r="Y5" i="7947" s="1"/>
  <c r="Z180" i="7947"/>
  <c r="Z224" i="7947" s="1"/>
  <c r="Z141" i="7947"/>
  <c r="Z181" i="7947" s="1"/>
  <c r="Z225" i="7947" s="1"/>
  <c r="Z4" i="7947" s="1"/>
  <c r="AA22" i="7947"/>
  <c r="Z44" i="7947"/>
  <c r="AA105" i="7947" l="1"/>
  <c r="AB64" i="7947"/>
  <c r="AB104" i="7947" s="1"/>
  <c r="AB103" i="7947"/>
  <c r="AA24" i="7947"/>
  <c r="AA42" i="7947"/>
  <c r="AA23" i="7947"/>
  <c r="AA43" i="7947" s="1"/>
  <c r="Z143" i="7947"/>
  <c r="Z183" i="7947" l="1"/>
  <c r="Z227" i="7947" s="1"/>
  <c r="Z5" i="7947" s="1"/>
  <c r="AA140" i="7947"/>
  <c r="AA44" i="7947"/>
  <c r="AB22" i="7947"/>
  <c r="AB65" i="7947"/>
  <c r="AB23" i="7947" l="1"/>
  <c r="AB43" i="7947" s="1"/>
  <c r="AB42" i="7947"/>
  <c r="AA141" i="7947"/>
  <c r="AA181" i="7947" s="1"/>
  <c r="AA225" i="7947" s="1"/>
  <c r="AA4" i="7947" s="1"/>
  <c r="AA180" i="7947"/>
  <c r="AA224" i="7947" s="1"/>
  <c r="AC63" i="7947"/>
  <c r="AB105" i="7947"/>
  <c r="AC64" i="7947" l="1"/>
  <c r="AC104" i="7947" s="1"/>
  <c r="AC103" i="7947"/>
  <c r="AC65" i="7947"/>
  <c r="AA143" i="7947"/>
  <c r="AB24" i="7947"/>
  <c r="AB44" i="7947" l="1"/>
  <c r="AC22" i="7947"/>
  <c r="AA183" i="7947"/>
  <c r="AA227" i="7947" s="1"/>
  <c r="AA5" i="7947" s="1"/>
  <c r="AB140" i="7947"/>
  <c r="AD63" i="7947"/>
  <c r="AC105" i="7947"/>
  <c r="AB180" i="7947" l="1"/>
  <c r="AB224" i="7947" s="1"/>
  <c r="AB141" i="7947"/>
  <c r="AB181" i="7947" s="1"/>
  <c r="AB225" i="7947" s="1"/>
  <c r="AB4" i="7947" s="1"/>
  <c r="AC42" i="7947"/>
  <c r="AC23" i="7947"/>
  <c r="AC43" i="7947" s="1"/>
  <c r="AD64" i="7947"/>
  <c r="AD104" i="7947" s="1"/>
  <c r="AD103" i="7947"/>
  <c r="AD65" i="7947" l="1"/>
  <c r="AC24" i="7947"/>
  <c r="AB143" i="7947"/>
  <c r="AD105" i="7947" l="1"/>
  <c r="AE63" i="7947"/>
  <c r="AD22" i="7947"/>
  <c r="AC44" i="7947"/>
  <c r="AB183" i="7947"/>
  <c r="AB227" i="7947" s="1"/>
  <c r="AB5" i="7947" s="1"/>
  <c r="AC140" i="7947"/>
  <c r="AD42" i="7947" l="1"/>
  <c r="AD23" i="7947"/>
  <c r="AD43" i="7947" s="1"/>
  <c r="AC180" i="7947"/>
  <c r="AC224" i="7947" s="1"/>
  <c r="AC141" i="7947"/>
  <c r="AC181" i="7947" s="1"/>
  <c r="AC225" i="7947" s="1"/>
  <c r="AC4" i="7947" s="1"/>
  <c r="AE64" i="7947"/>
  <c r="AE104" i="7947" s="1"/>
  <c r="AE103" i="7947"/>
  <c r="AE65" i="7947" l="1"/>
  <c r="AF63" i="7947" s="1"/>
  <c r="AC143" i="7947"/>
  <c r="AD24" i="7947"/>
  <c r="AE105" i="7947" l="1"/>
  <c r="AD140" i="7947"/>
  <c r="AC183" i="7947"/>
  <c r="AC227" i="7947" s="1"/>
  <c r="AC5" i="7947" s="1"/>
  <c r="AE22" i="7947"/>
  <c r="AD44" i="7947"/>
  <c r="AF64" i="7947"/>
  <c r="AF104" i="7947" s="1"/>
  <c r="AF103" i="7947"/>
  <c r="AE42" i="7947" l="1"/>
  <c r="AE23" i="7947"/>
  <c r="AE43" i="7947" s="1"/>
  <c r="AF65" i="7947"/>
  <c r="AD180" i="7947"/>
  <c r="AD224" i="7947" s="1"/>
  <c r="AD141" i="7947"/>
  <c r="AD181" i="7947" s="1"/>
  <c r="AD225" i="7947" s="1"/>
  <c r="AD4" i="7947" s="1"/>
  <c r="AD143" i="7947" l="1"/>
  <c r="AE24" i="7947"/>
  <c r="AF105" i="7947"/>
  <c r="AG63" i="7947"/>
  <c r="AE44" i="7947" l="1"/>
  <c r="AF22" i="7947"/>
  <c r="AD183" i="7947"/>
  <c r="AD227" i="7947" s="1"/>
  <c r="AD5" i="7947" s="1"/>
  <c r="AE140" i="7947"/>
  <c r="AG64" i="7947"/>
  <c r="AG104" i="7947" s="1"/>
  <c r="AG103" i="7947"/>
  <c r="AE180" i="7947" l="1"/>
  <c r="AE224" i="7947" s="1"/>
  <c r="AE141" i="7947"/>
  <c r="AE181" i="7947" s="1"/>
  <c r="AE225" i="7947" s="1"/>
  <c r="AE4" i="7947" s="1"/>
  <c r="AG65" i="7947"/>
  <c r="AF23" i="7947"/>
  <c r="AF43" i="7947" s="1"/>
  <c r="AF42" i="7947"/>
  <c r="AF24" i="7947" l="1"/>
  <c r="AF44" i="7947" s="1"/>
  <c r="AH63" i="7947"/>
  <c r="AG105" i="7947"/>
  <c r="AE143" i="7947"/>
  <c r="AG22" i="7947"/>
  <c r="AE183" i="7947" l="1"/>
  <c r="AE227" i="7947" s="1"/>
  <c r="AE5" i="7947" s="1"/>
  <c r="AF140" i="7947"/>
  <c r="AG23" i="7947"/>
  <c r="AG43" i="7947" s="1"/>
  <c r="AG42" i="7947"/>
  <c r="AH64" i="7947"/>
  <c r="AH104" i="7947" s="1"/>
  <c r="AH103" i="7947"/>
  <c r="AH65" i="7947" l="1"/>
  <c r="AG24" i="7947"/>
  <c r="AG44" i="7947" s="1"/>
  <c r="AH105" i="7947"/>
  <c r="AI63" i="7947"/>
  <c r="AH22" i="7947"/>
  <c r="AF141" i="7947"/>
  <c r="AF181" i="7947" s="1"/>
  <c r="AF225" i="7947" s="1"/>
  <c r="AF4" i="7947" s="1"/>
  <c r="AF180" i="7947"/>
  <c r="AF224" i="7947" s="1"/>
  <c r="AF143" i="7947" l="1"/>
  <c r="AF183" i="7947" s="1"/>
  <c r="AF227" i="7947" s="1"/>
  <c r="AF5" i="7947" s="1"/>
  <c r="AH23" i="7947"/>
  <c r="AH43" i="7947" s="1"/>
  <c r="AH42" i="7947"/>
  <c r="AI103" i="7947"/>
  <c r="AI64" i="7947"/>
  <c r="AI104" i="7947" s="1"/>
  <c r="AG140" i="7947" l="1"/>
  <c r="AG141" i="7947" s="1"/>
  <c r="AG181" i="7947" s="1"/>
  <c r="AG225" i="7947" s="1"/>
  <c r="AG4" i="7947" s="1"/>
  <c r="AH24" i="7947"/>
  <c r="AH44" i="7947" s="1"/>
  <c r="AI65" i="7947"/>
  <c r="AG180" i="7947"/>
  <c r="AG224" i="7947" s="1"/>
  <c r="AI22" i="7947" l="1"/>
  <c r="AG143" i="7947"/>
  <c r="AH140" i="7947" s="1"/>
  <c r="AI23" i="7947"/>
  <c r="AI43" i="7947" s="1"/>
  <c r="AI42" i="7947"/>
  <c r="AJ63" i="7947"/>
  <c r="AI105" i="7947"/>
  <c r="AG183" i="7947" l="1"/>
  <c r="AG227" i="7947" s="1"/>
  <c r="AG5" i="7947" s="1"/>
  <c r="AJ64" i="7947"/>
  <c r="AJ104" i="7947" s="1"/>
  <c r="AJ103" i="7947"/>
  <c r="AI24" i="7947"/>
  <c r="AH141" i="7947"/>
  <c r="AH181" i="7947" s="1"/>
  <c r="AH225" i="7947" s="1"/>
  <c r="AH4" i="7947" s="1"/>
  <c r="AH180" i="7947"/>
  <c r="AH224" i="7947" s="1"/>
  <c r="AJ65" i="7947" l="1"/>
  <c r="AK63" i="7947" s="1"/>
  <c r="AJ105" i="7947"/>
  <c r="AH143" i="7947"/>
  <c r="AJ22" i="7947"/>
  <c r="AI44" i="7947"/>
  <c r="AJ42" i="7947" l="1"/>
  <c r="AJ23" i="7947"/>
  <c r="AJ43" i="7947" s="1"/>
  <c r="AH183" i="7947"/>
  <c r="AH227" i="7947" s="1"/>
  <c r="AH5" i="7947" s="1"/>
  <c r="AI140" i="7947"/>
  <c r="AK64" i="7947"/>
  <c r="AK104" i="7947" s="1"/>
  <c r="AK103" i="7947"/>
  <c r="AJ24" i="7947" l="1"/>
  <c r="AK65" i="7947"/>
  <c r="AI141" i="7947"/>
  <c r="AI181" i="7947" s="1"/>
  <c r="AI225" i="7947" s="1"/>
  <c r="AI4" i="7947" s="1"/>
  <c r="AI180" i="7947"/>
  <c r="AI224" i="7947" s="1"/>
  <c r="AI143" i="7947" l="1"/>
  <c r="AJ140" i="7947" s="1"/>
  <c r="AL63" i="7947"/>
  <c r="AK105" i="7947"/>
  <c r="AK22" i="7947"/>
  <c r="AJ44" i="7947"/>
  <c r="AI183" i="7947" l="1"/>
  <c r="AI227" i="7947" s="1"/>
  <c r="AI5" i="7947" s="1"/>
  <c r="AL64" i="7947"/>
  <c r="AL104" i="7947" s="1"/>
  <c r="AL103" i="7947"/>
  <c r="AK23" i="7947"/>
  <c r="AK43" i="7947" s="1"/>
  <c r="AK42" i="7947"/>
  <c r="AJ180" i="7947"/>
  <c r="AJ224" i="7947" s="1"/>
  <c r="AJ141" i="7947"/>
  <c r="AJ181" i="7947" s="1"/>
  <c r="AJ225" i="7947" s="1"/>
  <c r="AJ4" i="7947" s="1"/>
  <c r="AJ143" i="7947" l="1"/>
  <c r="AJ183" i="7947" s="1"/>
  <c r="AJ227" i="7947" s="1"/>
  <c r="AJ5" i="7947" s="1"/>
  <c r="AK24" i="7947"/>
  <c r="AL65" i="7947"/>
  <c r="AK140" i="7947" l="1"/>
  <c r="AK180" i="7947" s="1"/>
  <c r="AK224" i="7947" s="1"/>
  <c r="AL22" i="7947"/>
  <c r="AK44" i="7947"/>
  <c r="AM63" i="7947"/>
  <c r="AL105" i="7947"/>
  <c r="AK141" i="7947" l="1"/>
  <c r="AK181" i="7947" s="1"/>
  <c r="AK225" i="7947" s="1"/>
  <c r="AK4" i="7947" s="1"/>
  <c r="AM103" i="7947"/>
  <c r="AM64" i="7947"/>
  <c r="AM104" i="7947" s="1"/>
  <c r="AL42" i="7947"/>
  <c r="AL23" i="7947"/>
  <c r="AL43" i="7947" s="1"/>
  <c r="AK143" i="7947" l="1"/>
  <c r="AK183" i="7947" s="1"/>
  <c r="AK227" i="7947" s="1"/>
  <c r="AK5" i="7947" s="1"/>
  <c r="AL24" i="7947"/>
  <c r="AM65" i="7947"/>
  <c r="AL140" i="7947" l="1"/>
  <c r="AL180" i="7947" s="1"/>
  <c r="AL224" i="7947" s="1"/>
  <c r="AN63" i="7947"/>
  <c r="AM105" i="7947"/>
  <c r="AL44" i="7947"/>
  <c r="AM22" i="7947"/>
  <c r="AL141" i="7947" l="1"/>
  <c r="AL181" i="7947" s="1"/>
  <c r="AL225" i="7947" s="1"/>
  <c r="AL4" i="7947" s="1"/>
  <c r="AM23" i="7947"/>
  <c r="AM43" i="7947" s="1"/>
  <c r="AM42" i="7947"/>
  <c r="AN103" i="7947"/>
  <c r="AN64" i="7947"/>
  <c r="AN104" i="7947" s="1"/>
  <c r="AL143" i="7947" l="1"/>
  <c r="AM140" i="7947" s="1"/>
  <c r="AN65" i="7947"/>
  <c r="AM24" i="7947"/>
  <c r="AL183" i="7947" l="1"/>
  <c r="AL227" i="7947" s="1"/>
  <c r="AL5" i="7947" s="1"/>
  <c r="AM141" i="7947"/>
  <c r="AM181" i="7947" s="1"/>
  <c r="AM225" i="7947" s="1"/>
  <c r="AM4" i="7947" s="1"/>
  <c r="AM180" i="7947"/>
  <c r="AM224" i="7947" s="1"/>
  <c r="AM44" i="7947"/>
  <c r="AN22" i="7947"/>
  <c r="AO63" i="7947"/>
  <c r="AN105" i="7947"/>
  <c r="AO103" i="7947" l="1"/>
  <c r="AO64" i="7947"/>
  <c r="AO104" i="7947" s="1"/>
  <c r="AO65" i="7947"/>
  <c r="AM143" i="7947"/>
  <c r="AN23" i="7947"/>
  <c r="AN43" i="7947" s="1"/>
  <c r="AN42" i="7947"/>
  <c r="AN24" i="7947"/>
  <c r="AO105" i="7947" l="1"/>
  <c r="AP63" i="7947"/>
  <c r="AO22" i="7947"/>
  <c r="AN44" i="7947"/>
  <c r="AM183" i="7947"/>
  <c r="AM227" i="7947" s="1"/>
  <c r="AM5" i="7947" s="1"/>
  <c r="AN140" i="7947"/>
  <c r="AN180" i="7947" l="1"/>
  <c r="AN224" i="7947" s="1"/>
  <c r="AN141" i="7947"/>
  <c r="AN181" i="7947" s="1"/>
  <c r="AN225" i="7947" s="1"/>
  <c r="AN4" i="7947" s="1"/>
  <c r="AP65" i="7947"/>
  <c r="AP103" i="7947"/>
  <c r="AP64" i="7947"/>
  <c r="AP104" i="7947" s="1"/>
  <c r="AO23" i="7947"/>
  <c r="AO43" i="7947" s="1"/>
  <c r="AO42" i="7947"/>
  <c r="AO24" i="7947" l="1"/>
  <c r="AP105" i="7947"/>
  <c r="AQ63" i="7947"/>
  <c r="AP22" i="7947"/>
  <c r="AO44" i="7947"/>
  <c r="AN143" i="7947"/>
  <c r="AO140" i="7947" l="1"/>
  <c r="AN183" i="7947"/>
  <c r="AN227" i="7947" s="1"/>
  <c r="AN5" i="7947" s="1"/>
  <c r="AP23" i="7947"/>
  <c r="AP43" i="7947" s="1"/>
  <c r="AP42" i="7947"/>
  <c r="AQ64" i="7947"/>
  <c r="AQ104" i="7947" s="1"/>
  <c r="AQ65" i="7947"/>
  <c r="AQ103" i="7947"/>
  <c r="AR63" i="7947" l="1"/>
  <c r="AQ105" i="7947"/>
  <c r="AO180" i="7947"/>
  <c r="AO224" i="7947" s="1"/>
  <c r="AO141" i="7947"/>
  <c r="AO181" i="7947" s="1"/>
  <c r="AO225" i="7947" s="1"/>
  <c r="AO4" i="7947" s="1"/>
  <c r="AP24" i="7947"/>
  <c r="AP44" i="7947" l="1"/>
  <c r="AQ22" i="7947"/>
  <c r="AO143" i="7947"/>
  <c r="AR64" i="7947"/>
  <c r="AR104" i="7947" s="1"/>
  <c r="AR103" i="7947"/>
  <c r="AR65" i="7947" l="1"/>
  <c r="AR105" i="7947" s="1"/>
  <c r="AP140" i="7947"/>
  <c r="AO183" i="7947"/>
  <c r="AO227" i="7947" s="1"/>
  <c r="AO5" i="7947" s="1"/>
  <c r="AQ23" i="7947"/>
  <c r="AQ43" i="7947" s="1"/>
  <c r="AQ42" i="7947"/>
  <c r="AS63" i="7947"/>
  <c r="AS103" i="7947" l="1"/>
  <c r="AS64" i="7947"/>
  <c r="AS104" i="7947" s="1"/>
  <c r="AQ24" i="7947"/>
  <c r="AP180" i="7947"/>
  <c r="AP224" i="7947" s="1"/>
  <c r="AP141" i="7947"/>
  <c r="AP181" i="7947" s="1"/>
  <c r="AP225" i="7947" s="1"/>
  <c r="AP4" i="7947" s="1"/>
  <c r="AP143" i="7947" l="1"/>
  <c r="AR22" i="7947"/>
  <c r="AQ44" i="7947"/>
  <c r="AS65" i="7947"/>
  <c r="AR23" i="7947" l="1"/>
  <c r="AR43" i="7947" s="1"/>
  <c r="AR42" i="7947"/>
  <c r="AT63" i="7947"/>
  <c r="AS105" i="7947"/>
  <c r="AQ140" i="7947"/>
  <c r="AP183" i="7947"/>
  <c r="AP227" i="7947" s="1"/>
  <c r="AP5" i="7947" s="1"/>
  <c r="AQ180" i="7947" l="1"/>
  <c r="AQ224" i="7947" s="1"/>
  <c r="AQ141" i="7947"/>
  <c r="AQ181" i="7947" s="1"/>
  <c r="AQ225" i="7947" s="1"/>
  <c r="AQ4" i="7947" s="1"/>
  <c r="AR24" i="7947"/>
  <c r="AT103" i="7947"/>
  <c r="AT64" i="7947"/>
  <c r="AT104" i="7947" s="1"/>
  <c r="AT65" i="7947" l="1"/>
  <c r="AQ143" i="7947"/>
  <c r="AR140" i="7947" s="1"/>
  <c r="AT105" i="7947"/>
  <c r="AU63" i="7947"/>
  <c r="AS22" i="7947"/>
  <c r="AR44" i="7947"/>
  <c r="AQ183" i="7947" l="1"/>
  <c r="AQ227" i="7947" s="1"/>
  <c r="AQ5" i="7947" s="1"/>
  <c r="AR180" i="7947"/>
  <c r="AR224" i="7947" s="1"/>
  <c r="AR141" i="7947"/>
  <c r="AR181" i="7947" s="1"/>
  <c r="AR225" i="7947" s="1"/>
  <c r="AR4" i="7947" s="1"/>
  <c r="AU64" i="7947"/>
  <c r="AU104" i="7947" s="1"/>
  <c r="AU103" i="7947"/>
  <c r="AS23" i="7947"/>
  <c r="AS43" i="7947" s="1"/>
  <c r="AS42" i="7947"/>
  <c r="AS24" i="7947" l="1"/>
  <c r="AU65" i="7947"/>
  <c r="AR143" i="7947"/>
  <c r="AV63" i="7947" l="1"/>
  <c r="AU105" i="7947"/>
  <c r="AR183" i="7947"/>
  <c r="AR227" i="7947" s="1"/>
  <c r="AR5" i="7947" s="1"/>
  <c r="AS140" i="7947"/>
  <c r="AT22" i="7947"/>
  <c r="AS44" i="7947"/>
  <c r="AS180" i="7947" l="1"/>
  <c r="AS224" i="7947" s="1"/>
  <c r="AS141" i="7947"/>
  <c r="AS181" i="7947" s="1"/>
  <c r="AS225" i="7947" s="1"/>
  <c r="AS4" i="7947" s="1"/>
  <c r="AT23" i="7947"/>
  <c r="AT43" i="7947" s="1"/>
  <c r="AT42" i="7947"/>
  <c r="AV103" i="7947"/>
  <c r="AV64" i="7947"/>
  <c r="AV104" i="7947" s="1"/>
  <c r="AT24" i="7947" l="1"/>
  <c r="AS143" i="7947"/>
  <c r="AV65" i="7947"/>
  <c r="AW63" i="7947" l="1"/>
  <c r="AV105" i="7947"/>
  <c r="AS183" i="7947"/>
  <c r="AS227" i="7947" s="1"/>
  <c r="AS5" i="7947" s="1"/>
  <c r="AT140" i="7947"/>
  <c r="AU22" i="7947"/>
  <c r="AT44" i="7947"/>
  <c r="AT141" i="7947" l="1"/>
  <c r="AT181" i="7947" s="1"/>
  <c r="AT225" i="7947" s="1"/>
  <c r="AT4" i="7947" s="1"/>
  <c r="AT180" i="7947"/>
  <c r="AT224" i="7947" s="1"/>
  <c r="AU42" i="7947"/>
  <c r="AU23" i="7947"/>
  <c r="AU43" i="7947" s="1"/>
  <c r="AW103" i="7947"/>
  <c r="AW64" i="7947"/>
  <c r="AW104" i="7947" s="1"/>
  <c r="AW65" i="7947" l="1"/>
  <c r="AW105" i="7947" s="1"/>
  <c r="AU24" i="7947"/>
  <c r="AU44" i="7947" s="1"/>
  <c r="AT143" i="7947"/>
  <c r="AT183" i="7947" s="1"/>
  <c r="AT227" i="7947" s="1"/>
  <c r="AT5" i="7947" s="1"/>
  <c r="AX63" i="7947" l="1"/>
  <c r="AV22" i="7947"/>
  <c r="AU140" i="7947"/>
  <c r="AU141" i="7947" s="1"/>
  <c r="AU181" i="7947" s="1"/>
  <c r="AU225" i="7947" s="1"/>
  <c r="AU4" i="7947" s="1"/>
  <c r="AX64" i="7947"/>
  <c r="AX104" i="7947" s="1"/>
  <c r="AX103" i="7947"/>
  <c r="AV42" i="7947"/>
  <c r="AV23" i="7947"/>
  <c r="AV43" i="7947" s="1"/>
  <c r="AU180" i="7947" l="1"/>
  <c r="AU224" i="7947" s="1"/>
  <c r="AV24" i="7947"/>
  <c r="AW22" i="7947" s="1"/>
  <c r="AU143" i="7947"/>
  <c r="AU183" i="7947" s="1"/>
  <c r="AU227" i="7947" s="1"/>
  <c r="AU5" i="7947" s="1"/>
  <c r="AX65" i="7947"/>
  <c r="AV44" i="7947" l="1"/>
  <c r="AV140" i="7947"/>
  <c r="AV141" i="7947" s="1"/>
  <c r="AV181" i="7947" s="1"/>
  <c r="AV225" i="7947" s="1"/>
  <c r="AV4" i="7947" s="1"/>
  <c r="AY63" i="7947"/>
  <c r="AX105" i="7947"/>
  <c r="AW42" i="7947"/>
  <c r="AW23" i="7947"/>
  <c r="AW43" i="7947" s="1"/>
  <c r="AV180" i="7947" l="1"/>
  <c r="AV224" i="7947" s="1"/>
  <c r="AV143" i="7947"/>
  <c r="AV183" i="7947" s="1"/>
  <c r="AV227" i="7947" s="1"/>
  <c r="AV5" i="7947" s="1"/>
  <c r="AW24" i="7947"/>
  <c r="AY65" i="7947"/>
  <c r="AY103" i="7947"/>
  <c r="AY64" i="7947"/>
  <c r="AY104" i="7947" s="1"/>
  <c r="AW140" i="7947" l="1"/>
  <c r="AW141" i="7947" s="1"/>
  <c r="AW181" i="7947" s="1"/>
  <c r="AW225" i="7947" s="1"/>
  <c r="AW4" i="7947" s="1"/>
  <c r="AX22" i="7947"/>
  <c r="AW44" i="7947"/>
  <c r="AZ63" i="7947"/>
  <c r="AY105" i="7947"/>
  <c r="AW180" i="7947" l="1"/>
  <c r="AW224" i="7947" s="1"/>
  <c r="AW143" i="7947"/>
  <c r="AZ64" i="7947"/>
  <c r="AZ104" i="7947" s="1"/>
  <c r="AZ103" i="7947"/>
  <c r="AX23" i="7947"/>
  <c r="AX43" i="7947" s="1"/>
  <c r="AX42" i="7947"/>
  <c r="AZ65" i="7947" l="1"/>
  <c r="BA63" i="7947" s="1"/>
  <c r="AX24" i="7947"/>
  <c r="AX140" i="7947"/>
  <c r="AW183" i="7947"/>
  <c r="AW227" i="7947" s="1"/>
  <c r="AW5" i="7947" s="1"/>
  <c r="AZ105" i="7947" l="1"/>
  <c r="AX44" i="7947"/>
  <c r="AY22" i="7947"/>
  <c r="AX180" i="7947"/>
  <c r="AX224" i="7947" s="1"/>
  <c r="AX141" i="7947"/>
  <c r="AX181" i="7947" s="1"/>
  <c r="AX225" i="7947" s="1"/>
  <c r="AX4" i="7947" s="1"/>
  <c r="BA103" i="7947"/>
  <c r="BA64" i="7947"/>
  <c r="BA104" i="7947" s="1"/>
  <c r="BA65" i="7947"/>
  <c r="AX143" i="7947" l="1"/>
  <c r="BB63" i="7947"/>
  <c r="BA105" i="7947"/>
  <c r="AY24" i="7947"/>
  <c r="AY23" i="7947"/>
  <c r="AY43" i="7947" s="1"/>
  <c r="AY42" i="7947"/>
  <c r="AY44" i="7947" l="1"/>
  <c r="AZ22" i="7947"/>
  <c r="BB64" i="7947"/>
  <c r="BB104" i="7947" s="1"/>
  <c r="BB103" i="7947"/>
  <c r="AY140" i="7947"/>
  <c r="AX183" i="7947"/>
  <c r="AX227" i="7947" s="1"/>
  <c r="AX5" i="7947" s="1"/>
  <c r="BB65" i="7947" l="1"/>
  <c r="BC63" i="7947" s="1"/>
  <c r="AZ23" i="7947"/>
  <c r="AZ43" i="7947" s="1"/>
  <c r="AZ42" i="7947"/>
  <c r="AY141" i="7947"/>
  <c r="AY181" i="7947" s="1"/>
  <c r="AY225" i="7947" s="1"/>
  <c r="AY4" i="7947" s="1"/>
  <c r="AY180" i="7947"/>
  <c r="AY224" i="7947" s="1"/>
  <c r="BB105" i="7947" l="1"/>
  <c r="AZ24" i="7947"/>
  <c r="BA22" i="7947" s="1"/>
  <c r="AZ44" i="7947"/>
  <c r="AY143" i="7947"/>
  <c r="BC64" i="7947"/>
  <c r="BC104" i="7947" s="1"/>
  <c r="BC103" i="7947"/>
  <c r="AY183" i="7947" l="1"/>
  <c r="AY227" i="7947" s="1"/>
  <c r="AY5" i="7947" s="1"/>
  <c r="AZ140" i="7947"/>
  <c r="BC65" i="7947"/>
  <c r="BA42" i="7947"/>
  <c r="BA23" i="7947"/>
  <c r="BA43" i="7947" s="1"/>
  <c r="BD63" i="7947" l="1"/>
  <c r="BC105" i="7947"/>
  <c r="BA24" i="7947"/>
  <c r="AZ141" i="7947"/>
  <c r="AZ181" i="7947" s="1"/>
  <c r="AZ225" i="7947" s="1"/>
  <c r="AZ4" i="7947" s="1"/>
  <c r="AZ180" i="7947"/>
  <c r="AZ224" i="7947" s="1"/>
  <c r="AZ143" i="7947" l="1"/>
  <c r="BA140" i="7947" s="1"/>
  <c r="BB22" i="7947"/>
  <c r="BA44" i="7947"/>
  <c r="BD64" i="7947"/>
  <c r="BD104" i="7947" s="1"/>
  <c r="BD103" i="7947"/>
  <c r="BD65" i="7947" l="1"/>
  <c r="AZ183" i="7947"/>
  <c r="AZ227" i="7947" s="1"/>
  <c r="AZ5" i="7947" s="1"/>
  <c r="BA180" i="7947"/>
  <c r="BA224" i="7947" s="1"/>
  <c r="BA141" i="7947"/>
  <c r="BA181" i="7947" s="1"/>
  <c r="BA225" i="7947" s="1"/>
  <c r="BA4" i="7947" s="1"/>
  <c r="BD105" i="7947"/>
  <c r="BE63" i="7947"/>
  <c r="BB23" i="7947"/>
  <c r="BB43" i="7947" s="1"/>
  <c r="BB42" i="7947"/>
  <c r="BB24" i="7947" l="1"/>
  <c r="BE64" i="7947"/>
  <c r="BE104" i="7947" s="1"/>
  <c r="BE103" i="7947"/>
  <c r="BA143" i="7947"/>
  <c r="BB140" i="7947" l="1"/>
  <c r="BA183" i="7947"/>
  <c r="BA227" i="7947" s="1"/>
  <c r="BA5" i="7947" s="1"/>
  <c r="BC22" i="7947"/>
  <c r="BB44" i="7947"/>
  <c r="BE65" i="7947"/>
  <c r="BE105" i="7947" s="1"/>
  <c r="BC42" i="7947" l="1"/>
  <c r="BC23" i="7947"/>
  <c r="BC43" i="7947" s="1"/>
  <c r="BC24" i="7947"/>
  <c r="BB141" i="7947"/>
  <c r="BB181" i="7947" s="1"/>
  <c r="BB225" i="7947" s="1"/>
  <c r="BB4" i="7947" s="1"/>
  <c r="BB180" i="7947"/>
  <c r="BB224" i="7947" s="1"/>
  <c r="BB143" i="7947" l="1"/>
  <c r="BC140" i="7947" s="1"/>
  <c r="BC44" i="7947"/>
  <c r="BD22" i="7947"/>
  <c r="BB183" i="7947" l="1"/>
  <c r="BB227" i="7947" s="1"/>
  <c r="BB5" i="7947" s="1"/>
  <c r="BD42" i="7947"/>
  <c r="BD23" i="7947"/>
  <c r="BD43" i="7947" s="1"/>
  <c r="BC180" i="7947"/>
  <c r="BC224" i="7947" s="1"/>
  <c r="BC141" i="7947"/>
  <c r="BC181" i="7947" s="1"/>
  <c r="BC225" i="7947" s="1"/>
  <c r="BC4" i="7947" s="1"/>
  <c r="BC143" i="7947" l="1"/>
  <c r="BC183" i="7947" s="1"/>
  <c r="BC227" i="7947" s="1"/>
  <c r="BC5" i="7947" s="1"/>
  <c r="BD24" i="7947"/>
  <c r="BD140" i="7947" l="1"/>
  <c r="BD141" i="7947" s="1"/>
  <c r="BD181" i="7947" s="1"/>
  <c r="BD225" i="7947" s="1"/>
  <c r="BD4" i="7947" s="1"/>
  <c r="BE22" i="7947"/>
  <c r="BD44" i="7947"/>
  <c r="BD180" i="7947" l="1"/>
  <c r="BD224" i="7947" s="1"/>
  <c r="BE42" i="7947"/>
  <c r="BE23" i="7947"/>
  <c r="BE43" i="7947" s="1"/>
  <c r="BD143" i="7947"/>
  <c r="BE24" i="7947" l="1"/>
  <c r="BE44" i="7947" s="1"/>
  <c r="BD183" i="7947"/>
  <c r="BD227" i="7947" s="1"/>
  <c r="BD5" i="7947" s="1"/>
  <c r="BE140" i="7947"/>
  <c r="BE141" i="7947" l="1"/>
  <c r="BE181" i="7947" s="1"/>
  <c r="BE225" i="7947" s="1"/>
  <c r="BE4" i="7947" s="1"/>
  <c r="BE180" i="7947"/>
  <c r="BE224" i="7947" s="1"/>
  <c r="BE143" i="7947" l="1"/>
  <c r="BE183" i="7947" s="1"/>
  <c r="BE227" i="7947" s="1"/>
  <c r="BE5" i="7947" s="1"/>
  <c r="H217" i="1" l="1"/>
  <c r="H105" i="1"/>
  <c r="R106" i="1" s="1"/>
  <c r="H149" i="1"/>
  <c r="H46" i="7944" l="1"/>
  <c r="H241" i="1"/>
  <c r="I152" i="7944"/>
  <c r="I162" i="7944" s="1"/>
  <c r="H285" i="1"/>
  <c r="H18" i="18"/>
  <c r="H173" i="1"/>
  <c r="R174" i="1" s="1"/>
  <c r="H508" i="18" l="1"/>
  <c r="H11" i="18"/>
  <c r="J152" i="7944"/>
  <c r="I71" i="7944"/>
  <c r="K156" i="18"/>
  <c r="K166" i="18" s="1"/>
  <c r="M156" i="18"/>
  <c r="H50" i="18"/>
  <c r="L156" i="18"/>
  <c r="L166" i="18" s="1"/>
  <c r="I156" i="18"/>
  <c r="I166" i="18" s="1"/>
  <c r="J156" i="18"/>
  <c r="J166" i="18" s="1"/>
  <c r="H309" i="1"/>
  <c r="R310" i="1" s="1"/>
  <c r="R276" i="1"/>
  <c r="R242" i="1"/>
  <c r="I14" i="7944"/>
  <c r="H39" i="7944"/>
  <c r="N156" i="18" l="1"/>
  <c r="O156" i="18" s="1"/>
  <c r="J14" i="7944"/>
  <c r="I7" i="7944"/>
  <c r="L962" i="18"/>
  <c r="L702" i="18"/>
  <c r="L75" i="18"/>
  <c r="E93" i="7945"/>
  <c r="H800" i="18"/>
  <c r="H43" i="18"/>
  <c r="J962" i="18"/>
  <c r="J702" i="18"/>
  <c r="J75" i="18"/>
  <c r="H46" i="7941"/>
  <c r="H501" i="18"/>
  <c r="I476" i="18"/>
  <c r="I702" i="18"/>
  <c r="I962" i="18"/>
  <c r="I75" i="18"/>
  <c r="M166" i="18"/>
  <c r="K702" i="18"/>
  <c r="K962" i="18"/>
  <c r="K75" i="18"/>
  <c r="K152" i="7944"/>
  <c r="J162" i="7944"/>
  <c r="P156" i="18" l="1"/>
  <c r="Q156" i="18" s="1"/>
  <c r="J71" i="7944"/>
  <c r="N166" i="18"/>
  <c r="O166" i="18" s="1"/>
  <c r="M702" i="18"/>
  <c r="M695" i="18" s="1"/>
  <c r="M962" i="18"/>
  <c r="M955" i="18" s="1"/>
  <c r="M75" i="18"/>
  <c r="K695" i="18"/>
  <c r="I695" i="18"/>
  <c r="H39" i="7941"/>
  <c r="I14" i="7941"/>
  <c r="H240" i="7941"/>
  <c r="L695" i="18"/>
  <c r="L955" i="18"/>
  <c r="K14" i="7944"/>
  <c r="K7" i="7944" s="1"/>
  <c r="J7" i="7944"/>
  <c r="K162" i="7944"/>
  <c r="L152" i="7944"/>
  <c r="L162" i="7944" s="1"/>
  <c r="K955" i="18"/>
  <c r="I734" i="18"/>
  <c r="I469" i="18"/>
  <c r="J695" i="18"/>
  <c r="F93" i="7945"/>
  <c r="E103" i="7945"/>
  <c r="H530" i="7941"/>
  <c r="I768" i="18"/>
  <c r="H793" i="18"/>
  <c r="I955" i="18"/>
  <c r="J955" i="18"/>
  <c r="J93" i="7945" l="1"/>
  <c r="K93" i="7945" s="1"/>
  <c r="F103" i="7945"/>
  <c r="L13" i="7946" s="1"/>
  <c r="H265" i="7947" s="1"/>
  <c r="J265" i="7947" s="1"/>
  <c r="I727" i="18"/>
  <c r="M162" i="7944"/>
  <c r="M71" i="7944" s="1"/>
  <c r="L71" i="7944"/>
  <c r="H233" i="7941"/>
  <c r="I540" i="18"/>
  <c r="L14" i="7944"/>
  <c r="K71" i="7944"/>
  <c r="I7" i="7941"/>
  <c r="P166" i="18"/>
  <c r="O962" i="18"/>
  <c r="O702" i="18"/>
  <c r="O695" i="18" s="1"/>
  <c r="O75" i="18"/>
  <c r="I994" i="18"/>
  <c r="I761" i="18"/>
  <c r="H682" i="7941"/>
  <c r="I498" i="7941"/>
  <c r="H523" i="7941"/>
  <c r="J103" i="7945"/>
  <c r="N702" i="18"/>
  <c r="N695" i="18" s="1"/>
  <c r="N962" i="18"/>
  <c r="N955" i="18" s="1"/>
  <c r="N75" i="18"/>
  <c r="M152" i="7944"/>
  <c r="N152" i="7944" s="1"/>
  <c r="O152" i="7944" s="1"/>
  <c r="P152" i="7944" s="1"/>
  <c r="Q152" i="7944" s="1"/>
  <c r="N162" i="7944" l="1"/>
  <c r="N71" i="7944" s="1"/>
  <c r="C265" i="7947"/>
  <c r="E265" i="7947" s="1"/>
  <c r="E276" i="7947" s="1"/>
  <c r="I987" i="18"/>
  <c r="I832" i="18"/>
  <c r="O955" i="18"/>
  <c r="K103" i="7945"/>
  <c r="O13" i="7946" s="1"/>
  <c r="H675" i="7941"/>
  <c r="I78" i="7941"/>
  <c r="I533" i="18"/>
  <c r="J476" i="18"/>
  <c r="I491" i="7941"/>
  <c r="Q166" i="18"/>
  <c r="P962" i="18"/>
  <c r="P955" i="18" s="1"/>
  <c r="P702" i="18"/>
  <c r="P695" i="18" s="1"/>
  <c r="P75" i="18"/>
  <c r="M14" i="7944"/>
  <c r="L7" i="7944"/>
  <c r="O162" i="7944"/>
  <c r="N13" i="7946" l="1"/>
  <c r="N37" i="7946" s="1"/>
  <c r="M7" i="7944"/>
  <c r="P162" i="7944"/>
  <c r="O71" i="7944"/>
  <c r="N14" i="7944"/>
  <c r="Q702" i="18"/>
  <c r="Q695" i="18" s="1"/>
  <c r="Q962" i="18"/>
  <c r="Q955" i="18" s="1"/>
  <c r="Q75" i="18"/>
  <c r="I71" i="7941"/>
  <c r="J14" i="7941"/>
  <c r="I240" i="7941"/>
  <c r="J734" i="18"/>
  <c r="J469" i="18"/>
  <c r="I562" i="7941"/>
  <c r="I825" i="18"/>
  <c r="J768" i="18"/>
  <c r="J727" i="18" l="1"/>
  <c r="J540" i="18"/>
  <c r="J994" i="18"/>
  <c r="J761" i="18"/>
  <c r="I233" i="7941"/>
  <c r="O14" i="7944"/>
  <c r="N7" i="7944"/>
  <c r="J7" i="7941"/>
  <c r="I555" i="7941"/>
  <c r="J498" i="7941"/>
  <c r="I682" i="7941"/>
  <c r="Q162" i="7944"/>
  <c r="Q71" i="7944" s="1"/>
  <c r="P71" i="7944"/>
  <c r="J491" i="7941" l="1"/>
  <c r="J987" i="18"/>
  <c r="J832" i="18"/>
  <c r="J78" i="7941"/>
  <c r="J533" i="18"/>
  <c r="K476" i="18"/>
  <c r="I675" i="7941"/>
  <c r="P14" i="7944"/>
  <c r="P7" i="7944" s="1"/>
  <c r="O7" i="7944"/>
  <c r="Q14" i="7944" l="1"/>
  <c r="R14" i="7944" s="1"/>
  <c r="R7" i="7944" s="1"/>
  <c r="Q7" i="7944"/>
  <c r="J562" i="7941"/>
  <c r="J825" i="18"/>
  <c r="K768" i="18"/>
  <c r="J71" i="7941"/>
  <c r="J240" i="7941"/>
  <c r="K14" i="7941"/>
  <c r="K734" i="18"/>
  <c r="K469" i="18"/>
  <c r="J555" i="7941" l="1"/>
  <c r="K498" i="7941"/>
  <c r="J682" i="7941"/>
  <c r="K7" i="7941"/>
  <c r="K727" i="18"/>
  <c r="K540" i="18"/>
  <c r="J233" i="7941"/>
  <c r="K994" i="18"/>
  <c r="K761" i="18"/>
  <c r="K987" i="18" l="1"/>
  <c r="K832" i="18"/>
  <c r="K491" i="7941"/>
  <c r="K78" i="7941"/>
  <c r="K533" i="18"/>
  <c r="L476" i="18"/>
  <c r="J675" i="7941"/>
  <c r="K71" i="7941" l="1"/>
  <c r="K240" i="7941"/>
  <c r="L14" i="7941"/>
  <c r="K562" i="7941"/>
  <c r="K825" i="18"/>
  <c r="L768" i="18"/>
  <c r="L734" i="18"/>
  <c r="L469" i="18"/>
  <c r="L994" i="18" l="1"/>
  <c r="L761" i="18"/>
  <c r="K233" i="7941"/>
  <c r="K555" i="7941"/>
  <c r="L498" i="7941"/>
  <c r="K682" i="7941"/>
  <c r="L727" i="18"/>
  <c r="L540" i="18"/>
  <c r="M734" i="18"/>
  <c r="L7" i="7941"/>
  <c r="M14" i="7941"/>
  <c r="K675" i="7941" l="1"/>
  <c r="N14" i="7941"/>
  <c r="M7" i="7941"/>
  <c r="M540" i="18"/>
  <c r="M727" i="18"/>
  <c r="N734" i="18"/>
  <c r="L491" i="7941"/>
  <c r="M498" i="7941"/>
  <c r="L78" i="7941"/>
  <c r="L533" i="18"/>
  <c r="M476" i="18"/>
  <c r="L987" i="18"/>
  <c r="L832" i="18"/>
  <c r="M994" i="18"/>
  <c r="N994" i="18" s="1"/>
  <c r="M832" i="18" l="1"/>
  <c r="M987" i="18"/>
  <c r="L562" i="7941"/>
  <c r="L825" i="18"/>
  <c r="M768" i="18"/>
  <c r="M469" i="18"/>
  <c r="N476" i="18"/>
  <c r="N498" i="7941"/>
  <c r="M491" i="7941"/>
  <c r="M78" i="7941"/>
  <c r="M71" i="7941" s="1"/>
  <c r="M533" i="18"/>
  <c r="L240" i="7941"/>
  <c r="L71" i="7941"/>
  <c r="N832" i="18"/>
  <c r="N987" i="18"/>
  <c r="O994" i="18"/>
  <c r="N540" i="18"/>
  <c r="N727" i="18"/>
  <c r="O734" i="18"/>
  <c r="O14" i="7941"/>
  <c r="N7" i="7941"/>
  <c r="M761" i="18" l="1"/>
  <c r="N768" i="18"/>
  <c r="N761" i="18" s="1"/>
  <c r="N78" i="7941"/>
  <c r="N71" i="7941" s="1"/>
  <c r="N533" i="18"/>
  <c r="P994" i="18"/>
  <c r="O987" i="18"/>
  <c r="O832" i="18"/>
  <c r="O498" i="7941"/>
  <c r="N491" i="7941"/>
  <c r="P14" i="7941"/>
  <c r="O7" i="7941"/>
  <c r="N562" i="7941"/>
  <c r="N555" i="7941" s="1"/>
  <c r="N825" i="18"/>
  <c r="L233" i="7941"/>
  <c r="M240" i="7941"/>
  <c r="M562" i="7941"/>
  <c r="M555" i="7941" s="1"/>
  <c r="M825" i="18"/>
  <c r="O540" i="18"/>
  <c r="O727" i="18"/>
  <c r="P734" i="18"/>
  <c r="O476" i="18"/>
  <c r="N469" i="18"/>
  <c r="L682" i="7941"/>
  <c r="L555" i="7941"/>
  <c r="O768" i="18" l="1"/>
  <c r="O761" i="18" s="1"/>
  <c r="O78" i="7941"/>
  <c r="O71" i="7941" s="1"/>
  <c r="O533" i="18"/>
  <c r="P832" i="18"/>
  <c r="P987" i="18"/>
  <c r="Q994" i="18"/>
  <c r="L675" i="7941"/>
  <c r="M682" i="7941"/>
  <c r="P540" i="18"/>
  <c r="P727" i="18"/>
  <c r="Q734" i="18"/>
  <c r="O562" i="7941"/>
  <c r="O555" i="7941" s="1"/>
  <c r="O825" i="18"/>
  <c r="P476" i="18"/>
  <c r="O469" i="18"/>
  <c r="N240" i="7941"/>
  <c r="M233" i="7941"/>
  <c r="L289" i="7941" s="1"/>
  <c r="Q14" i="7941"/>
  <c r="Q7" i="7941" s="1"/>
  <c r="P7" i="7941"/>
  <c r="P498" i="7941"/>
  <c r="O491" i="7941"/>
  <c r="P768" i="18" l="1"/>
  <c r="P761" i="18" s="1"/>
  <c r="L330" i="7941"/>
  <c r="Q498" i="7941"/>
  <c r="Q491" i="7941" s="1"/>
  <c r="P491" i="7941"/>
  <c r="Q476" i="18"/>
  <c r="P469" i="18"/>
  <c r="N682" i="7941"/>
  <c r="M675" i="7941"/>
  <c r="L726" i="7941" s="1"/>
  <c r="Q832" i="18"/>
  <c r="Q987" i="18"/>
  <c r="L345" i="7941"/>
  <c r="L358" i="7941"/>
  <c r="L268" i="7941"/>
  <c r="L279" i="7941"/>
  <c r="L269" i="7941"/>
  <c r="L276" i="7941"/>
  <c r="L271" i="7941"/>
  <c r="L351" i="7941"/>
  <c r="L284" i="7941"/>
  <c r="L336" i="7941"/>
  <c r="L341" i="7941"/>
  <c r="L332" i="7941"/>
  <c r="L285" i="7941"/>
  <c r="L359" i="7941"/>
  <c r="L266" i="7941"/>
  <c r="L350" i="7941"/>
  <c r="L278" i="7941"/>
  <c r="L343" i="7941"/>
  <c r="L274" i="7941"/>
  <c r="L291" i="7941"/>
  <c r="L286" i="7941"/>
  <c r="L335" i="7941"/>
  <c r="O240" i="7941"/>
  <c r="N233" i="7941"/>
  <c r="P562" i="7941"/>
  <c r="P555" i="7941" s="1"/>
  <c r="P825" i="18"/>
  <c r="L267" i="7941"/>
  <c r="L280" i="7941"/>
  <c r="L353" i="7941"/>
  <c r="L288" i="7941"/>
  <c r="L356" i="7941"/>
  <c r="L340" i="7941"/>
  <c r="L347" i="7941"/>
  <c r="L352" i="7941"/>
  <c r="L334" i="7941"/>
  <c r="L293" i="7941"/>
  <c r="L270" i="7941"/>
  <c r="L337" i="7941"/>
  <c r="L342" i="7941"/>
  <c r="L277" i="7941"/>
  <c r="L447" i="7941"/>
  <c r="L454" i="7941"/>
  <c r="M423" i="7941"/>
  <c r="M418" i="7941"/>
  <c r="M420" i="7941"/>
  <c r="L370" i="7941"/>
  <c r="M410" i="7941"/>
  <c r="M408" i="7941"/>
  <c r="L381" i="7941"/>
  <c r="L384" i="7941"/>
  <c r="M343" i="7941"/>
  <c r="M272" i="7941"/>
  <c r="M294" i="7941"/>
  <c r="M399" i="7941"/>
  <c r="L303" i="7941"/>
  <c r="M273" i="7941"/>
  <c r="L378" i="7941"/>
  <c r="L431" i="7941"/>
  <c r="M288" i="7941"/>
  <c r="M276" i="7941"/>
  <c r="M286" i="7941"/>
  <c r="L364" i="7941"/>
  <c r="L376" i="7941"/>
  <c r="M334" i="7941"/>
  <c r="L322" i="7941"/>
  <c r="L321" i="7941"/>
  <c r="M349" i="7941"/>
  <c r="L434" i="7941"/>
  <c r="L383" i="7941"/>
  <c r="M335" i="7941"/>
  <c r="M356" i="7941"/>
  <c r="L320" i="7941"/>
  <c r="L374" i="7941"/>
  <c r="L390" i="7941"/>
  <c r="M354" i="7941"/>
  <c r="M340" i="7941"/>
  <c r="M283" i="7941"/>
  <c r="M293" i="7941"/>
  <c r="M331" i="7941"/>
  <c r="L389" i="7941"/>
  <c r="L311" i="7941"/>
  <c r="L324" i="7941"/>
  <c r="M412" i="7941"/>
  <c r="M278" i="7941"/>
  <c r="L309" i="7941"/>
  <c r="L455" i="7941"/>
  <c r="M421" i="7941"/>
  <c r="M396" i="7941"/>
  <c r="M405" i="7941"/>
  <c r="M266" i="7941"/>
  <c r="L326" i="7941"/>
  <c r="M282" i="7941"/>
  <c r="L438" i="7941"/>
  <c r="L450" i="7941"/>
  <c r="L453" i="7941"/>
  <c r="M419" i="7941"/>
  <c r="M414" i="7941"/>
  <c r="M416" i="7941"/>
  <c r="M350" i="7941"/>
  <c r="L432" i="7941"/>
  <c r="L386" i="7941"/>
  <c r="M274" i="7941"/>
  <c r="L371" i="7941"/>
  <c r="M404" i="7941"/>
  <c r="L427" i="7941"/>
  <c r="L437" i="7941"/>
  <c r="L325" i="7941"/>
  <c r="L298" i="7941"/>
  <c r="M394" i="7941"/>
  <c r="M287" i="7941"/>
  <c r="M397" i="7941"/>
  <c r="L391" i="7941"/>
  <c r="M333" i="7941"/>
  <c r="L428" i="7941"/>
  <c r="M359" i="7941"/>
  <c r="M269" i="7941"/>
  <c r="M406" i="7941"/>
  <c r="L302" i="7941"/>
  <c r="L310" i="7941"/>
  <c r="M413" i="7941"/>
  <c r="M271" i="7941"/>
  <c r="M279" i="7941"/>
  <c r="L388" i="7941"/>
  <c r="L305" i="7941"/>
  <c r="L443" i="7941"/>
  <c r="M332" i="7941"/>
  <c r="M267" i="7941"/>
  <c r="L373" i="7941"/>
  <c r="M400" i="7941"/>
  <c r="M277" i="7941"/>
  <c r="M336" i="7941"/>
  <c r="L444" i="7941"/>
  <c r="L372" i="7941"/>
  <c r="L304" i="7941"/>
  <c r="L319" i="7941"/>
  <c r="M281" i="7941"/>
  <c r="L377" i="7941"/>
  <c r="L314" i="7941"/>
  <c r="L448" i="7941"/>
  <c r="M285" i="7941"/>
  <c r="L306" i="7941"/>
  <c r="M290" i="7941"/>
  <c r="L451" i="7941"/>
  <c r="L449" i="7941"/>
  <c r="L452" i="7941"/>
  <c r="M422" i="7941"/>
  <c r="M417" i="7941"/>
  <c r="L369" i="7941"/>
  <c r="M398" i="7941"/>
  <c r="M344" i="7941"/>
  <c r="M292" i="7941"/>
  <c r="M407" i="7941"/>
  <c r="M338" i="7941"/>
  <c r="L430" i="7941"/>
  <c r="L440" i="7941"/>
  <c r="M341" i="7941"/>
  <c r="L307" i="7941"/>
  <c r="L300" i="7941"/>
  <c r="M401" i="7941"/>
  <c r="L365" i="7941"/>
  <c r="L366" i="7941"/>
  <c r="M402" i="7941"/>
  <c r="L368" i="7941"/>
  <c r="L439" i="7941"/>
  <c r="M358" i="7941"/>
  <c r="M284" i="7941"/>
  <c r="L327" i="7941"/>
  <c r="L299" i="7941"/>
  <c r="M403" i="7941"/>
  <c r="L435" i="7941"/>
  <c r="M270" i="7941"/>
  <c r="L441" i="7941"/>
  <c r="M348" i="7941"/>
  <c r="L312" i="7941"/>
  <c r="L429" i="7941"/>
  <c r="M345" i="7941"/>
  <c r="M346" i="7941"/>
  <c r="L442" i="7941"/>
  <c r="L382" i="7941"/>
  <c r="M280" i="7941"/>
  <c r="L363" i="7941"/>
  <c r="M351" i="7941"/>
  <c r="L313" i="7941"/>
  <c r="L317" i="7941"/>
  <c r="L387" i="7941"/>
  <c r="M330" i="7941"/>
  <c r="L308" i="7941"/>
  <c r="L446" i="7941"/>
  <c r="M415" i="7941"/>
  <c r="L385" i="7941"/>
  <c r="L379" i="7941"/>
  <c r="M357" i="7941"/>
  <c r="L367" i="7941"/>
  <c r="M352" i="7941"/>
  <c r="L433" i="7941"/>
  <c r="M342" i="7941"/>
  <c r="M347" i="7941"/>
  <c r="L316" i="7941"/>
  <c r="L380" i="7941"/>
  <c r="M291" i="7941"/>
  <c r="M268" i="7941"/>
  <c r="M355" i="7941"/>
  <c r="L301" i="7941"/>
  <c r="L436" i="7941"/>
  <c r="L426" i="7941"/>
  <c r="M295" i="7941"/>
  <c r="M337" i="7941"/>
  <c r="M275" i="7941"/>
  <c r="M395" i="7941"/>
  <c r="L318" i="7941"/>
  <c r="M409" i="7941"/>
  <c r="L445" i="7941"/>
  <c r="M411" i="7941"/>
  <c r="M339" i="7941"/>
  <c r="M289" i="7941"/>
  <c r="L375" i="7941"/>
  <c r="M353" i="7941"/>
  <c r="L315" i="7941"/>
  <c r="L323" i="7941"/>
  <c r="L362" i="7941"/>
  <c r="P78" i="7941"/>
  <c r="P71" i="7941" s="1"/>
  <c r="P533" i="18"/>
  <c r="L290" i="7941"/>
  <c r="L348" i="7941"/>
  <c r="L349" i="7941"/>
  <c r="L333" i="7941"/>
  <c r="L344" i="7941"/>
  <c r="L346" i="7941"/>
  <c r="L295" i="7941"/>
  <c r="Q540" i="18"/>
  <c r="Q727" i="18"/>
  <c r="L287" i="7941"/>
  <c r="L283" i="7941"/>
  <c r="L331" i="7941"/>
  <c r="L273" i="7941"/>
  <c r="L272" i="7941"/>
  <c r="L357" i="7941"/>
  <c r="L339" i="7941"/>
  <c r="L355" i="7941"/>
  <c r="L282" i="7941"/>
  <c r="L281" i="7941"/>
  <c r="L275" i="7941"/>
  <c r="L338" i="7941"/>
  <c r="L294" i="7941"/>
  <c r="L292" i="7941"/>
  <c r="L354" i="7941"/>
  <c r="Q768" i="18"/>
  <c r="L474" i="7941" l="1"/>
  <c r="J23" i="7946" s="1"/>
  <c r="L480" i="7941"/>
  <c r="J29" i="7946" s="1"/>
  <c r="L479" i="7941"/>
  <c r="J28" i="7946" s="1"/>
  <c r="L467" i="7941"/>
  <c r="J16" i="7946" s="1"/>
  <c r="L458" i="7941"/>
  <c r="J7" i="7946" s="1"/>
  <c r="L463" i="7941"/>
  <c r="J12" i="7946" s="1"/>
  <c r="L466" i="7941"/>
  <c r="J15" i="7946" s="1"/>
  <c r="L468" i="7941"/>
  <c r="J17" i="7946" s="1"/>
  <c r="L722" i="7941"/>
  <c r="L725" i="7941"/>
  <c r="L465" i="7941"/>
  <c r="J14" i="7946" s="1"/>
  <c r="L483" i="7941"/>
  <c r="J32" i="7946" s="1"/>
  <c r="L724" i="7941"/>
  <c r="L484" i="7941"/>
  <c r="J33" i="7946" s="1"/>
  <c r="L473" i="7941"/>
  <c r="J22" i="7946" s="1"/>
  <c r="L475" i="7941"/>
  <c r="J24" i="7946" s="1"/>
  <c r="L461" i="7941"/>
  <c r="J10" i="7946" s="1"/>
  <c r="L486" i="7941"/>
  <c r="J35" i="7946" s="1"/>
  <c r="L472" i="7941"/>
  <c r="J21" i="7946" s="1"/>
  <c r="L482" i="7941"/>
  <c r="J31" i="7946" s="1"/>
  <c r="L361" i="7941"/>
  <c r="L477" i="7941"/>
  <c r="J26" i="7946" s="1"/>
  <c r="L459" i="7941"/>
  <c r="L469" i="7941"/>
  <c r="J18" i="7946" s="1"/>
  <c r="L487" i="7941"/>
  <c r="J36" i="7946" s="1"/>
  <c r="L485" i="7941"/>
  <c r="J34" i="7946" s="1"/>
  <c r="L462" i="7941"/>
  <c r="J11" i="7946" s="1"/>
  <c r="L481" i="7941"/>
  <c r="J30" i="7946" s="1"/>
  <c r="L478" i="7941"/>
  <c r="J27" i="7946" s="1"/>
  <c r="L470" i="7941"/>
  <c r="J19" i="7946" s="1"/>
  <c r="L728" i="7941"/>
  <c r="L734" i="7941"/>
  <c r="L460" i="7941"/>
  <c r="J9" i="7946" s="1"/>
  <c r="L471" i="7941"/>
  <c r="J20" i="7946" s="1"/>
  <c r="L714" i="7941"/>
  <c r="L719" i="7941"/>
  <c r="L464" i="7941"/>
  <c r="J13" i="7946" s="1"/>
  <c r="L476" i="7941"/>
  <c r="J25" i="7946" s="1"/>
  <c r="R768" i="18"/>
  <c r="R761" i="18" s="1"/>
  <c r="Q761" i="18"/>
  <c r="L425" i="7941"/>
  <c r="M393" i="7941"/>
  <c r="M443" i="7941"/>
  <c r="M427" i="7941"/>
  <c r="M441" i="7941"/>
  <c r="M454" i="7941"/>
  <c r="M446" i="7941"/>
  <c r="M437" i="7941"/>
  <c r="M434" i="7941"/>
  <c r="N273" i="7941"/>
  <c r="M387" i="7941"/>
  <c r="N330" i="7941"/>
  <c r="N275" i="7941"/>
  <c r="M378" i="7941"/>
  <c r="M809" i="7941"/>
  <c r="M370" i="7941"/>
  <c r="M318" i="7941"/>
  <c r="M324" i="7941"/>
  <c r="N342" i="7941"/>
  <c r="M389" i="7941"/>
  <c r="M303" i="7941"/>
  <c r="N347" i="7941"/>
  <c r="M375" i="7941"/>
  <c r="N288" i="7941"/>
  <c r="N274" i="7941"/>
  <c r="M379" i="7941"/>
  <c r="N338" i="7941"/>
  <c r="N282" i="7941"/>
  <c r="M307" i="7941"/>
  <c r="M323" i="7941"/>
  <c r="N294" i="7941"/>
  <c r="N272" i="7941"/>
  <c r="M808" i="7941"/>
  <c r="N339" i="7941"/>
  <c r="M794" i="7941"/>
  <c r="M377" i="7941"/>
  <c r="N279" i="7941"/>
  <c r="N344" i="7941"/>
  <c r="N284" i="7941"/>
  <c r="M455" i="7941"/>
  <c r="M439" i="7941"/>
  <c r="M453" i="7941"/>
  <c r="M436" i="7941"/>
  <c r="M452" i="7941"/>
  <c r="M444" i="7941"/>
  <c r="M433" i="7941"/>
  <c r="M430" i="7941"/>
  <c r="M805" i="7941"/>
  <c r="M367" i="7941"/>
  <c r="M368" i="7941"/>
  <c r="M811" i="7941"/>
  <c r="M813" i="7941"/>
  <c r="N276" i="7941"/>
  <c r="M807" i="7941"/>
  <c r="M327" i="7941"/>
  <c r="M319" i="7941"/>
  <c r="M800" i="7941"/>
  <c r="M806" i="7941"/>
  <c r="M301" i="7941"/>
  <c r="M384" i="7941"/>
  <c r="M364" i="7941"/>
  <c r="M797" i="7941"/>
  <c r="N266" i="7941"/>
  <c r="M362" i="7941"/>
  <c r="N292" i="7941"/>
  <c r="N358" i="7941"/>
  <c r="M311" i="7941"/>
  <c r="M391" i="7941"/>
  <c r="M796" i="7941"/>
  <c r="N341" i="7941"/>
  <c r="M304" i="7941"/>
  <c r="M447" i="7941"/>
  <c r="M431" i="7941"/>
  <c r="M445" i="7941"/>
  <c r="M428" i="7941"/>
  <c r="M448" i="7941"/>
  <c r="M440" i="7941"/>
  <c r="M438" i="7941"/>
  <c r="N283" i="7941"/>
  <c r="M372" i="7941"/>
  <c r="N334" i="7941"/>
  <c r="M373" i="7941"/>
  <c r="N352" i="7941"/>
  <c r="N293" i="7941"/>
  <c r="M799" i="7941"/>
  <c r="M314" i="7941"/>
  <c r="M310" i="7941"/>
  <c r="M803" i="7941"/>
  <c r="N353" i="7941"/>
  <c r="M802" i="7941"/>
  <c r="N290" i="7941"/>
  <c r="N277" i="7941"/>
  <c r="M376" i="7941"/>
  <c r="M798" i="7941"/>
  <c r="N345" i="7941"/>
  <c r="N286" i="7941"/>
  <c r="M308" i="7941"/>
  <c r="M309" i="7941"/>
  <c r="N271" i="7941"/>
  <c r="N289" i="7941"/>
  <c r="N270" i="7941"/>
  <c r="M302" i="7941"/>
  <c r="N331" i="7941"/>
  <c r="M451" i="7941"/>
  <c r="M450" i="7941"/>
  <c r="N333" i="7941"/>
  <c r="M365" i="7941"/>
  <c r="M385" i="7941"/>
  <c r="N336" i="7941"/>
  <c r="M795" i="7941"/>
  <c r="N343" i="7941"/>
  <c r="M390" i="7941"/>
  <c r="N280" i="7941"/>
  <c r="N281" i="7941"/>
  <c r="N267" i="7941"/>
  <c r="N351" i="7941"/>
  <c r="M325" i="7941"/>
  <c r="M316" i="7941"/>
  <c r="N287" i="7941"/>
  <c r="M814" i="7941"/>
  <c r="M300" i="7941"/>
  <c r="M429" i="7941"/>
  <c r="N346" i="7941"/>
  <c r="N354" i="7941"/>
  <c r="M317" i="7941"/>
  <c r="N278" i="7941"/>
  <c r="N350" i="7941"/>
  <c r="M306" i="7941"/>
  <c r="M322" i="7941"/>
  <c r="M435" i="7941"/>
  <c r="M442" i="7941"/>
  <c r="N359" i="7941"/>
  <c r="M812" i="7941"/>
  <c r="N295" i="7941"/>
  <c r="N337" i="7941"/>
  <c r="M313" i="7941"/>
  <c r="N332" i="7941"/>
  <c r="M386" i="7941"/>
  <c r="N340" i="7941"/>
  <c r="M380" i="7941"/>
  <c r="M381" i="7941"/>
  <c r="N357" i="7941"/>
  <c r="M326" i="7941"/>
  <c r="M320" i="7941"/>
  <c r="M480" i="7941" s="1"/>
  <c r="M382" i="7941"/>
  <c r="N349" i="7941"/>
  <c r="M449" i="7941"/>
  <c r="N268" i="7941"/>
  <c r="M804" i="7941"/>
  <c r="N348" i="7941"/>
  <c r="M363" i="7941"/>
  <c r="M432" i="7941"/>
  <c r="M426" i="7941"/>
  <c r="M801" i="7941"/>
  <c r="N269" i="7941"/>
  <c r="M315" i="7941"/>
  <c r="M383" i="7941"/>
  <c r="N356" i="7941"/>
  <c r="M371" i="7941"/>
  <c r="M369" i="7941"/>
  <c r="M810" i="7941"/>
  <c r="N335" i="7941"/>
  <c r="M374" i="7941"/>
  <c r="M366" i="7941"/>
  <c r="M388" i="7941"/>
  <c r="M298" i="7941"/>
  <c r="N285" i="7941"/>
  <c r="N291" i="7941"/>
  <c r="M312" i="7941"/>
  <c r="M472" i="7941" s="1"/>
  <c r="M321" i="7941"/>
  <c r="M299" i="7941"/>
  <c r="N355" i="7941"/>
  <c r="M305" i="7941"/>
  <c r="O682" i="7941"/>
  <c r="N675" i="7941"/>
  <c r="L712" i="7941"/>
  <c r="L731" i="7941"/>
  <c r="L715" i="7941"/>
  <c r="L713" i="7941"/>
  <c r="L721" i="7941"/>
  <c r="L710" i="7941"/>
  <c r="L708" i="7941"/>
  <c r="L297" i="7941"/>
  <c r="P240" i="7941"/>
  <c r="O233" i="7941"/>
  <c r="L329" i="7941"/>
  <c r="L265" i="7941"/>
  <c r="Q562" i="7941"/>
  <c r="Q555" i="7941" s="1"/>
  <c r="Q825" i="18"/>
  <c r="L727" i="7941"/>
  <c r="L723" i="7941"/>
  <c r="L736" i="7941"/>
  <c r="L720" i="7941"/>
  <c r="L717" i="7941"/>
  <c r="L716" i="7941"/>
  <c r="L718" i="7941"/>
  <c r="Q78" i="7941"/>
  <c r="Q71" i="7941" s="1"/>
  <c r="Q533" i="18"/>
  <c r="M329" i="7941"/>
  <c r="M265" i="7941"/>
  <c r="M725" i="7941"/>
  <c r="M710" i="7941"/>
  <c r="L768" i="7941"/>
  <c r="L742" i="7941"/>
  <c r="M733" i="7941"/>
  <c r="M724" i="7941"/>
  <c r="L751" i="7941"/>
  <c r="M713" i="7941"/>
  <c r="L753" i="7941"/>
  <c r="M714" i="7941"/>
  <c r="M717" i="7941"/>
  <c r="L767" i="7941"/>
  <c r="L758" i="7941"/>
  <c r="M736" i="7941"/>
  <c r="L743" i="7941"/>
  <c r="M712" i="7941"/>
  <c r="L764" i="7941"/>
  <c r="M735" i="7941"/>
  <c r="L761" i="7941"/>
  <c r="M728" i="7941"/>
  <c r="L756" i="7941"/>
  <c r="M720" i="7941"/>
  <c r="M722" i="7941"/>
  <c r="L765" i="7941"/>
  <c r="M716" i="7941"/>
  <c r="M732" i="7941"/>
  <c r="L750" i="7941"/>
  <c r="L745" i="7941"/>
  <c r="M729" i="7941"/>
  <c r="L766" i="7941"/>
  <c r="M726" i="7941"/>
  <c r="M734" i="7941"/>
  <c r="L744" i="7941"/>
  <c r="L763" i="7941"/>
  <c r="M715" i="7941"/>
  <c r="L752" i="7941"/>
  <c r="M727" i="7941"/>
  <c r="M709" i="7941"/>
  <c r="M719" i="7941"/>
  <c r="M711" i="7941"/>
  <c r="M723" i="7941"/>
  <c r="L749" i="7941"/>
  <c r="L826" i="7941" s="1"/>
  <c r="K16" i="7946" s="1"/>
  <c r="L748" i="7941"/>
  <c r="M731" i="7941"/>
  <c r="M721" i="7941"/>
  <c r="L747" i="7941"/>
  <c r="L824" i="7941" s="1"/>
  <c r="K14" i="7946" s="1"/>
  <c r="L757" i="7941"/>
  <c r="L755" i="7941"/>
  <c r="L762" i="7941"/>
  <c r="M730" i="7941"/>
  <c r="L760" i="7941"/>
  <c r="L746" i="7941"/>
  <c r="M737" i="7941"/>
  <c r="L740" i="7941"/>
  <c r="M718" i="7941"/>
  <c r="L759" i="7941"/>
  <c r="L769" i="7941"/>
  <c r="L754" i="7941"/>
  <c r="L831" i="7941" s="1"/>
  <c r="L741" i="7941"/>
  <c r="M708" i="7941"/>
  <c r="L833" i="7941"/>
  <c r="L835" i="7941"/>
  <c r="R476" i="18"/>
  <c r="R469" i="18" s="1"/>
  <c r="Q469" i="18"/>
  <c r="L733" i="7941"/>
  <c r="L730" i="7941"/>
  <c r="L735" i="7941"/>
  <c r="L711" i="7941"/>
  <c r="L732" i="7941"/>
  <c r="L841" i="7941" s="1"/>
  <c r="L729" i="7941"/>
  <c r="L737" i="7941"/>
  <c r="L709" i="7941"/>
  <c r="L846" i="7941" l="1"/>
  <c r="L834" i="7941"/>
  <c r="L817" i="7941"/>
  <c r="K7" i="7946" s="1"/>
  <c r="L823" i="7941"/>
  <c r="K13" i="7946" s="1"/>
  <c r="L839" i="7941"/>
  <c r="L830" i="7941"/>
  <c r="K20" i="7946" s="1"/>
  <c r="L821" i="7941"/>
  <c r="K11" i="7946" s="1"/>
  <c r="M470" i="7941"/>
  <c r="L819" i="7941"/>
  <c r="K9" i="7946" s="1"/>
  <c r="L457" i="7941"/>
  <c r="L832" i="7941"/>
  <c r="M487" i="7941"/>
  <c r="M481" i="7941"/>
  <c r="M469" i="7941"/>
  <c r="M474" i="7941"/>
  <c r="M486" i="7941"/>
  <c r="M459" i="7941"/>
  <c r="M479" i="7941"/>
  <c r="M460" i="7941"/>
  <c r="M468" i="7941"/>
  <c r="M471" i="7941"/>
  <c r="L837" i="7941"/>
  <c r="L838" i="7941"/>
  <c r="L845" i="7941"/>
  <c r="M477" i="7941"/>
  <c r="M463" i="7941"/>
  <c r="B236" i="7947"/>
  <c r="C236" i="7947" s="1"/>
  <c r="D271" i="7947" s="1"/>
  <c r="L840" i="7941"/>
  <c r="B235" i="7947"/>
  <c r="C235" i="7947" s="1"/>
  <c r="L822" i="7941"/>
  <c r="K12" i="7946" s="1"/>
  <c r="M473" i="7941"/>
  <c r="M466" i="7941"/>
  <c r="J8" i="7946"/>
  <c r="J37" i="7946" s="1"/>
  <c r="L827" i="7941"/>
  <c r="K17" i="7946" s="1"/>
  <c r="M458" i="7941"/>
  <c r="M478" i="7941"/>
  <c r="L844" i="7941"/>
  <c r="L828" i="7941"/>
  <c r="K18" i="7946" s="1"/>
  <c r="L843" i="7941"/>
  <c r="L818" i="7941"/>
  <c r="K8" i="7946" s="1"/>
  <c r="L820" i="7941"/>
  <c r="K10" i="7946" s="1"/>
  <c r="L829" i="7941"/>
  <c r="K19" i="7946" s="1"/>
  <c r="M297" i="7941"/>
  <c r="M482" i="7941"/>
  <c r="M476" i="7941"/>
  <c r="M462" i="7941"/>
  <c r="M464" i="7941"/>
  <c r="M465" i="7941"/>
  <c r="M485" i="7941"/>
  <c r="M483" i="7941"/>
  <c r="M475" i="7941"/>
  <c r="M484" i="7941"/>
  <c r="L825" i="7941"/>
  <c r="K15" i="7946" s="1"/>
  <c r="L842" i="7941"/>
  <c r="L836" i="7941"/>
  <c r="M467" i="7941"/>
  <c r="M461" i="7941"/>
  <c r="K32" i="7946"/>
  <c r="K27" i="7946"/>
  <c r="K25" i="7946"/>
  <c r="K23" i="7946"/>
  <c r="K31" i="7946"/>
  <c r="K22" i="7946"/>
  <c r="K29" i="7946"/>
  <c r="K35" i="7946"/>
  <c r="K33" i="7946"/>
  <c r="K30" i="7946"/>
  <c r="K24" i="7946"/>
  <c r="K21" i="7946"/>
  <c r="K34" i="7946"/>
  <c r="K26" i="7946"/>
  <c r="K36" i="7946"/>
  <c r="K28" i="7946"/>
  <c r="Q240" i="7941"/>
  <c r="P233" i="7941"/>
  <c r="M707" i="7941"/>
  <c r="N446" i="7941"/>
  <c r="N430" i="7941"/>
  <c r="N449" i="7941"/>
  <c r="N441" i="7941"/>
  <c r="N447" i="7941"/>
  <c r="N435" i="7941"/>
  <c r="N427" i="7941"/>
  <c r="N372" i="7941"/>
  <c r="N367" i="7941"/>
  <c r="O294" i="7941"/>
  <c r="O343" i="7941"/>
  <c r="O344" i="7941"/>
  <c r="O287" i="7941"/>
  <c r="N301" i="7941"/>
  <c r="N310" i="7941"/>
  <c r="O277" i="7941"/>
  <c r="O358" i="7941"/>
  <c r="O335" i="7941"/>
  <c r="N365" i="7941"/>
  <c r="N391" i="7941"/>
  <c r="O342" i="7941"/>
  <c r="N309" i="7941"/>
  <c r="N323" i="7941"/>
  <c r="N376" i="7941"/>
  <c r="N385" i="7941"/>
  <c r="O283" i="7941"/>
  <c r="N318" i="7941"/>
  <c r="O356" i="7941"/>
  <c r="N389" i="7941"/>
  <c r="O268" i="7941"/>
  <c r="O293" i="7941"/>
  <c r="O331" i="7941"/>
  <c r="N378" i="7941"/>
  <c r="N312" i="7941"/>
  <c r="N314" i="7941"/>
  <c r="O354" i="7941"/>
  <c r="N313" i="7941"/>
  <c r="N438" i="7941"/>
  <c r="N445" i="7941"/>
  <c r="N439" i="7941"/>
  <c r="N433" i="7941"/>
  <c r="N442" i="7941"/>
  <c r="N426" i="7941"/>
  <c r="N448" i="7941"/>
  <c r="N440" i="7941"/>
  <c r="N443" i="7941"/>
  <c r="N432" i="7941"/>
  <c r="N437" i="7941"/>
  <c r="O351" i="7941"/>
  <c r="O278" i="7941"/>
  <c r="O338" i="7941"/>
  <c r="O332" i="7941"/>
  <c r="O273" i="7941"/>
  <c r="N322" i="7941"/>
  <c r="N325" i="7941"/>
  <c r="O353" i="7941"/>
  <c r="N375" i="7941"/>
  <c r="N366" i="7941"/>
  <c r="O291" i="7941"/>
  <c r="O345" i="7941"/>
  <c r="O348" i="7941"/>
  <c r="O267" i="7941"/>
  <c r="N311" i="7941"/>
  <c r="N368" i="7941"/>
  <c r="N382" i="7941"/>
  <c r="N370" i="7941"/>
  <c r="N379" i="7941"/>
  <c r="N308" i="7941"/>
  <c r="O334" i="7941"/>
  <c r="O284" i="7941"/>
  <c r="N369" i="7941"/>
  <c r="O333" i="7941"/>
  <c r="O288" i="7941"/>
  <c r="N374" i="7941"/>
  <c r="N316" i="7941"/>
  <c r="O295" i="7941"/>
  <c r="O271" i="7941"/>
  <c r="N306" i="7941"/>
  <c r="O289" i="7941"/>
  <c r="O340" i="7941"/>
  <c r="O281" i="7941"/>
  <c r="N327" i="7941"/>
  <c r="N304" i="7941"/>
  <c r="N362" i="7941"/>
  <c r="N450" i="7941"/>
  <c r="N434" i="7941"/>
  <c r="N452" i="7941"/>
  <c r="N444" i="7941"/>
  <c r="N451" i="7941"/>
  <c r="N436" i="7941"/>
  <c r="N428" i="7941"/>
  <c r="N429" i="7941"/>
  <c r="O270" i="7941"/>
  <c r="N388" i="7941"/>
  <c r="O279" i="7941"/>
  <c r="O330" i="7941"/>
  <c r="N387" i="7941"/>
  <c r="N386" i="7941"/>
  <c r="N299" i="7941"/>
  <c r="N315" i="7941"/>
  <c r="N390" i="7941"/>
  <c r="O349" i="7941"/>
  <c r="N363" i="7941"/>
  <c r="O352" i="7941"/>
  <c r="O337" i="7941"/>
  <c r="N384" i="7941"/>
  <c r="N298" i="7941"/>
  <c r="N319" i="7941"/>
  <c r="O266" i="7941"/>
  <c r="O285" i="7941"/>
  <c r="O357" i="7941"/>
  <c r="N307" i="7941"/>
  <c r="N320" i="7941"/>
  <c r="O336" i="7941"/>
  <c r="O359" i="7941"/>
  <c r="N364" i="7941"/>
  <c r="O290" i="7941"/>
  <c r="O350" i="7941"/>
  <c r="N321" i="7941"/>
  <c r="N302" i="7941"/>
  <c r="N383" i="7941"/>
  <c r="O286" i="7941"/>
  <c r="N454" i="7941"/>
  <c r="N453" i="7941"/>
  <c r="N455" i="7941"/>
  <c r="N431" i="7941"/>
  <c r="O347" i="7941"/>
  <c r="O280" i="7941"/>
  <c r="O346" i="7941"/>
  <c r="N317" i="7941"/>
  <c r="O341" i="7941"/>
  <c r="N377" i="7941"/>
  <c r="N326" i="7941"/>
  <c r="N380" i="7941"/>
  <c r="O339" i="7941"/>
  <c r="N305" i="7941"/>
  <c r="N324" i="7941"/>
  <c r="O355" i="7941"/>
  <c r="O274" i="7941"/>
  <c r="N300" i="7941"/>
  <c r="N373" i="7941"/>
  <c r="O292" i="7941"/>
  <c r="N303" i="7941"/>
  <c r="O275" i="7941"/>
  <c r="N381" i="7941"/>
  <c r="N371" i="7941"/>
  <c r="O276" i="7941"/>
  <c r="O272" i="7941"/>
  <c r="O282" i="7941"/>
  <c r="O269" i="7941"/>
  <c r="N466" i="7941"/>
  <c r="N265" i="7941"/>
  <c r="M793" i="7941"/>
  <c r="L739" i="7941"/>
  <c r="L707" i="7941"/>
  <c r="P682" i="7941"/>
  <c r="O675" i="7941"/>
  <c r="M425" i="7941"/>
  <c r="M779" i="7941"/>
  <c r="N709" i="7941"/>
  <c r="M788" i="7941"/>
  <c r="M747" i="7941"/>
  <c r="N728" i="7941"/>
  <c r="N729" i="7941"/>
  <c r="N710" i="7941"/>
  <c r="M763" i="7941"/>
  <c r="M840" i="7941" s="1"/>
  <c r="M789" i="7941"/>
  <c r="N718" i="7941"/>
  <c r="N726" i="7941"/>
  <c r="N737" i="7941"/>
  <c r="M760" i="7941"/>
  <c r="M837" i="7941" s="1"/>
  <c r="N717" i="7941"/>
  <c r="N714" i="7941"/>
  <c r="N719" i="7941"/>
  <c r="M777" i="7941"/>
  <c r="N731" i="7941"/>
  <c r="N730" i="7941"/>
  <c r="M761" i="7941"/>
  <c r="M838" i="7941" s="1"/>
  <c r="M772" i="7941"/>
  <c r="M773" i="7941"/>
  <c r="M743" i="7941"/>
  <c r="M752" i="7941"/>
  <c r="N711" i="7941"/>
  <c r="M765" i="7941"/>
  <c r="M842" i="7941" s="1"/>
  <c r="M757" i="7941"/>
  <c r="M768" i="7941"/>
  <c r="M845" i="7941" s="1"/>
  <c r="M780" i="7941"/>
  <c r="M744" i="7941"/>
  <c r="M742" i="7941"/>
  <c r="M775" i="7941"/>
  <c r="N723" i="7941"/>
  <c r="M766" i="7941"/>
  <c r="M843" i="7941" s="1"/>
  <c r="M782" i="7941"/>
  <c r="N720" i="7941"/>
  <c r="N721" i="7941"/>
  <c r="M756" i="7941"/>
  <c r="N715" i="7941"/>
  <c r="M767" i="7941"/>
  <c r="M844" i="7941" s="1"/>
  <c r="N734" i="7941"/>
  <c r="M784" i="7941"/>
  <c r="M783" i="7941"/>
  <c r="N732" i="7941"/>
  <c r="M751" i="7941"/>
  <c r="M753" i="7941"/>
  <c r="M748" i="7941"/>
  <c r="N708" i="7941"/>
  <c r="N736" i="7941"/>
  <c r="N735" i="7941"/>
  <c r="N716" i="7941"/>
  <c r="M741" i="7941"/>
  <c r="M758" i="7941"/>
  <c r="M740" i="7941"/>
  <c r="M778" i="7941"/>
  <c r="M750" i="7941"/>
  <c r="M745" i="7941"/>
  <c r="M822" i="7941" s="1"/>
  <c r="M774" i="7941"/>
  <c r="M785" i="7941"/>
  <c r="M790" i="7941"/>
  <c r="N713" i="7941"/>
  <c r="M786" i="7941"/>
  <c r="M776" i="7941"/>
  <c r="N724" i="7941"/>
  <c r="N712" i="7941"/>
  <c r="M762" i="7941"/>
  <c r="M839" i="7941" s="1"/>
  <c r="M769" i="7941"/>
  <c r="M846" i="7941" s="1"/>
  <c r="N725" i="7941"/>
  <c r="M749" i="7941"/>
  <c r="M764" i="7941"/>
  <c r="M841" i="7941" s="1"/>
  <c r="M781" i="7941"/>
  <c r="N733" i="7941"/>
  <c r="M746" i="7941"/>
  <c r="M787" i="7941"/>
  <c r="M791" i="7941"/>
  <c r="M754" i="7941"/>
  <c r="N727" i="7941"/>
  <c r="M759" i="7941"/>
  <c r="N722" i="7941"/>
  <c r="M755" i="7941"/>
  <c r="M361" i="7941"/>
  <c r="N329" i="7941"/>
  <c r="M827" i="7941" l="1"/>
  <c r="C243" i="7947"/>
  <c r="C244" i="7947" s="1"/>
  <c r="N473" i="7941"/>
  <c r="M832" i="7941"/>
  <c r="N463" i="7941"/>
  <c r="N481" i="7941"/>
  <c r="N459" i="7941"/>
  <c r="N471" i="7941"/>
  <c r="N477" i="7941"/>
  <c r="N474" i="7941"/>
  <c r="N478" i="7941"/>
  <c r="N483" i="7941"/>
  <c r="N470" i="7941"/>
  <c r="M824" i="7941"/>
  <c r="N482" i="7941"/>
  <c r="M825" i="7941"/>
  <c r="M834" i="7941"/>
  <c r="M820" i="7941"/>
  <c r="M833" i="7941"/>
  <c r="D270" i="7947"/>
  <c r="D279" i="7947" s="1"/>
  <c r="M835" i="7941"/>
  <c r="M457" i="7941"/>
  <c r="N462" i="7941"/>
  <c r="N467" i="7941"/>
  <c r="N479" i="7941"/>
  <c r="N465" i="7941"/>
  <c r="N485" i="7941"/>
  <c r="N475" i="7941"/>
  <c r="N461" i="7941"/>
  <c r="N476" i="7941"/>
  <c r="L816" i="7941"/>
  <c r="M836" i="7941"/>
  <c r="M831" i="7941"/>
  <c r="M819" i="7941"/>
  <c r="M830" i="7941"/>
  <c r="M829" i="7941"/>
  <c r="M821" i="7941"/>
  <c r="M818" i="7941"/>
  <c r="M823" i="7941"/>
  <c r="M826" i="7941"/>
  <c r="M828" i="7941"/>
  <c r="N486" i="7941"/>
  <c r="M739" i="7941"/>
  <c r="Q682" i="7941"/>
  <c r="Q675" i="7941" s="1"/>
  <c r="P675" i="7941"/>
  <c r="O736" i="7941"/>
  <c r="O709" i="7941"/>
  <c r="N764" i="7941"/>
  <c r="N841" i="7941" s="1"/>
  <c r="N745" i="7941"/>
  <c r="N822" i="7941" s="1"/>
  <c r="O724" i="7941"/>
  <c r="O725" i="7941"/>
  <c r="O720" i="7941"/>
  <c r="N754" i="7941"/>
  <c r="N831" i="7941" s="1"/>
  <c r="N756" i="7941"/>
  <c r="N833" i="7941" s="1"/>
  <c r="O726" i="7941"/>
  <c r="O708" i="7941"/>
  <c r="O715" i="7941"/>
  <c r="N769" i="7941"/>
  <c r="N846" i="7941" s="1"/>
  <c r="N761" i="7941"/>
  <c r="N838" i="7941" s="1"/>
  <c r="O717" i="7941"/>
  <c r="O711" i="7941"/>
  <c r="O728" i="7941"/>
  <c r="N751" i="7941"/>
  <c r="N828" i="7941" s="1"/>
  <c r="N744" i="7941"/>
  <c r="N821" i="7941" s="1"/>
  <c r="N755" i="7941"/>
  <c r="N832" i="7941" s="1"/>
  <c r="O737" i="7941"/>
  <c r="O722" i="7941"/>
  <c r="N741" i="7941"/>
  <c r="N818" i="7941" s="1"/>
  <c r="N762" i="7941"/>
  <c r="N839" i="7941" s="1"/>
  <c r="N768" i="7941"/>
  <c r="N845" i="7941" s="1"/>
  <c r="O735" i="7941"/>
  <c r="O718" i="7941"/>
  <c r="N758" i="7941"/>
  <c r="N835" i="7941" s="1"/>
  <c r="N748" i="7941"/>
  <c r="N825" i="7941" s="1"/>
  <c r="O716" i="7941"/>
  <c r="O731" i="7941"/>
  <c r="N749" i="7941"/>
  <c r="N826" i="7941" s="1"/>
  <c r="N750" i="7941"/>
  <c r="N827" i="7941" s="1"/>
  <c r="O734" i="7941"/>
  <c r="O713" i="7941"/>
  <c r="O729" i="7941"/>
  <c r="N747" i="7941"/>
  <c r="N824" i="7941" s="1"/>
  <c r="N759" i="7941"/>
  <c r="N836" i="7941" s="1"/>
  <c r="O727" i="7941"/>
  <c r="N757" i="7941"/>
  <c r="N834" i="7941" s="1"/>
  <c r="O714" i="7941"/>
  <c r="O732" i="7941"/>
  <c r="N767" i="7941"/>
  <c r="N844" i="7941" s="1"/>
  <c r="O721" i="7941"/>
  <c r="N766" i="7941"/>
  <c r="N843" i="7941" s="1"/>
  <c r="O723" i="7941"/>
  <c r="N742" i="7941"/>
  <c r="N819" i="7941" s="1"/>
  <c r="O730" i="7941"/>
  <c r="N743" i="7941"/>
  <c r="N820" i="7941" s="1"/>
  <c r="O719" i="7941"/>
  <c r="O712" i="7941"/>
  <c r="O733" i="7941"/>
  <c r="N740" i="7941"/>
  <c r="N752" i="7941"/>
  <c r="N829" i="7941" s="1"/>
  <c r="N760" i="7941"/>
  <c r="N837" i="7941" s="1"/>
  <c r="N753" i="7941"/>
  <c r="N830" i="7941" s="1"/>
  <c r="N765" i="7941"/>
  <c r="N842" i="7941" s="1"/>
  <c r="N763" i="7941"/>
  <c r="N840" i="7941" s="1"/>
  <c r="O710" i="7941"/>
  <c r="N746" i="7941"/>
  <c r="N823" i="7941" s="1"/>
  <c r="N469" i="7941"/>
  <c r="N480" i="7941"/>
  <c r="O265" i="7941"/>
  <c r="O329" i="7941"/>
  <c r="N361" i="7941"/>
  <c r="N458" i="7941"/>
  <c r="N297" i="7941"/>
  <c r="N464" i="7941"/>
  <c r="N425" i="7941"/>
  <c r="K37" i="7946"/>
  <c r="Q233" i="7941"/>
  <c r="N460" i="7941"/>
  <c r="O453" i="7941"/>
  <c r="O437" i="7941"/>
  <c r="O448" i="7941"/>
  <c r="O432" i="7941"/>
  <c r="O451" i="7941"/>
  <c r="O443" i="7941"/>
  <c r="O434" i="7941"/>
  <c r="O431" i="7941"/>
  <c r="P346" i="7941"/>
  <c r="P280" i="7941"/>
  <c r="O387" i="7941"/>
  <c r="P289" i="7941"/>
  <c r="O367" i="7941"/>
  <c r="O318" i="7941"/>
  <c r="O317" i="7941"/>
  <c r="P330" i="7941"/>
  <c r="P342" i="7941"/>
  <c r="O372" i="7941"/>
  <c r="P331" i="7941"/>
  <c r="O365" i="7941"/>
  <c r="P270" i="7941"/>
  <c r="O374" i="7941"/>
  <c r="O383" i="7941"/>
  <c r="O309" i="7941"/>
  <c r="O320" i="7941"/>
  <c r="P336" i="7941"/>
  <c r="O304" i="7941"/>
  <c r="P290" i="7941"/>
  <c r="P352" i="7941"/>
  <c r="O308" i="7941"/>
  <c r="P279" i="7941"/>
  <c r="P278" i="7941"/>
  <c r="O377" i="7941"/>
  <c r="P335" i="7941"/>
  <c r="P275" i="7941"/>
  <c r="P345" i="7941"/>
  <c r="P337" i="7941"/>
  <c r="O314" i="7941"/>
  <c r="P276" i="7941"/>
  <c r="O379" i="7941"/>
  <c r="O326" i="7941"/>
  <c r="O370" i="7941"/>
  <c r="O455" i="7941"/>
  <c r="O439" i="7941"/>
  <c r="O362" i="7941"/>
  <c r="P269" i="7941"/>
  <c r="P266" i="7941"/>
  <c r="O371" i="7941"/>
  <c r="P293" i="7941"/>
  <c r="P341" i="7941"/>
  <c r="O316" i="7941"/>
  <c r="O315" i="7941"/>
  <c r="P340" i="7941"/>
  <c r="P286" i="7941"/>
  <c r="O381" i="7941"/>
  <c r="P267" i="7941"/>
  <c r="O449" i="7941"/>
  <c r="O433" i="7941"/>
  <c r="O444" i="7941"/>
  <c r="O428" i="7941"/>
  <c r="O450" i="7941"/>
  <c r="O442" i="7941"/>
  <c r="O430" i="7941"/>
  <c r="O427" i="7941"/>
  <c r="P333" i="7941"/>
  <c r="P355" i="7941"/>
  <c r="P292" i="7941"/>
  <c r="P281" i="7941"/>
  <c r="P344" i="7941"/>
  <c r="O375" i="7941"/>
  <c r="O301" i="7941"/>
  <c r="O310" i="7941"/>
  <c r="P351" i="7941"/>
  <c r="O313" i="7941"/>
  <c r="O363" i="7941"/>
  <c r="P295" i="7941"/>
  <c r="P273" i="7941"/>
  <c r="P354" i="7941"/>
  <c r="P288" i="7941"/>
  <c r="O305" i="7941"/>
  <c r="O319" i="7941"/>
  <c r="O376" i="7941"/>
  <c r="O386" i="7941"/>
  <c r="O299" i="7941"/>
  <c r="O369" i="7941"/>
  <c r="O380" i="7941"/>
  <c r="O324" i="7941"/>
  <c r="P357" i="7941"/>
  <c r="O382" i="7941"/>
  <c r="O378" i="7941"/>
  <c r="O445" i="7941"/>
  <c r="O429" i="7941"/>
  <c r="O440" i="7941"/>
  <c r="O447" i="7941"/>
  <c r="P283" i="7941"/>
  <c r="O368" i="7941"/>
  <c r="O306" i="7941"/>
  <c r="P287" i="7941"/>
  <c r="O388" i="7941"/>
  <c r="P284" i="7941"/>
  <c r="O323" i="7941"/>
  <c r="P271" i="7941"/>
  <c r="O307" i="7941"/>
  <c r="O441" i="7941"/>
  <c r="O452" i="7941"/>
  <c r="O436" i="7941"/>
  <c r="O454" i="7941"/>
  <c r="O446" i="7941"/>
  <c r="O438" i="7941"/>
  <c r="O435" i="7941"/>
  <c r="P343" i="7941"/>
  <c r="O384" i="7941"/>
  <c r="O366" i="7941"/>
  <c r="P291" i="7941"/>
  <c r="O391" i="7941"/>
  <c r="P285" i="7941"/>
  <c r="O327" i="7941"/>
  <c r="P268" i="7941"/>
  <c r="O364" i="7941"/>
  <c r="P294" i="7941"/>
  <c r="P334" i="7941"/>
  <c r="P349" i="7941"/>
  <c r="P350" i="7941"/>
  <c r="P356" i="7941"/>
  <c r="P272" i="7941"/>
  <c r="O321" i="7941"/>
  <c r="O312" i="7941"/>
  <c r="P358" i="7941"/>
  <c r="O298" i="7941"/>
  <c r="O300" i="7941"/>
  <c r="O385" i="7941"/>
  <c r="P347" i="7941"/>
  <c r="P338" i="7941"/>
  <c r="P282" i="7941"/>
  <c r="O373" i="7941"/>
  <c r="P274" i="7941"/>
  <c r="P359" i="7941"/>
  <c r="O390" i="7941"/>
  <c r="P348" i="7941"/>
  <c r="O325" i="7941"/>
  <c r="O426" i="7941"/>
  <c r="O389" i="7941"/>
  <c r="O322" i="7941"/>
  <c r="O302" i="7941"/>
  <c r="P277" i="7941"/>
  <c r="O311" i="7941"/>
  <c r="P339" i="7941"/>
  <c r="P353" i="7941"/>
  <c r="P332" i="7941"/>
  <c r="O303" i="7941"/>
  <c r="M771" i="7941"/>
  <c r="M817" i="7941"/>
  <c r="N707" i="7941"/>
  <c r="N484" i="7941"/>
  <c r="N468" i="7941"/>
  <c r="N487" i="7941"/>
  <c r="N472" i="7941"/>
  <c r="O464" i="7941" l="1"/>
  <c r="O474" i="7941"/>
  <c r="O468" i="7941"/>
  <c r="O485" i="7941"/>
  <c r="O469" i="7941"/>
  <c r="O458" i="7941"/>
  <c r="O467" i="7941"/>
  <c r="O461" i="7941"/>
  <c r="O471" i="7941"/>
  <c r="O466" i="7941"/>
  <c r="O478" i="7941"/>
  <c r="O465" i="7941"/>
  <c r="O479" i="7941"/>
  <c r="O486" i="7941"/>
  <c r="N739" i="7941"/>
  <c r="M816" i="7941"/>
  <c r="O482" i="7941"/>
  <c r="O463" i="7941"/>
  <c r="O481" i="7941"/>
  <c r="O473" i="7941"/>
  <c r="O470" i="7941"/>
  <c r="O475" i="7941"/>
  <c r="O472" i="7941"/>
  <c r="O487" i="7941"/>
  <c r="O484" i="7941"/>
  <c r="O462" i="7941"/>
  <c r="O476" i="7941"/>
  <c r="O477" i="7941"/>
  <c r="O480" i="7941"/>
  <c r="N817" i="7941"/>
  <c r="N816" i="7941" s="1"/>
  <c r="P725" i="7941"/>
  <c r="P710" i="7941"/>
  <c r="O753" i="7941"/>
  <c r="O830" i="7941" s="1"/>
  <c r="O759" i="7941"/>
  <c r="O836" i="7941" s="1"/>
  <c r="P731" i="7941"/>
  <c r="P720" i="7941"/>
  <c r="P734" i="7941"/>
  <c r="O763" i="7941"/>
  <c r="O840" i="7941" s="1"/>
  <c r="O756" i="7941"/>
  <c r="O833" i="7941" s="1"/>
  <c r="P735" i="7941"/>
  <c r="O745" i="7941"/>
  <c r="O822" i="7941" s="1"/>
  <c r="P719" i="7941"/>
  <c r="P736" i="7941"/>
  <c r="O764" i="7941"/>
  <c r="O841" i="7941" s="1"/>
  <c r="O757" i="7941"/>
  <c r="O834" i="7941" s="1"/>
  <c r="P732" i="7941"/>
  <c r="P733" i="7941"/>
  <c r="O755" i="7941"/>
  <c r="O832" i="7941" s="1"/>
  <c r="O742" i="7941"/>
  <c r="O819" i="7941" s="1"/>
  <c r="O769" i="7941"/>
  <c r="O846" i="7941" s="1"/>
  <c r="P727" i="7941"/>
  <c r="P730" i="7941"/>
  <c r="O766" i="7941"/>
  <c r="O843" i="7941" s="1"/>
  <c r="O762" i="7941"/>
  <c r="O839" i="7941" s="1"/>
  <c r="P722" i="7941"/>
  <c r="O765" i="7941"/>
  <c r="O842" i="7941" s="1"/>
  <c r="P713" i="7941"/>
  <c r="P711" i="7941"/>
  <c r="O761" i="7941"/>
  <c r="O838" i="7941" s="1"/>
  <c r="P737" i="7941"/>
  <c r="P724" i="7941"/>
  <c r="O747" i="7941"/>
  <c r="O824" i="7941" s="1"/>
  <c r="O751" i="7941"/>
  <c r="O828" i="7941" s="1"/>
  <c r="P721" i="7941"/>
  <c r="P728" i="7941"/>
  <c r="P716" i="7941"/>
  <c r="O746" i="7941"/>
  <c r="O823" i="7941" s="1"/>
  <c r="O740" i="7941"/>
  <c r="P726" i="7941"/>
  <c r="O760" i="7941"/>
  <c r="O837" i="7941" s="1"/>
  <c r="P708" i="7941"/>
  <c r="P723" i="7941"/>
  <c r="O767" i="7941"/>
  <c r="O844" i="7941" s="1"/>
  <c r="O752" i="7941"/>
  <c r="O829" i="7941" s="1"/>
  <c r="O754" i="7941"/>
  <c r="O831" i="7941" s="1"/>
  <c r="O744" i="7941"/>
  <c r="O821" i="7941" s="1"/>
  <c r="O750" i="7941"/>
  <c r="O827" i="7941" s="1"/>
  <c r="P717" i="7941"/>
  <c r="O768" i="7941"/>
  <c r="O845" i="7941" s="1"/>
  <c r="O748" i="7941"/>
  <c r="O825" i="7941" s="1"/>
  <c r="O741" i="7941"/>
  <c r="O818" i="7941" s="1"/>
  <c r="P718" i="7941"/>
  <c r="P729" i="7941"/>
  <c r="O758" i="7941"/>
  <c r="O835" i="7941" s="1"/>
  <c r="P715" i="7941"/>
  <c r="O749" i="7941"/>
  <c r="O826" i="7941" s="1"/>
  <c r="P712" i="7941"/>
  <c r="P709" i="7941"/>
  <c r="P714" i="7941"/>
  <c r="O743" i="7941"/>
  <c r="O820" i="7941" s="1"/>
  <c r="O297" i="7941"/>
  <c r="O459" i="7941"/>
  <c r="P329" i="7941"/>
  <c r="P265" i="7941"/>
  <c r="O460" i="7941"/>
  <c r="Q270" i="7941"/>
  <c r="Q281" i="7941"/>
  <c r="P383" i="7941"/>
  <c r="Q291" i="7941"/>
  <c r="Q357" i="7941"/>
  <c r="P298" i="7941"/>
  <c r="P385" i="7941"/>
  <c r="Q345" i="7941"/>
  <c r="P303" i="7941"/>
  <c r="P389" i="7941"/>
  <c r="P377" i="7941"/>
  <c r="P302" i="7941"/>
  <c r="P388" i="7941"/>
  <c r="P304" i="7941"/>
  <c r="P309" i="7941"/>
  <c r="P311" i="7941"/>
  <c r="P308" i="7941"/>
  <c r="Q284" i="7941"/>
  <c r="Q336" i="7941"/>
  <c r="Q351" i="7941"/>
  <c r="Q355" i="7941"/>
  <c r="Q344" i="7941"/>
  <c r="P313" i="7941"/>
  <c r="P444" i="7941"/>
  <c r="P428" i="7941"/>
  <c r="P451" i="7941"/>
  <c r="P446" i="7941"/>
  <c r="P441" i="7941"/>
  <c r="P435" i="7941"/>
  <c r="P430" i="7941"/>
  <c r="Q277" i="7941"/>
  <c r="Q349" i="7941"/>
  <c r="Q352" i="7941"/>
  <c r="P320" i="7941"/>
  <c r="Q292" i="7941"/>
  <c r="Q338" i="7941"/>
  <c r="Q274" i="7941"/>
  <c r="P325" i="7941"/>
  <c r="P326" i="7941"/>
  <c r="Q358" i="7941"/>
  <c r="P380" i="7941"/>
  <c r="P368" i="7941"/>
  <c r="P366" i="7941"/>
  <c r="P364" i="7941"/>
  <c r="P382" i="7941"/>
  <c r="Q289" i="7941"/>
  <c r="Q343" i="7941"/>
  <c r="Q331" i="7941"/>
  <c r="P369" i="7941"/>
  <c r="Q347" i="7941"/>
  <c r="P436" i="7941"/>
  <c r="P449" i="7941"/>
  <c r="P438" i="7941"/>
  <c r="P387" i="7941"/>
  <c r="P373" i="7941"/>
  <c r="P379" i="7941"/>
  <c r="P391" i="7941"/>
  <c r="P314" i="7941"/>
  <c r="P300" i="7941"/>
  <c r="Q339" i="7941"/>
  <c r="P307" i="7941"/>
  <c r="Q342" i="7941"/>
  <c r="P321" i="7941"/>
  <c r="Q341" i="7941"/>
  <c r="Q268" i="7941"/>
  <c r="Q278" i="7941"/>
  <c r="Q470" i="7941" s="1"/>
  <c r="Q293" i="7941"/>
  <c r="Q267" i="7941"/>
  <c r="Q459" i="7941" s="1"/>
  <c r="P376" i="7941"/>
  <c r="Q282" i="7941"/>
  <c r="Q280" i="7941"/>
  <c r="P372" i="7941"/>
  <c r="P440" i="7941"/>
  <c r="P455" i="7941"/>
  <c r="P450" i="7941"/>
  <c r="P445" i="7941"/>
  <c r="P439" i="7941"/>
  <c r="P434" i="7941"/>
  <c r="P429" i="7941"/>
  <c r="Q279" i="7941"/>
  <c r="P315" i="7941"/>
  <c r="Q271" i="7941"/>
  <c r="Q276" i="7941"/>
  <c r="Q294" i="7941"/>
  <c r="Q486" i="7941" s="1"/>
  <c r="P323" i="7941"/>
  <c r="P305" i="7941"/>
  <c r="Q287" i="7941"/>
  <c r="Q340" i="7941"/>
  <c r="P381" i="7941"/>
  <c r="Q295" i="7941"/>
  <c r="Q286" i="7941"/>
  <c r="P370" i="7941"/>
  <c r="Q346" i="7941"/>
  <c r="P318" i="7941"/>
  <c r="P317" i="7941"/>
  <c r="Q356" i="7941"/>
  <c r="Q335" i="7941"/>
  <c r="P452" i="7941"/>
  <c r="P443" i="7941"/>
  <c r="P427" i="7941"/>
  <c r="Q334" i="7941"/>
  <c r="Q462" i="7941" s="1"/>
  <c r="Q350" i="7941"/>
  <c r="Q354" i="7941"/>
  <c r="P375" i="7941"/>
  <c r="P367" i="7941"/>
  <c r="Q290" i="7941"/>
  <c r="Q333" i="7941"/>
  <c r="Q285" i="7941"/>
  <c r="Q477" i="7941" s="1"/>
  <c r="P306" i="7941"/>
  <c r="Q348" i="7941"/>
  <c r="Q337" i="7941"/>
  <c r="P316" i="7941"/>
  <c r="Q330" i="7941"/>
  <c r="Q288" i="7941"/>
  <c r="P448" i="7941"/>
  <c r="P432" i="7941"/>
  <c r="P453" i="7941"/>
  <c r="P447" i="7941"/>
  <c r="P442" i="7941"/>
  <c r="P437" i="7941"/>
  <c r="P431" i="7941"/>
  <c r="P463" i="7941" s="1"/>
  <c r="P426" i="7941"/>
  <c r="P310" i="7941"/>
  <c r="P324" i="7941"/>
  <c r="Q275" i="7941"/>
  <c r="P327" i="7941"/>
  <c r="P299" i="7941"/>
  <c r="P362" i="7941"/>
  <c r="P390" i="7941"/>
  <c r="P319" i="7941"/>
  <c r="Q332" i="7941"/>
  <c r="P301" i="7941"/>
  <c r="Q272" i="7941"/>
  <c r="Q273" i="7941"/>
  <c r="Q359" i="7941"/>
  <c r="Q269" i="7941"/>
  <c r="P386" i="7941"/>
  <c r="P378" i="7941"/>
  <c r="Q283" i="7941"/>
  <c r="P312" i="7941"/>
  <c r="P374" i="7941"/>
  <c r="P371" i="7941"/>
  <c r="P454" i="7941"/>
  <c r="P433" i="7941"/>
  <c r="P365" i="7941"/>
  <c r="P322" i="7941"/>
  <c r="Q353" i="7941"/>
  <c r="P363" i="7941"/>
  <c r="P384" i="7941"/>
  <c r="Q266" i="7941"/>
  <c r="Q730" i="7941"/>
  <c r="Q839" i="7941" s="1"/>
  <c r="Q729" i="7941"/>
  <c r="Q838" i="7941" s="1"/>
  <c r="P740" i="7941"/>
  <c r="P756" i="7941"/>
  <c r="Q709" i="7941"/>
  <c r="Q818" i="7941" s="1"/>
  <c r="Q736" i="7941"/>
  <c r="Q845" i="7941" s="1"/>
  <c r="Q734" i="7941"/>
  <c r="Q843" i="7941" s="1"/>
  <c r="P760" i="7941"/>
  <c r="P744" i="7941"/>
  <c r="Q720" i="7941"/>
  <c r="Q829" i="7941" s="1"/>
  <c r="P752" i="7941"/>
  <c r="Q708" i="7941"/>
  <c r="Q715" i="7941"/>
  <c r="Q824" i="7941" s="1"/>
  <c r="P751" i="7941"/>
  <c r="P762" i="7941"/>
  <c r="Q711" i="7941"/>
  <c r="Q820" i="7941" s="1"/>
  <c r="Q722" i="7941"/>
  <c r="Q831" i="7941" s="1"/>
  <c r="Q712" i="7941"/>
  <c r="Q821" i="7941" s="1"/>
  <c r="P759" i="7941"/>
  <c r="P769" i="7941"/>
  <c r="P753" i="7941"/>
  <c r="Q717" i="7941"/>
  <c r="Q826" i="7941" s="1"/>
  <c r="Q735" i="7941"/>
  <c r="Q844" i="7941" s="1"/>
  <c r="P746" i="7941"/>
  <c r="P742" i="7941"/>
  <c r="Q728" i="7941"/>
  <c r="Q837" i="7941" s="1"/>
  <c r="Q719" i="7941"/>
  <c r="Q828" i="7941" s="1"/>
  <c r="Q726" i="7941"/>
  <c r="Q835" i="7941" s="1"/>
  <c r="P766" i="7941"/>
  <c r="P754" i="7941"/>
  <c r="P831" i="7941" s="1"/>
  <c r="Q737" i="7941"/>
  <c r="Q846" i="7941" s="1"/>
  <c r="Q725" i="7941"/>
  <c r="Q834" i="7941" s="1"/>
  <c r="P763" i="7941"/>
  <c r="P743" i="7941"/>
  <c r="Q724" i="7941"/>
  <c r="Q833" i="7941" s="1"/>
  <c r="P758" i="7941"/>
  <c r="P748" i="7941"/>
  <c r="Q731" i="7941"/>
  <c r="Q840" i="7941" s="1"/>
  <c r="P750" i="7941"/>
  <c r="P827" i="7941" s="1"/>
  <c r="Q718" i="7941"/>
  <c r="Q827" i="7941" s="1"/>
  <c r="Q723" i="7941"/>
  <c r="Q832" i="7941" s="1"/>
  <c r="P768" i="7941"/>
  <c r="P845" i="7941" s="1"/>
  <c r="P757" i="7941"/>
  <c r="Q710" i="7941"/>
  <c r="Q819" i="7941" s="1"/>
  <c r="P764" i="7941"/>
  <c r="Q732" i="7941"/>
  <c r="Q841" i="7941" s="1"/>
  <c r="P749" i="7941"/>
  <c r="P826" i="7941" s="1"/>
  <c r="P761" i="7941"/>
  <c r="Q727" i="7941"/>
  <c r="Q836" i="7941" s="1"/>
  <c r="P767" i="7941"/>
  <c r="Q714" i="7941"/>
  <c r="Q823" i="7941" s="1"/>
  <c r="Q733" i="7941"/>
  <c r="Q842" i="7941" s="1"/>
  <c r="P755" i="7941"/>
  <c r="P765" i="7941"/>
  <c r="P842" i="7941" s="1"/>
  <c r="P741" i="7941"/>
  <c r="Q716" i="7941"/>
  <c r="Q825" i="7941" s="1"/>
  <c r="P747" i="7941"/>
  <c r="Q721" i="7941"/>
  <c r="Q830" i="7941" s="1"/>
  <c r="Q713" i="7941"/>
  <c r="Q822" i="7941" s="1"/>
  <c r="P745" i="7941"/>
  <c r="O425" i="7941"/>
  <c r="O483" i="7941"/>
  <c r="O361" i="7941"/>
  <c r="N457" i="7941"/>
  <c r="O707" i="7941"/>
  <c r="P838" i="7941" l="1"/>
  <c r="P846" i="7941"/>
  <c r="P832" i="7941"/>
  <c r="P819" i="7941"/>
  <c r="P830" i="7941"/>
  <c r="P487" i="7941"/>
  <c r="P470" i="7941"/>
  <c r="Q485" i="7941"/>
  <c r="P834" i="7941"/>
  <c r="P836" i="7941"/>
  <c r="P817" i="7941"/>
  <c r="P840" i="7941"/>
  <c r="P821" i="7941"/>
  <c r="P476" i="7941"/>
  <c r="P469" i="7941"/>
  <c r="P818" i="7941"/>
  <c r="P839" i="7941"/>
  <c r="P829" i="7941"/>
  <c r="P844" i="7941"/>
  <c r="P458" i="7941"/>
  <c r="P820" i="7941"/>
  <c r="Q468" i="7941"/>
  <c r="P460" i="7941"/>
  <c r="Q484" i="7941"/>
  <c r="P473" i="7941"/>
  <c r="P824" i="7941"/>
  <c r="P841" i="7941"/>
  <c r="P825" i="7941"/>
  <c r="P467" i="7941"/>
  <c r="P479" i="7941"/>
  <c r="Q480" i="7941"/>
  <c r="P484" i="7941"/>
  <c r="P478" i="7941"/>
  <c r="P465" i="7941"/>
  <c r="Q463" i="7941"/>
  <c r="P466" i="7941"/>
  <c r="Q474" i="7941"/>
  <c r="P474" i="7941"/>
  <c r="P485" i="7941"/>
  <c r="P480" i="7941"/>
  <c r="Q473" i="7941"/>
  <c r="P828" i="7941"/>
  <c r="P459" i="7941"/>
  <c r="P477" i="7941"/>
  <c r="Q479" i="7941"/>
  <c r="P481" i="7941"/>
  <c r="P468" i="7941"/>
  <c r="Q469" i="7941"/>
  <c r="Q475" i="7941"/>
  <c r="Q478" i="7941"/>
  <c r="P482" i="7941"/>
  <c r="Q472" i="7941"/>
  <c r="P462" i="7941"/>
  <c r="P486" i="7941"/>
  <c r="P464" i="7941"/>
  <c r="O457" i="7941"/>
  <c r="P472" i="7941"/>
  <c r="P461" i="7941"/>
  <c r="P822" i="7941"/>
  <c r="Q817" i="7941"/>
  <c r="Q816" i="7941" s="1"/>
  <c r="Q707" i="7941"/>
  <c r="P837" i="7941"/>
  <c r="P833" i="7941"/>
  <c r="Q461" i="7941"/>
  <c r="P361" i="7941"/>
  <c r="Q471" i="7941"/>
  <c r="P739" i="7941"/>
  <c r="P843" i="7941"/>
  <c r="Q465" i="7941"/>
  <c r="Q482" i="7941"/>
  <c r="P297" i="7941"/>
  <c r="O739" i="7941"/>
  <c r="P835" i="7941"/>
  <c r="Q458" i="7941"/>
  <c r="Q265" i="7941"/>
  <c r="P425" i="7941"/>
  <c r="Q487" i="7941"/>
  <c r="Q481" i="7941"/>
  <c r="Q476" i="7941"/>
  <c r="P823" i="7941"/>
  <c r="Q464" i="7941"/>
  <c r="Q467" i="7941"/>
  <c r="Q329" i="7941"/>
  <c r="P483" i="7941"/>
  <c r="P475" i="7941"/>
  <c r="P471" i="7941"/>
  <c r="Q460" i="7941"/>
  <c r="Q466" i="7941"/>
  <c r="Q483" i="7941"/>
  <c r="O817" i="7941"/>
  <c r="O816" i="7941" s="1"/>
  <c r="P707" i="7941"/>
  <c r="P457" i="7941" l="1"/>
  <c r="P816" i="7941"/>
  <c r="Q457" i="794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1">
      <text>
        <r>
          <rPr>
            <sz val="8"/>
            <color indexed="81"/>
            <rFont val="Tahoma"/>
            <family val="2"/>
          </rPr>
          <t>Insert the base financial year that the curent regulatory control period commences in.</t>
        </r>
      </text>
    </comment>
    <comment ref="Y6" authorId="1">
      <text>
        <r>
          <rPr>
            <sz val="8"/>
            <color indexed="81"/>
            <rFont val="Tahoma"/>
            <family val="2"/>
          </rPr>
          <t>Insert the number of years for the current regulatory control period.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disposal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capex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disposal is reported evenly over a financial year.</t>
        </r>
      </text>
    </comment>
    <comment ref="R242" authorId="1">
      <text>
        <r>
          <rPr>
            <sz val="8"/>
            <color indexed="81"/>
            <rFont val="Tahoma"/>
            <family val="2"/>
          </rPr>
          <t>Total for the regulatory control period.</t>
        </r>
      </text>
    </comment>
    <comment ref="F243" authorId="2">
      <text>
        <r>
          <rPr>
            <sz val="8"/>
            <color indexed="81"/>
            <rFont val="Tahoma"/>
            <family val="2"/>
          </rPr>
          <t>Exclude half year rate of return. Inputs are assumed to be in middle of year terms because actual disposal is reported evenly over a financial year.</t>
        </r>
      </text>
    </comment>
    <comment ref="R276" authorId="1">
      <text>
        <r>
          <rPr>
            <sz val="8"/>
            <color indexed="81"/>
            <rFont val="Tahoma"/>
            <family val="2"/>
          </rPr>
          <t>Total for the regulatory control period.</t>
        </r>
      </text>
    </comment>
    <comment ref="F277" authorId="2">
      <text>
        <r>
          <rPr>
            <sz val="8"/>
            <color indexed="81"/>
            <rFont val="Tahoma"/>
            <family val="2"/>
          </rPr>
          <t>Exclude half year rate of return. Inputs are assumed to be in middle of year terms because actual net capex is reported evenly over a financial year.</t>
        </r>
      </text>
    </comment>
    <comment ref="R310" authorId="1">
      <text>
        <r>
          <rPr>
            <sz val="8"/>
            <color indexed="81"/>
            <rFont val="Tahoma"/>
            <family val="2"/>
          </rPr>
          <t>Total for the regulatory control period.</t>
        </r>
      </text>
    </comment>
    <comment ref="F313" authorId="1">
      <text>
        <r>
          <rPr>
            <sz val="8"/>
            <color indexed="81"/>
            <rFont val="Tahoma"/>
            <family val="2"/>
          </rPr>
          <t>Based on March to March CPI, consistent with the annual MAR adjustments.</t>
        </r>
      </text>
    </comment>
    <comment ref="F315" authorId="1">
      <text>
        <r>
          <rPr>
            <sz val="8"/>
            <color indexed="81"/>
            <rFont val="Tahoma"/>
            <family val="2"/>
          </rPr>
          <t>Forecast inflation rate used in the decisions covering the previous and current regulatory control periods.</t>
        </r>
      </text>
    </comment>
  </commentList>
</comments>
</file>

<file path=xl/comments2.xml><?xml version="1.0" encoding="utf-8"?>
<comments xmlns="http://schemas.openxmlformats.org/spreadsheetml/2006/main">
  <authors>
    <author>kyap</author>
    <author>Steven Martin</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G75" authorId="1">
      <text>
        <r>
          <rPr>
            <sz val="9"/>
            <color indexed="81"/>
            <rFont val="Tahoma"/>
            <family val="2"/>
          </rPr>
          <t xml:space="preserve">
Adjustment for lagged CPI is removed in cells G76:G105 below consistent with changes made by the AER in the Transmission RFM (version 3) and consistent with Preliminary decision RFM models for other Victorian DB's (as noted in chapter 8 - Opening RAB of AusNet Services' Revised Proposal).</t>
        </r>
      </text>
    </comment>
  </commentList>
</comments>
</file>

<file path=xl/comments3.xml><?xml version="1.0" encoding="utf-8"?>
<comments xmlns="http://schemas.openxmlformats.org/spreadsheetml/2006/main">
  <authors>
    <author>kjdanova</author>
    <author>kyap</author>
    <author>OfficeXP</author>
    <author>Peter Sherry</author>
  </authors>
  <commentList>
    <comment ref="H76" authorId="0">
      <text>
        <r>
          <rPr>
            <b/>
            <sz val="9"/>
            <color indexed="81"/>
            <rFont val="Tahoma"/>
            <family val="2"/>
          </rPr>
          <t>kjdanova:</t>
        </r>
        <r>
          <rPr>
            <sz val="9"/>
            <color indexed="81"/>
            <rFont val="Tahoma"/>
            <family val="2"/>
          </rPr>
          <t xml:space="preserve">
formula been as IF(H$3&gt;A1remlife,A1value-$G$630-SUM($G76:G76),IF(A1remlife="N/A","n/a",(A1value-$G$630)/A1remlife))
why do we need to deduct $G$630 every year?</t>
        </r>
      </text>
    </comment>
    <comment ref="G501" authorId="1">
      <text>
        <r>
          <rPr>
            <sz val="8"/>
            <color indexed="81"/>
            <rFont val="Tahoma"/>
            <family val="2"/>
          </rPr>
          <t>This column is based on the forecast net capex.</t>
        </r>
      </text>
    </comment>
    <comment ref="G533" authorId="1">
      <text>
        <r>
          <rPr>
            <sz val="8"/>
            <color indexed="81"/>
            <rFont val="Tahoma"/>
            <family val="2"/>
          </rPr>
          <t>This column is based on the forecast regulatory depreciation.</t>
        </r>
      </text>
    </comment>
    <comment ref="G565" authorId="2">
      <text>
        <r>
          <rPr>
            <sz val="8"/>
            <color indexed="81"/>
            <rFont val="Tahoma"/>
            <family val="2"/>
          </rPr>
          <t>This column is based on the prudent additional capex allowed in the previous regulatory control period (if any).</t>
        </r>
      </text>
    </comment>
    <comment ref="G597" authorId="2">
      <text>
        <r>
          <rPr>
            <sz val="8"/>
            <color indexed="81"/>
            <rFont val="Tahoma"/>
            <family val="2"/>
          </rPr>
          <t>This column is based on the foregone return on prudent additional capex allowed in the previous regulatory control period (if any).</t>
        </r>
      </text>
    </comment>
    <comment ref="G629" authorId="3">
      <text>
        <r>
          <rPr>
            <sz val="8"/>
            <color indexed="81"/>
            <rFont val="Tahoma"/>
            <family val="2"/>
          </rPr>
          <t>This column is based on the forecast assets under construction allowed in the previous regulatory control period (if any).</t>
        </r>
      </text>
    </comment>
    <comment ref="G661" authorId="3">
      <text>
        <r>
          <rPr>
            <sz val="8"/>
            <color indexed="81"/>
            <rFont val="Tahoma"/>
            <family val="2"/>
          </rPr>
          <t>This column is based on the forecast assets under construction allowed in the previous regulatory control period (if any).</t>
        </r>
      </text>
    </comment>
    <comment ref="G695" authorId="1">
      <text>
        <r>
          <rPr>
            <sz val="8"/>
            <color indexed="81"/>
            <rFont val="Tahoma"/>
            <family val="2"/>
          </rPr>
          <t>This column is based on forecast straight-line depreciation.</t>
        </r>
      </text>
    </comment>
    <comment ref="G793" authorId="1">
      <text>
        <r>
          <rPr>
            <sz val="8"/>
            <color indexed="81"/>
            <rFont val="Tahoma"/>
            <family val="2"/>
          </rPr>
          <t>This column is based on the forecast net capex.</t>
        </r>
      </text>
    </comment>
    <comment ref="G825" authorId="1">
      <text>
        <r>
          <rPr>
            <sz val="8"/>
            <color indexed="81"/>
            <rFont val="Tahoma"/>
            <family val="2"/>
          </rPr>
          <t>This column is based on the forecast regulatory depreciation.</t>
        </r>
      </text>
    </comment>
    <comment ref="G857" authorId="2">
      <text>
        <r>
          <rPr>
            <sz val="8"/>
            <color indexed="81"/>
            <rFont val="Tahoma"/>
            <family val="2"/>
          </rPr>
          <t>This column is based on the prudent additional capex allowed in the previous regulatory control period (if any).</t>
        </r>
      </text>
    </comment>
    <comment ref="G889" authorId="2">
      <text>
        <r>
          <rPr>
            <sz val="8"/>
            <color indexed="81"/>
            <rFont val="Tahoma"/>
            <family val="2"/>
          </rPr>
          <t>This column is based on the foregone return on prudent additional capex allowed in the previous regulatory control period (if any).</t>
        </r>
      </text>
    </comment>
    <comment ref="G921" authorId="3">
      <text>
        <r>
          <rPr>
            <sz val="8"/>
            <color indexed="81"/>
            <rFont val="Tahoma"/>
            <family val="2"/>
          </rPr>
          <t>This column is based on the forecast assets under construction allowed in the previous regulatory control period (if any).</t>
        </r>
      </text>
    </comment>
    <comment ref="G955" authorId="1">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199" authorId="2">
      <text>
        <r>
          <rPr>
            <sz val="8"/>
            <color indexed="81"/>
            <rFont val="Tahoma"/>
            <family val="2"/>
          </rPr>
          <t>This column is based on the forecast assets under construction allowed in the previous regulatory control period (if any).</t>
        </r>
      </text>
    </comment>
    <comment ref="G523" authorId="0">
      <text>
        <r>
          <rPr>
            <sz val="8"/>
            <color indexed="81"/>
            <rFont val="Tahoma"/>
            <family val="2"/>
          </rPr>
          <t>This column is based on the forecast net capex.</t>
        </r>
      </text>
    </comment>
    <comment ref="G555" authorId="0">
      <text>
        <r>
          <rPr>
            <sz val="8"/>
            <color indexed="81"/>
            <rFont val="Tahoma"/>
            <family val="2"/>
          </rPr>
          <t>This column is based on the forecast regulatory depreciation.</t>
        </r>
      </text>
    </comment>
    <comment ref="G587" authorId="1">
      <text>
        <r>
          <rPr>
            <sz val="8"/>
            <color indexed="81"/>
            <rFont val="Tahoma"/>
            <family val="2"/>
          </rPr>
          <t>This column is based on the prudent additional capex allowed in the previous regulatory control period (if any).</t>
        </r>
      </text>
    </comment>
    <comment ref="G619" authorId="1">
      <text>
        <r>
          <rPr>
            <sz val="8"/>
            <color indexed="81"/>
            <rFont val="Tahoma"/>
            <family val="2"/>
          </rPr>
          <t>This column is based on the foregone return on prudent additional capex allowed in the previous regulatory control period (if any).</t>
        </r>
      </text>
    </comment>
    <comment ref="G651"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Sandeep Kumar</author>
  </authors>
  <commentList>
    <comment ref="B234" authorId="0">
      <text>
        <r>
          <rPr>
            <sz val="9"/>
            <color indexed="81"/>
            <rFont val="Tahoma"/>
            <family val="2"/>
          </rPr>
          <t xml:space="preserve">
This shows the allocation of Tax categories to RAB categories based on mapping</t>
        </r>
      </text>
    </comment>
    <comment ref="B258" authorId="0">
      <text>
        <r>
          <rPr>
            <sz val="9"/>
            <color indexed="81"/>
            <rFont val="Tahoma"/>
            <family val="2"/>
          </rPr>
          <t xml:space="preserve">
from "Input" sheet in RFM</t>
        </r>
      </text>
    </comment>
    <comment ref="C258" authorId="0">
      <text>
        <r>
          <rPr>
            <sz val="9"/>
            <color indexed="81"/>
            <rFont val="Tahoma"/>
            <family val="2"/>
          </rPr>
          <t xml:space="preserve">
from "Asset lives roll forward" sheet in RFM</t>
        </r>
      </text>
    </comment>
    <comment ref="G258" authorId="0">
      <text>
        <r>
          <rPr>
            <sz val="9"/>
            <color indexed="81"/>
            <rFont val="Tahoma"/>
            <family val="2"/>
          </rPr>
          <t xml:space="preserve">
from "Input" sheet in RFM</t>
        </r>
      </text>
    </comment>
    <comment ref="H258" authorId="0">
      <text>
        <r>
          <rPr>
            <sz val="9"/>
            <color indexed="81"/>
            <rFont val="Tahoma"/>
            <family val="2"/>
          </rPr>
          <t xml:space="preserve">
from "Asset lives roll forward" sheet in RFM</t>
        </r>
      </text>
    </comment>
  </commentList>
</comments>
</file>

<file path=xl/comments6.xml><?xml version="1.0" encoding="utf-8"?>
<comments xmlns="http://schemas.openxmlformats.org/spreadsheetml/2006/main">
  <authors>
    <author>Steven Martin</author>
  </authors>
  <commentList>
    <comment ref="N6" authorId="0">
      <text>
        <r>
          <rPr>
            <sz val="9"/>
            <color indexed="81"/>
            <rFont val="Tahoma"/>
            <family val="2"/>
          </rPr>
          <t xml:space="preserve">
Calculated Tax Asset Values and tax asset remaining lives are contained in 'Tax depreciation' sheet</t>
        </r>
      </text>
    </comment>
  </commentList>
</comments>
</file>

<file path=xl/sharedStrings.xml><?xml version="1.0" encoding="utf-8"?>
<sst xmlns="http://schemas.openxmlformats.org/spreadsheetml/2006/main" count="808" uniqueCount="220">
  <si>
    <t>Opening Asset Value</t>
  </si>
  <si>
    <t>Year</t>
  </si>
  <si>
    <t>Total</t>
  </si>
  <si>
    <t>Base Financial Year</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</si>
  <si>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</si>
  <si>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</si>
  <si>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</si>
  <si>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</si>
  <si>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</si>
  <si>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</si>
  <si>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</si>
  <si>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</si>
  <si>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</si>
  <si>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</si>
  <si>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</si>
  <si>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</si>
  <si>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</si>
  <si>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</si>
  <si>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</si>
  <si>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</si>
  <si>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</si>
  <si>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</si>
  <si>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</si>
  <si>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</si>
  <si>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</si>
  <si>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</si>
  <si>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</si>
  <si>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</si>
  <si>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</si>
  <si>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</si>
  <si>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</si>
  <si>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</si>
  <si>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</si>
  <si>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</si>
  <si>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</si>
  <si>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</si>
  <si>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</si>
  <si>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</si>
  <si>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</si>
  <si>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</si>
  <si>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</si>
  <si>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</si>
  <si>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</si>
  <si>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</si>
  <si>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</si>
  <si>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</si>
  <si>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</si>
  <si>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</si>
  <si>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</si>
  <si>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</si>
  <si>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</si>
  <si>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</si>
  <si>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</si>
  <si>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</si>
  <si>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</si>
  <si>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</si>
  <si>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</si>
  <si>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</si>
  <si>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</si>
  <si>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</si>
  <si>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</si>
  <si>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</si>
  <si>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</si>
  <si>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</si>
  <si>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</si>
  <si>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</si>
  <si>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</si>
  <si>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</si>
  <si>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</si>
  <si>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</si>
  <si>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</si>
  <si>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</si>
  <si>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</si>
  <si>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</si>
  <si>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</si>
  <si>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</si>
  <si>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</si>
  <si>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</si>
  <si>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</si>
  <si>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</si>
  <si>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</si>
  <si>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</si>
  <si>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</si>
  <si>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</si>
  <si>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</si>
  <si>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</si>
  <si>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</si>
  <si>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</si>
  <si>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</si>
  <si>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</si>
  <si>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</si>
  <si>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</si>
  <si>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</si>
  <si>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</si>
  <si>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</si>
  <si>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</si>
  <si>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 xml:space="preserve"> Forecast Non-contestable Asset Roll in </t>
  </si>
  <si>
    <t>Prudent Non-Contestable Asset Roll in</t>
  </si>
  <si>
    <t>Nominal Adjustments for Difference Between Forecast and Actual Non-contestable Asset Roll in</t>
  </si>
  <si>
    <t xml:space="preserve">Nominal Forecast Non-contestable Asset Roll in </t>
  </si>
  <si>
    <t>Nominal Actual Non-contestable Asset Roll in</t>
  </si>
  <si>
    <t>Nominal Forecast Non-contestable Asset Roll-in</t>
  </si>
  <si>
    <t>Nominal Forecast Non-contestable Asset Roll in</t>
  </si>
  <si>
    <t>Nominal Forecast Non-contestable Asset Rollin</t>
  </si>
  <si>
    <t>Difference Between Actual and Forecast Non-contestable Asset Roll in</t>
  </si>
  <si>
    <t>Return on Difference - Non-contestable Asset Roll in</t>
  </si>
  <si>
    <t>Nominal Difference Between Actual and Forecast Assets Non-contestable assets</t>
  </si>
  <si>
    <t>Compounded Return on Difference - Non-contestable Assets</t>
  </si>
  <si>
    <t>Subtransmission</t>
  </si>
  <si>
    <t>Distribution system assets</t>
  </si>
  <si>
    <t>Standard metering</t>
  </si>
  <si>
    <t>Public lighting</t>
  </si>
  <si>
    <t>SCADA/Network control</t>
  </si>
  <si>
    <t>Non-network general assets - IT</t>
  </si>
  <si>
    <t>Non-network general assets - Other</t>
  </si>
  <si>
    <t>Equity Raising Costs</t>
  </si>
  <si>
    <t>Actual Customer Contribution – As Incurred ($m Nominal)</t>
  </si>
  <si>
    <t>Actual Customer Contribution – As De-commissioned ($m Nominal)</t>
  </si>
  <si>
    <t>Nominal Tax Values</t>
  </si>
  <si>
    <t>Tax Depreciation</t>
  </si>
  <si>
    <t>Residual Tax Value (end period)</t>
  </si>
  <si>
    <t>REGULATED TAX ASSET VALUE</t>
  </si>
  <si>
    <t>Group 1</t>
  </si>
  <si>
    <t>Tax Depn rate</t>
  </si>
  <si>
    <t>Pre Ralph tax depreciation</t>
  </si>
  <si>
    <t>Opening Bal</t>
  </si>
  <si>
    <t>Declining Balance</t>
  </si>
  <si>
    <t>Land</t>
  </si>
  <si>
    <t>6.7 to 10 yrs</t>
  </si>
  <si>
    <t>10 to 13 yrs</t>
  </si>
  <si>
    <t>13 to 30yrs</t>
  </si>
  <si>
    <t>&gt; 30 years</t>
  </si>
  <si>
    <t>Tax Depreciation Schedule</t>
  </si>
  <si>
    <t>OAV ($m)</t>
  </si>
  <si>
    <t>Depreciation</t>
  </si>
  <si>
    <t>CAV</t>
  </si>
  <si>
    <t>TOTAL Group 1</t>
  </si>
  <si>
    <t>Group 2</t>
  </si>
  <si>
    <t>Post Ralph up to 9 May 2006</t>
  </si>
  <si>
    <t>Demand related capital expenditure</t>
  </si>
  <si>
    <t>Replacement expenditure (Group 1)</t>
  </si>
  <si>
    <t>Replacement expenditure (Group 2)</t>
  </si>
  <si>
    <t>Replacement expenditure (Group 3)</t>
  </si>
  <si>
    <t>Environment, safety &amp; legal</t>
  </si>
  <si>
    <t>Standard metering (Group 1)</t>
  </si>
  <si>
    <t>Standard metering (Group 2)</t>
  </si>
  <si>
    <t>TOTAL Group 2</t>
  </si>
  <si>
    <t>Group 3</t>
  </si>
  <si>
    <t>Post Ralph 10 May 2006 onwards</t>
  </si>
  <si>
    <t>Inflation factor</t>
  </si>
  <si>
    <t>Gross Capital Expenditure</t>
  </si>
  <si>
    <t>Gross capex</t>
  </si>
  <si>
    <t>TOTAL Group 3</t>
  </si>
  <si>
    <t>Group 4</t>
  </si>
  <si>
    <t>Straight Line</t>
  </si>
  <si>
    <t>Capex</t>
  </si>
  <si>
    <t>TOTAL Group 4</t>
  </si>
  <si>
    <t>Grand Total</t>
  </si>
  <si>
    <t>Description</t>
  </si>
  <si>
    <t>Network Tax RAB</t>
  </si>
  <si>
    <t>New Tax Categories</t>
  </si>
  <si>
    <t>Distribution System Assets</t>
  </si>
  <si>
    <t>VBRC</t>
  </si>
  <si>
    <t>Standard Metering</t>
  </si>
  <si>
    <t>Total Opening Tax RAB</t>
  </si>
  <si>
    <t>Proportion</t>
  </si>
  <si>
    <t>Network CAV</t>
  </si>
  <si>
    <t>$mn, nom</t>
  </si>
  <si>
    <t>Estimating 2016 Opening TAV</t>
  </si>
  <si>
    <t>Estimating Standard Tax Lives</t>
  </si>
  <si>
    <t>PTRM Asset Category</t>
  </si>
  <si>
    <t>PTRM Tax Life (years)</t>
  </si>
  <si>
    <t>Estimating Remaining Lives for 2016 Opening TAV</t>
  </si>
  <si>
    <t>RAB Standard Lives (years)</t>
  </si>
  <si>
    <t>RAB Remaining Lives (years)</t>
  </si>
  <si>
    <t>Tax RAB Standard Lives (years)</t>
  </si>
  <si>
    <t>Tax RAB Remaining Lives (years)</t>
  </si>
  <si>
    <t>Metering</t>
  </si>
  <si>
    <t>Summary of Inputs for 2016-20 PTRM</t>
  </si>
  <si>
    <t>Equity raising</t>
  </si>
  <si>
    <t>2016 Opening Tax Value ($mn)</t>
  </si>
  <si>
    <t>Tax Remaining Life (years)</t>
  </si>
  <si>
    <t>Tax Standard Life (years)</t>
  </si>
  <si>
    <t>Same lives as RAB</t>
  </si>
  <si>
    <t>Life</t>
  </si>
  <si>
    <t>Yrs</t>
  </si>
  <si>
    <t>n/a</t>
  </si>
  <si>
    <t>Check</t>
  </si>
  <si>
    <t>Asset Class 1</t>
  </si>
  <si>
    <t>Asset Class 2</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</si>
  <si>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</si>
  <si>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</si>
  <si>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</si>
  <si>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</si>
  <si>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</si>
  <si>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</si>
  <si>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</si>
  <si>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</si>
  <si>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</si>
  <si>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</si>
  <si>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</si>
  <si>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</si>
  <si>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</si>
  <si>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</si>
  <si>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</si>
  <si>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</si>
  <si>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</si>
  <si>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</si>
  <si>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</si>
  <si>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</si>
  <si>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</si>
  <si>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</si>
  <si>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</si>
  <si>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</si>
  <si>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</si>
  <si>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</si>
  <si>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</si>
  <si>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</si>
  <si>
    <t>AST Update</t>
  </si>
  <si>
    <t>Excluding Metering TAV</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</si>
</sst>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0_-;\-* #,##0.0_-;_-* &quot;-&quot;??_-;_-@_-"/>
    <numFmt numFmtId="169" formatCode="_-* #,##0_-;\-* #,##0_-;_-* &quot;-&quot;??_-;_-@_-"/>
    <numFmt numFmtId="170" formatCode="_-* #,##0.000_-;\-* #,##0.000_-;_-* &quot;-&quot;??_-;_-@_-"/>
    <numFmt numFmtId="171" formatCode="_-&quot;$&quot;* #,##0.000_-;\-&quot;$&quot;* #,##0.000_-;_-&quot;$&quot;* &quot;-&quot;??_-;_-@_-"/>
    <numFmt numFmtId="172" formatCode="0.0000"/>
    <numFmt numFmtId="173" formatCode="_-* #,##0.0000_-;\-* #,##0.0000_-;_-* &quot;-&quot;??_-;_-@_-"/>
    <numFmt numFmtId="174" formatCode="0_ ;\-0\ "/>
    <numFmt numFmtId="175" formatCode="_-* #,##0.00000_-;\-* #,##0.00000_-;_-* &quot;-&quot;??_-;_-@_-"/>
    <numFmt numFmtId="176" formatCode="_(* #,##0_);_(* \(#,##0\);_(* &quot;-&quot;_);_(@_)"/>
    <numFmt numFmtId="177" formatCode="_(* #,##0.0_);_(* \(#,##0.0\);_(* &quot;-&quot;??_);_(@_)"/>
    <numFmt numFmtId="178" formatCode="_(* #,##0.0_);_(* \(#,##0.0\);_(* &quot;-&quot;?_);_(@_)"/>
    <numFmt numFmtId="179" formatCode="_(* #,##0_);_(* \(#,##0\);_(* &quot;-&quot;?_);_(@_)"/>
  </numFmts>
  <fonts count="58">
    <font>
      <sz val="10"/>
      <name val="Arial"/>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sz val="10"/>
      <name val="Arial"/>
      <family val="2"/>
    </font>
    <font>
      <sz val="10"/>
      <color indexed="12"/>
      <name val="Arial"/>
      <family val="2"/>
    </font>
    <font>
      <b/>
      <u/>
      <sz val="10"/>
      <color indexed="10"/>
      <name val="Arial"/>
      <family val="2"/>
    </font>
    <font>
      <b/>
      <u/>
      <sz val="10"/>
      <name val="Arial"/>
      <family val="2"/>
    </font>
    <font>
      <u/>
      <sz val="10"/>
      <name val="Arial"/>
      <family val="2"/>
    </font>
    <font>
      <b/>
      <sz val="10"/>
      <color indexed="10"/>
      <name val="Arial"/>
      <family val="2"/>
    </font>
    <font>
      <sz val="10"/>
      <color rgb="FFFF0000"/>
      <name val="Arial"/>
      <family val="2"/>
    </font>
    <font>
      <b/>
      <sz val="10"/>
      <color theme="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color indexed="8"/>
      <name val="Calibri"/>
      <family val="2"/>
      <scheme val="minor"/>
    </font>
    <font>
      <sz val="10"/>
      <name val="Arial"/>
      <family val="2"/>
    </font>
    <font>
      <sz val="9"/>
      <name val="Arial"/>
      <family val="2"/>
    </font>
    <font>
      <b/>
      <sz val="9"/>
      <name val="Arial"/>
      <family val="2"/>
    </font>
    <font>
      <b/>
      <sz val="9"/>
      <color indexed="9"/>
      <name val="Arial"/>
      <family val="2"/>
    </font>
  </fonts>
  <fills count="27">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indexed="4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theme="1"/>
        <bgColor indexed="64"/>
      </patternFill>
    </fill>
    <fill>
      <patternFill patternType="solid">
        <fgColor rgb="FFCCFFFF"/>
        <bgColor indexed="64"/>
      </patternFill>
    </fill>
    <fill>
      <patternFill patternType="solid">
        <fgColor rgb="FFFFFF00"/>
        <bgColor indexed="64"/>
      </patternFill>
    </fill>
    <fill>
      <patternFill patternType="solid">
        <fgColor theme="8" tint="0.79998168889431442"/>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rgb="FFFFCCFF"/>
        <bgColor indexed="64"/>
      </patternFill>
    </fill>
    <fill>
      <patternFill patternType="solid">
        <fgColor theme="6" tint="0.59999389629810485"/>
        <bgColor indexed="64"/>
      </patternFill>
    </fill>
    <fill>
      <patternFill patternType="solid">
        <fgColor theme="7" tint="0.39997558519241921"/>
        <bgColor indexed="64"/>
      </patternFill>
    </fill>
  </fills>
  <borders count="3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bottom style="hair">
        <color indexed="64"/>
      </bottom>
      <diagonal/>
    </border>
  </borders>
  <cellStyleXfs count="29">
    <xf numFmtId="0" fontId="0" fillId="0" borderId="0"/>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5" fontId="54" fillId="0" borderId="0" applyFont="0" applyFill="0" applyBorder="0" applyAlignment="0" applyProtection="0"/>
    <xf numFmtId="9" fontId="54" fillId="0" borderId="0" applyFont="0" applyFill="0" applyBorder="0" applyAlignment="0" applyProtection="0"/>
    <xf numFmtId="164" fontId="54" fillId="0" borderId="0" applyFont="0" applyFill="0" applyBorder="0" applyAlignment="0" applyProtection="0"/>
    <xf numFmtId="176" fontId="54" fillId="10" borderId="0" applyFont="0" applyBorder="0" applyAlignment="0">
      <alignment horizontal="right"/>
      <protection locked="0"/>
    </xf>
    <xf numFmtId="176" fontId="54" fillId="8" borderId="0" applyFont="0" applyBorder="0">
      <alignment horizontal="right"/>
      <protection locked="0"/>
    </xf>
    <xf numFmtId="0" fontId="1" fillId="0" borderId="0"/>
    <xf numFmtId="9" fontId="1" fillId="0" borderId="0" applyFont="0" applyFill="0" applyBorder="0" applyAlignment="0" applyProtection="0"/>
    <xf numFmtId="0" fontId="2" fillId="0" borderId="0"/>
    <xf numFmtId="176" fontId="2" fillId="6" borderId="0" applyNumberFormat="0" applyFont="0" applyBorder="0" applyAlignment="0">
      <alignment horizontal="right"/>
    </xf>
    <xf numFmtId="43" fontId="2" fillId="0" borderId="0" applyFont="0" applyFill="0" applyBorder="0" applyAlignment="0" applyProtection="0"/>
    <xf numFmtId="44" fontId="2" fillId="0" borderId="0" applyFont="0" applyFill="0" applyBorder="0" applyAlignment="0" applyProtection="0"/>
    <xf numFmtId="178" fontId="2" fillId="8" borderId="0" applyFont="0" applyBorder="0">
      <alignment horizontal="right"/>
    </xf>
    <xf numFmtId="166" fontId="2" fillId="8" borderId="0" applyFont="0" applyBorder="0" applyAlignment="0"/>
    <xf numFmtId="178" fontId="2" fillId="8" borderId="0" applyFont="0" applyBorder="0">
      <alignment horizontal="right"/>
    </xf>
    <xf numFmtId="176" fontId="2" fillId="10" borderId="0" applyFont="0" applyBorder="0" applyAlignment="0">
      <alignment horizontal="right"/>
      <protection locked="0"/>
    </xf>
    <xf numFmtId="10" fontId="2" fillId="10" borderId="0" applyFont="0" applyBorder="0">
      <alignment horizontal="right"/>
      <protection locked="0"/>
    </xf>
    <xf numFmtId="176" fontId="2" fillId="10" borderId="0" applyFont="0" applyBorder="0" applyAlignment="0">
      <alignment horizontal="right"/>
      <protection locked="0"/>
    </xf>
    <xf numFmtId="3" fontId="2" fillId="21" borderId="0" applyFont="0" applyBorder="0">
      <protection locked="0"/>
    </xf>
    <xf numFmtId="166" fontId="56" fillId="21" borderId="0" applyBorder="0" applyAlignment="0">
      <protection locked="0"/>
    </xf>
    <xf numFmtId="179" fontId="2" fillId="22" borderId="0" applyFont="0" applyBorder="0">
      <alignment horizontal="right"/>
      <protection locked="0"/>
    </xf>
    <xf numFmtId="176" fontId="2" fillId="8" borderId="0" applyFont="0" applyBorder="0">
      <alignment horizontal="right"/>
      <protection locked="0"/>
    </xf>
    <xf numFmtId="166" fontId="57" fillId="23" borderId="0" applyBorder="0" applyAlignment="0"/>
    <xf numFmtId="178" fontId="55" fillId="6" borderId="23" applyFont="0" applyBorder="0" applyAlignment="0"/>
    <xf numFmtId="166" fontId="56" fillId="6" borderId="0" applyFont="0" applyBorder="0" applyAlignment="0"/>
  </cellStyleXfs>
  <cellXfs count="558">
    <xf numFmtId="0" fontId="0" fillId="0" borderId="0" xfId="0"/>
    <xf numFmtId="0" fontId="3" fillId="2" borderId="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4" applyNumberFormat="1"/>
    <xf numFmtId="0" fontId="0" fillId="3" borderId="0" xfId="0" applyFill="1"/>
    <xf numFmtId="0" fontId="9"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3" fillId="4" borderId="0" xfId="0" applyFont="1" applyFill="1" applyAlignment="1">
      <alignment horizontal="center" wrapText="1"/>
    </xf>
    <xf numFmtId="10" fontId="3" fillId="4" borderId="0" xfId="4" applyNumberFormat="1" applyFont="1" applyFill="1" applyAlignment="1">
      <alignment horizontal="center" wrapText="1"/>
    </xf>
    <xf numFmtId="0" fontId="0" fillId="4" borderId="0" xfId="0" applyFill="1" applyBorder="1"/>
    <xf numFmtId="0" fontId="5" fillId="4" borderId="0" xfId="0" applyFont="1" applyFill="1" applyBorder="1" applyAlignment="1">
      <alignment wrapText="1"/>
    </xf>
    <xf numFmtId="0" fontId="0" fillId="4" borderId="0" xfId="0" applyFill="1" applyBorder="1" applyAlignment="1">
      <alignment vertical="center" wrapText="1"/>
    </xf>
    <xf numFmtId="0" fontId="5" fillId="4" borderId="0" xfId="0" applyFont="1" applyFill="1" applyBorder="1" applyAlignment="1">
      <alignment horizontal="left" vertical="center"/>
    </xf>
    <xf numFmtId="0" fontId="3" fillId="4" borderId="0" xfId="0" applyFont="1" applyFill="1" applyBorder="1" applyAlignment="1">
      <alignment horizontal="center"/>
    </xf>
    <xf numFmtId="0" fontId="3" fillId="4" borderId="0" xfId="0" applyFont="1" applyFill="1" applyBorder="1"/>
    <xf numFmtId="0" fontId="0" fillId="4" borderId="0" xfId="0" applyFill="1" applyAlignment="1">
      <alignment horizontal="center"/>
    </xf>
    <xf numFmtId="0" fontId="0" fillId="4" borderId="0" xfId="0" applyFill="1" applyAlignment="1"/>
    <xf numFmtId="10" fontId="2" fillId="4" borderId="0" xfId="4" applyNumberFormat="1" applyFill="1"/>
    <xf numFmtId="10" fontId="0" fillId="4" borderId="0" xfId="4" applyNumberFormat="1" applyFont="1" applyFill="1"/>
    <xf numFmtId="166" fontId="0" fillId="4" borderId="0" xfId="4" applyNumberFormat="1" applyFont="1" applyFill="1"/>
    <xf numFmtId="169" fontId="5" fillId="4" borderId="0" xfId="1" applyNumberFormat="1" applyFont="1" applyFill="1"/>
    <xf numFmtId="0" fontId="3" fillId="2" borderId="0" xfId="0"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right"/>
    </xf>
    <xf numFmtId="165" fontId="11" fillId="4" borderId="0" xfId="1" applyFont="1" applyFill="1" applyAlignment="1">
      <alignment horizontal="left"/>
    </xf>
    <xf numFmtId="169" fontId="0" fillId="4" borderId="0" xfId="1" applyNumberFormat="1" applyFont="1" applyFill="1"/>
    <xf numFmtId="167" fontId="0" fillId="4" borderId="0" xfId="0" applyNumberFormat="1" applyFill="1"/>
    <xf numFmtId="165" fontId="11" fillId="4" borderId="0" xfId="1" applyFont="1" applyFill="1" applyAlignment="1">
      <alignment horizontal="right"/>
    </xf>
    <xf numFmtId="0" fontId="0" fillId="4" borderId="2" xfId="0" applyFill="1" applyBorder="1"/>
    <xf numFmtId="0" fontId="3" fillId="4" borderId="2" xfId="0" applyFont="1" applyFill="1" applyBorder="1" applyAlignment="1">
      <alignment horizontal="right"/>
    </xf>
    <xf numFmtId="169" fontId="5" fillId="0" borderId="2" xfId="1" applyNumberFormat="1" applyFont="1" applyFill="1" applyBorder="1"/>
    <xf numFmtId="165" fontId="11" fillId="4" borderId="2" xfId="1" applyFont="1" applyFill="1" applyBorder="1" applyAlignment="1">
      <alignment horizontal="right"/>
    </xf>
    <xf numFmtId="165" fontId="0" fillId="4" borderId="0" xfId="0" applyNumberFormat="1" applyFill="1"/>
    <xf numFmtId="164" fontId="12" fillId="4" borderId="0" xfId="2" applyFont="1" applyFill="1" applyBorder="1" applyAlignment="1">
      <alignment horizontal="center" vertical="center"/>
    </xf>
    <xf numFmtId="0" fontId="3" fillId="4" borderId="0" xfId="0" applyFont="1" applyFill="1" applyBorder="1" applyAlignment="1">
      <alignment vertical="center"/>
    </xf>
    <xf numFmtId="0" fontId="5" fillId="4" borderId="0" xfId="0" applyFont="1" applyFill="1" applyBorder="1" applyAlignment="1">
      <alignment vertical="center"/>
    </xf>
    <xf numFmtId="10" fontId="2" fillId="4" borderId="0" xfId="4" applyNumberFormat="1" applyFill="1" applyBorder="1"/>
    <xf numFmtId="0" fontId="9" fillId="4" borderId="0" xfId="0" applyFont="1" applyFill="1" applyBorder="1" applyAlignment="1"/>
    <xf numFmtId="0" fontId="9" fillId="4" borderId="0" xfId="0" applyFont="1" applyFill="1"/>
    <xf numFmtId="0" fontId="0" fillId="4" borderId="0" xfId="0" applyFill="1" applyAlignment="1">
      <alignment wrapText="1"/>
    </xf>
    <xf numFmtId="0" fontId="0" fillId="4" borderId="0" xfId="0" applyFill="1" applyBorder="1" applyAlignment="1"/>
    <xf numFmtId="0" fontId="5" fillId="4" borderId="0" xfId="0" applyFont="1" applyFill="1"/>
    <xf numFmtId="165" fontId="11" fillId="4" borderId="3" xfId="1" applyFont="1" applyFill="1" applyBorder="1" applyAlignment="1">
      <alignment horizontal="right"/>
    </xf>
    <xf numFmtId="171" fontId="14" fillId="4" borderId="0" xfId="2" applyNumberFormat="1" applyFont="1" applyFill="1" applyBorder="1" applyAlignment="1">
      <alignment horizontal="center" vertical="center"/>
    </xf>
    <xf numFmtId="167" fontId="5" fillId="5" borderId="0" xfId="0" applyNumberFormat="1" applyFont="1" applyFill="1" applyBorder="1" applyAlignment="1">
      <alignment horizontal="center" vertical="center" wrapText="1"/>
    </xf>
    <xf numFmtId="164" fontId="0" fillId="4" borderId="0" xfId="0" applyNumberFormat="1" applyFill="1"/>
    <xf numFmtId="0" fontId="5" fillId="0" borderId="0" xfId="0" applyFont="1"/>
    <xf numFmtId="10" fontId="2" fillId="4" borderId="0" xfId="1" applyNumberFormat="1" applyFill="1" applyBorder="1"/>
    <xf numFmtId="167" fontId="0" fillId="5" borderId="0" xfId="0" applyNumberFormat="1" applyFill="1" applyBorder="1" applyAlignment="1">
      <alignment horizontal="center" wrapText="1"/>
    </xf>
    <xf numFmtId="0" fontId="6" fillId="4" borderId="0" xfId="0" applyFont="1" applyFill="1" applyBorder="1" applyAlignment="1">
      <alignment horizontal="center" vertical="center"/>
    </xf>
    <xf numFmtId="0" fontId="13" fillId="4" borderId="0" xfId="0" applyFont="1" applyFill="1" applyBorder="1" applyAlignment="1">
      <alignment horizontal="center"/>
    </xf>
    <xf numFmtId="0" fontId="8" fillId="4" borderId="0" xfId="0" applyFont="1" applyFill="1" applyBorder="1"/>
    <xf numFmtId="0" fontId="5" fillId="4" borderId="0" xfId="0" applyFont="1" applyFill="1" applyBorder="1" applyAlignment="1"/>
    <xf numFmtId="0" fontId="5" fillId="4" borderId="2" xfId="0" applyFont="1" applyFill="1" applyBorder="1"/>
    <xf numFmtId="0" fontId="3" fillId="4" borderId="2" xfId="0" applyFont="1" applyFill="1" applyBorder="1"/>
    <xf numFmtId="0" fontId="8" fillId="4" borderId="0" xfId="0" applyFont="1" applyFill="1" applyBorder="1" applyAlignment="1">
      <alignment horizontal="left"/>
    </xf>
    <xf numFmtId="0" fontId="3" fillId="4" borderId="2" xfId="0" applyFont="1" applyFill="1" applyBorder="1" applyAlignment="1">
      <alignment horizontal="center"/>
    </xf>
    <xf numFmtId="0" fontId="3" fillId="4" borderId="2" xfId="0" applyFont="1" applyFill="1" applyBorder="1" applyAlignment="1">
      <alignment horizontal="left"/>
    </xf>
    <xf numFmtId="0" fontId="13" fillId="4" borderId="2" xfId="0" applyFont="1" applyFill="1" applyBorder="1" applyAlignment="1">
      <alignment horizontal="center"/>
    </xf>
    <xf numFmtId="164" fontId="11" fillId="4" borderId="0" xfId="2" applyFont="1" applyFill="1" applyBorder="1" applyAlignment="1">
      <alignment horizontal="center" vertical="center"/>
    </xf>
    <xf numFmtId="167" fontId="5" fillId="5" borderId="4" xfId="0" applyNumberFormat="1" applyFont="1" applyFill="1" applyBorder="1" applyAlignment="1">
      <alignment horizontal="center" vertical="center" wrapText="1"/>
    </xf>
    <xf numFmtId="167" fontId="0" fillId="5" borderId="4" xfId="0" applyNumberFormat="1" applyFill="1" applyBorder="1" applyAlignment="1">
      <alignment horizontal="center" wrapText="1"/>
    </xf>
    <xf numFmtId="165" fontId="5" fillId="5" borderId="4" xfId="1" applyNumberFormat="1" applyFont="1" applyFill="1" applyBorder="1" applyAlignment="1">
      <alignment horizontal="right" vertical="center"/>
    </xf>
    <xf numFmtId="165" fontId="5" fillId="5" borderId="0" xfId="1" applyNumberFormat="1" applyFont="1" applyFill="1" applyBorder="1" applyAlignment="1">
      <alignment horizontal="right" vertical="center"/>
    </xf>
    <xf numFmtId="165" fontId="5" fillId="5" borderId="4" xfId="1" applyFont="1" applyFill="1" applyBorder="1" applyAlignment="1">
      <alignment horizontal="center" vertical="center"/>
    </xf>
    <xf numFmtId="165" fontId="5" fillId="5" borderId="0" xfId="1" applyFont="1" applyFill="1" applyBorder="1" applyAlignment="1">
      <alignment horizontal="center" vertical="center"/>
    </xf>
    <xf numFmtId="168" fontId="11" fillId="4" borderId="0" xfId="1" applyNumberFormat="1" applyFont="1" applyFill="1"/>
    <xf numFmtId="168" fontId="11" fillId="4" borderId="0" xfId="1" applyNumberFormat="1" applyFont="1" applyFill="1" applyAlignment="1">
      <alignment horizontal="right"/>
    </xf>
    <xf numFmtId="168" fontId="11" fillId="4" borderId="0" xfId="0" applyNumberFormat="1" applyFont="1" applyFill="1"/>
    <xf numFmtId="165" fontId="11" fillId="4" borderId="2" xfId="1" applyNumberFormat="1" applyFont="1" applyFill="1" applyBorder="1" applyAlignment="1">
      <alignment horizontal="right"/>
    </xf>
    <xf numFmtId="165" fontId="11" fillId="4" borderId="0" xfId="1" applyNumberFormat="1" applyFont="1" applyFill="1" applyAlignment="1">
      <alignment horizontal="right"/>
    </xf>
    <xf numFmtId="0" fontId="9" fillId="6" borderId="1" xfId="0" applyFont="1" applyFill="1" applyBorder="1"/>
    <xf numFmtId="0" fontId="8" fillId="6" borderId="1" xfId="0" applyFont="1" applyFill="1" applyBorder="1"/>
    <xf numFmtId="0" fontId="8" fillId="6" borderId="1" xfId="0" applyFont="1" applyFill="1" applyBorder="1" applyAlignment="1">
      <alignment horizontal="center"/>
    </xf>
    <xf numFmtId="10" fontId="8"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164" fontId="3" fillId="7" borderId="1" xfId="0" applyNumberFormat="1" applyFont="1" applyFill="1" applyBorder="1" applyAlignment="1">
      <alignment horizontal="center" wrapText="1"/>
    </xf>
    <xf numFmtId="0" fontId="8" fillId="7" borderId="1" xfId="0" applyFont="1" applyFill="1" applyBorder="1" applyAlignment="1">
      <alignment vertical="center"/>
    </xf>
    <xf numFmtId="0" fontId="2" fillId="7" borderId="1" xfId="0" applyFont="1" applyFill="1" applyBorder="1"/>
    <xf numFmtId="0" fontId="10" fillId="7" borderId="1" xfId="0" applyFont="1" applyFill="1" applyBorder="1" applyAlignment="1">
      <alignment vertical="center" wrapText="1"/>
    </xf>
    <xf numFmtId="0" fontId="10" fillId="7" borderId="1" xfId="0" applyFont="1" applyFill="1" applyBorder="1" applyAlignment="1">
      <alignment wrapText="1"/>
    </xf>
    <xf numFmtId="0" fontId="3" fillId="7" borderId="1" xfId="0" applyFont="1" applyFill="1" applyBorder="1"/>
    <xf numFmtId="0" fontId="3" fillId="6" borderId="1" xfId="0" applyFont="1" applyFill="1" applyBorder="1" applyAlignment="1">
      <alignment horizontal="center"/>
    </xf>
    <xf numFmtId="0" fontId="8" fillId="6" borderId="1" xfId="0" applyFont="1" applyFill="1" applyBorder="1" applyAlignment="1">
      <alignment horizontal="left"/>
    </xf>
    <xf numFmtId="169" fontId="5" fillId="7" borderId="1" xfId="1" applyNumberFormat="1" applyFont="1" applyFill="1" applyBorder="1"/>
    <xf numFmtId="165" fontId="5" fillId="7" borderId="1" xfId="1" applyFont="1" applyFill="1" applyBorder="1"/>
    <xf numFmtId="10" fontId="0" fillId="4" borderId="0" xfId="4" applyNumberFormat="1" applyFont="1" applyFill="1" applyBorder="1"/>
    <xf numFmtId="0" fontId="15" fillId="7" borderId="5" xfId="0" applyFont="1" applyFill="1" applyBorder="1" applyAlignment="1">
      <alignment horizontal="center"/>
    </xf>
    <xf numFmtId="0" fontId="15" fillId="7" borderId="6" xfId="0" applyFont="1" applyFill="1" applyBorder="1" applyAlignment="1">
      <alignment horizontal="center"/>
    </xf>
    <xf numFmtId="164" fontId="0" fillId="0" borderId="0" xfId="0" applyNumberFormat="1"/>
    <xf numFmtId="0" fontId="5" fillId="4" borderId="0" xfId="0" applyFont="1" applyFill="1" applyBorder="1"/>
    <xf numFmtId="10" fontId="5" fillId="4" borderId="2" xfId="4" applyNumberFormat="1" applyFont="1" applyFill="1" applyBorder="1" applyAlignment="1" applyProtection="1">
      <alignment horizontal="center"/>
    </xf>
    <xf numFmtId="165" fontId="5" fillId="4" borderId="0" xfId="1" applyNumberFormat="1" applyFont="1" applyFill="1" applyBorder="1" applyAlignment="1">
      <alignment horizontal="right" vertical="center"/>
    </xf>
    <xf numFmtId="172" fontId="2" fillId="4" borderId="0" xfId="1" applyNumberFormat="1" applyFill="1" applyBorder="1"/>
    <xf numFmtId="0" fontId="2" fillId="4" borderId="0" xfId="3" applyFill="1" applyBorder="1"/>
    <xf numFmtId="10" fontId="2" fillId="4" borderId="0" xfId="3" applyNumberFormat="1" applyFill="1" applyBorder="1"/>
    <xf numFmtId="0" fontId="2" fillId="4" borderId="0" xfId="3" applyFont="1" applyFill="1" applyBorder="1"/>
    <xf numFmtId="0" fontId="4" fillId="7" borderId="1" xfId="0" applyFont="1" applyFill="1" applyBorder="1" applyAlignment="1">
      <alignment vertical="center"/>
    </xf>
    <xf numFmtId="173" fontId="0" fillId="4" borderId="0" xfId="1" applyNumberFormat="1" applyFont="1" applyFill="1"/>
    <xf numFmtId="166" fontId="0" fillId="4" borderId="0" xfId="4" applyNumberFormat="1" applyFont="1" applyFill="1" applyBorder="1"/>
    <xf numFmtId="167" fontId="0" fillId="4" borderId="0" xfId="0" applyNumberFormat="1" applyFill="1" applyBorder="1"/>
    <xf numFmtId="165" fontId="11" fillId="4" borderId="0" xfId="1" applyFont="1" applyFill="1" applyBorder="1" applyAlignment="1">
      <alignment horizontal="right"/>
    </xf>
    <xf numFmtId="168" fontId="11" fillId="4" borderId="0" xfId="1" applyNumberFormat="1" applyFont="1" applyFill="1" applyBorder="1"/>
    <xf numFmtId="165" fontId="11" fillId="4" borderId="0" xfId="1" applyNumberFormat="1" applyFont="1" applyFill="1" applyBorder="1" applyAlignment="1">
      <alignment horizontal="right"/>
    </xf>
    <xf numFmtId="168" fontId="11" fillId="4" borderId="0" xfId="1" applyNumberFormat="1" applyFont="1" applyFill="1" applyBorder="1" applyAlignment="1">
      <alignment horizontal="right"/>
    </xf>
    <xf numFmtId="168" fontId="11" fillId="4" borderId="0" xfId="0" applyNumberFormat="1" applyFont="1" applyFill="1" applyBorder="1"/>
    <xf numFmtId="165" fontId="5" fillId="4" borderId="0" xfId="1" applyFont="1" applyFill="1" applyBorder="1"/>
    <xf numFmtId="10" fontId="2" fillId="5" borderId="4" xfId="4" applyNumberFormat="1" applyFill="1" applyBorder="1"/>
    <xf numFmtId="0" fontId="0" fillId="6" borderId="1" xfId="0" applyFill="1" applyBorder="1"/>
    <xf numFmtId="169" fontId="3" fillId="7" borderId="1" xfId="1" applyNumberFormat="1" applyFont="1" applyFill="1" applyBorder="1"/>
    <xf numFmtId="2" fontId="0" fillId="4" borderId="0" xfId="0" applyNumberFormat="1" applyFill="1"/>
    <xf numFmtId="165" fontId="17" fillId="4" borderId="0" xfId="0" applyNumberFormat="1" applyFont="1" applyFill="1"/>
    <xf numFmtId="165" fontId="5" fillId="4" borderId="0" xfId="1" applyNumberFormat="1" applyFont="1" applyFill="1" applyAlignment="1">
      <alignment horizontal="right"/>
    </xf>
    <xf numFmtId="0" fontId="5" fillId="4" borderId="0" xfId="0" quotePrefix="1" applyFont="1" applyFill="1" applyBorder="1" applyAlignment="1">
      <alignment horizontal="right"/>
    </xf>
    <xf numFmtId="169" fontId="5" fillId="4" borderId="0" xfId="1" applyNumberFormat="1" applyFont="1" applyFill="1" applyBorder="1"/>
    <xf numFmtId="165" fontId="5" fillId="4" borderId="0" xfId="0" applyNumberFormat="1" applyFont="1" applyFill="1"/>
    <xf numFmtId="165" fontId="11" fillId="4" borderId="3" xfId="1" applyNumberFormat="1" applyFont="1" applyFill="1" applyBorder="1" applyAlignment="1">
      <alignment horizontal="right"/>
    </xf>
    <xf numFmtId="165" fontId="5" fillId="7" borderId="1" xfId="1" applyNumberFormat="1" applyFont="1" applyFill="1" applyBorder="1"/>
    <xf numFmtId="165" fontId="5" fillId="4" borderId="0" xfId="1" applyNumberFormat="1" applyFont="1" applyFill="1" applyBorder="1"/>
    <xf numFmtId="0" fontId="0" fillId="7" borderId="0" xfId="0" applyFill="1" applyBorder="1"/>
    <xf numFmtId="169" fontId="3" fillId="4" borderId="0" xfId="1" applyNumberFormat="1" applyFont="1" applyFill="1" applyBorder="1"/>
    <xf numFmtId="165" fontId="17" fillId="4" borderId="0" xfId="1" applyNumberFormat="1" applyFont="1" applyFill="1"/>
    <xf numFmtId="0" fontId="5" fillId="6" borderId="1" xfId="0" applyFont="1" applyFill="1" applyBorder="1"/>
    <xf numFmtId="0" fontId="5" fillId="6" borderId="1" xfId="0" quotePrefix="1" applyFont="1" applyFill="1" applyBorder="1" applyAlignment="1">
      <alignment horizontal="right"/>
    </xf>
    <xf numFmtId="169" fontId="0" fillId="6" borderId="1" xfId="1" applyNumberFormat="1" applyFont="1" applyFill="1" applyBorder="1"/>
    <xf numFmtId="165" fontId="0" fillId="6" borderId="1" xfId="0" applyNumberFormat="1" applyFill="1" applyBorder="1"/>
    <xf numFmtId="167" fontId="0" fillId="6" borderId="1" xfId="0" applyNumberFormat="1" applyFill="1" applyBorder="1"/>
    <xf numFmtId="0" fontId="11" fillId="4" borderId="0" xfId="0" quotePrefix="1" applyFont="1" applyFill="1" applyBorder="1" applyAlignment="1">
      <alignment horizontal="right"/>
    </xf>
    <xf numFmtId="0" fontId="5" fillId="5" borderId="7" xfId="1" applyNumberFormat="1" applyFont="1" applyFill="1" applyBorder="1" applyAlignment="1">
      <alignment horizontal="right" vertical="center"/>
    </xf>
    <xf numFmtId="0" fontId="18" fillId="4" borderId="0" xfId="0" applyFont="1" applyFill="1"/>
    <xf numFmtId="0" fontId="19" fillId="4" borderId="0" xfId="0" applyFont="1" applyFill="1"/>
    <xf numFmtId="0" fontId="0" fillId="7" borderId="3" xfId="0" applyFill="1" applyBorder="1"/>
    <xf numFmtId="0" fontId="20" fillId="7" borderId="0" xfId="0" applyFont="1" applyFill="1" applyBorder="1"/>
    <xf numFmtId="0" fontId="0" fillId="7" borderId="2" xfId="0" applyFill="1" applyBorder="1"/>
    <xf numFmtId="0" fontId="0" fillId="6" borderId="0" xfId="0" applyFill="1"/>
    <xf numFmtId="0" fontId="21" fillId="4" borderId="0" xfId="0" applyFont="1" applyFill="1"/>
    <xf numFmtId="166" fontId="2" fillId="4" borderId="0" xfId="4" applyNumberFormat="1" applyFill="1"/>
    <xf numFmtId="166" fontId="2" fillId="4" borderId="0" xfId="4" applyNumberFormat="1" applyFill="1" applyBorder="1"/>
    <xf numFmtId="165" fontId="2" fillId="4" borderId="0" xfId="1" applyNumberFormat="1" applyFill="1"/>
    <xf numFmtId="169" fontId="2" fillId="4" borderId="0" xfId="1" applyNumberFormat="1" applyFill="1"/>
    <xf numFmtId="169" fontId="0" fillId="4" borderId="0" xfId="1" applyNumberFormat="1" applyFont="1" applyFill="1" applyBorder="1"/>
    <xf numFmtId="165" fontId="0" fillId="4" borderId="0" xfId="0" applyNumberFormat="1" applyFill="1" applyBorder="1"/>
    <xf numFmtId="172" fontId="2" fillId="4" borderId="0" xfId="3" applyNumberFormat="1" applyFill="1" applyBorder="1"/>
    <xf numFmtId="0" fontId="3" fillId="4" borderId="0" xfId="0" quotePrefix="1" applyFont="1" applyFill="1" applyBorder="1" applyAlignment="1">
      <alignment horizontal="right" vertical="center"/>
    </xf>
    <xf numFmtId="0" fontId="3" fillId="6" borderId="1" xfId="0" applyFont="1" applyFill="1" applyBorder="1" applyAlignment="1">
      <alignment horizontal="right"/>
    </xf>
    <xf numFmtId="165" fontId="11" fillId="8" borderId="8" xfId="1" applyNumberFormat="1" applyFont="1" applyFill="1" applyBorder="1" applyAlignment="1">
      <alignment horizontal="right"/>
    </xf>
    <xf numFmtId="165" fontId="11" fillId="8" borderId="9" xfId="1" applyNumberFormat="1" applyFont="1" applyFill="1" applyBorder="1" applyAlignment="1">
      <alignment horizontal="right"/>
    </xf>
    <xf numFmtId="165" fontId="11" fillId="8" borderId="10" xfId="1" applyNumberFormat="1" applyFont="1" applyFill="1" applyBorder="1" applyAlignment="1">
      <alignment horizontal="right"/>
    </xf>
    <xf numFmtId="165" fontId="11" fillId="8" borderId="0" xfId="1" applyNumberFormat="1" applyFont="1" applyFill="1" applyAlignment="1">
      <alignment horizontal="right"/>
    </xf>
    <xf numFmtId="2" fontId="5" fillId="4" borderId="0" xfId="0" applyNumberFormat="1" applyFont="1" applyFill="1"/>
    <xf numFmtId="167" fontId="5" fillId="4" borderId="0" xfId="0" applyNumberFormat="1" applyFont="1" applyFill="1"/>
    <xf numFmtId="0" fontId="5" fillId="4" borderId="0" xfId="0" applyFont="1" applyFill="1" applyAlignment="1">
      <alignment horizontal="left"/>
    </xf>
    <xf numFmtId="169" fontId="2" fillId="4" borderId="0" xfId="1" applyNumberFormat="1" applyFill="1" applyBorder="1"/>
    <xf numFmtId="165" fontId="17" fillId="4" borderId="0" xfId="0" applyNumberFormat="1" applyFont="1" applyFill="1" applyBorder="1"/>
    <xf numFmtId="165" fontId="3" fillId="7" borderId="1" xfId="0" applyNumberFormat="1" applyFont="1" applyFill="1" applyBorder="1"/>
    <xf numFmtId="0" fontId="0" fillId="4" borderId="0" xfId="0" applyFill="1" applyBorder="1" applyAlignment="1">
      <alignment horizontal="center"/>
    </xf>
    <xf numFmtId="0" fontId="3" fillId="7" borderId="1" xfId="0" applyFont="1" applyFill="1" applyBorder="1" applyAlignment="1">
      <alignment vertical="center"/>
    </xf>
    <xf numFmtId="10" fontId="5" fillId="4" borderId="0" xfId="4" applyNumberFormat="1" applyFont="1" applyFill="1" applyBorder="1" applyAlignment="1" applyProtection="1">
      <alignment horizontal="center"/>
    </xf>
    <xf numFmtId="0" fontId="11" fillId="4" borderId="2" xfId="0" applyFont="1" applyFill="1" applyBorder="1"/>
    <xf numFmtId="0" fontId="11" fillId="4" borderId="3" xfId="0" applyFont="1" applyFill="1" applyBorder="1"/>
    <xf numFmtId="165" fontId="17" fillId="4" borderId="0" xfId="1" applyNumberFormat="1" applyFont="1" applyFill="1" applyBorder="1" applyAlignment="1">
      <alignment horizontal="right"/>
    </xf>
    <xf numFmtId="165" fontId="11" fillId="4" borderId="0" xfId="1" applyNumberFormat="1" applyFont="1" applyFill="1"/>
    <xf numFmtId="165" fontId="11" fillId="4" borderId="0" xfId="0" applyNumberFormat="1" applyFont="1" applyFill="1"/>
    <xf numFmtId="165" fontId="5" fillId="5" borderId="12" xfId="1" applyNumberFormat="1" applyFont="1" applyFill="1" applyBorder="1" applyAlignment="1">
      <alignment horizontal="right" vertical="center"/>
    </xf>
    <xf numFmtId="0" fontId="22" fillId="0" borderId="0" xfId="0" applyFont="1"/>
    <xf numFmtId="169" fontId="23" fillId="4" borderId="0" xfId="1" applyNumberFormat="1" applyFont="1" applyFill="1"/>
    <xf numFmtId="164" fontId="11" fillId="7" borderId="1" xfId="2" applyFont="1" applyFill="1" applyBorder="1" applyAlignment="1">
      <alignment horizontal="center" vertical="center"/>
    </xf>
    <xf numFmtId="164" fontId="12" fillId="7" borderId="1" xfId="2" applyFont="1" applyFill="1" applyBorder="1" applyAlignment="1">
      <alignment horizontal="center" vertical="center"/>
    </xf>
    <xf numFmtId="0" fontId="0" fillId="7" borderId="0" xfId="0" applyFill="1"/>
    <xf numFmtId="0" fontId="8" fillId="7" borderId="0" xfId="0" applyFont="1" applyFill="1" applyBorder="1"/>
    <xf numFmtId="165" fontId="5" fillId="4" borderId="11" xfId="0" applyNumberFormat="1" applyFont="1" applyFill="1" applyBorder="1" applyAlignment="1">
      <alignment vertical="center"/>
    </xf>
    <xf numFmtId="165" fontId="5" fillId="4" borderId="4" xfId="0" applyNumberFormat="1" applyFont="1" applyFill="1" applyBorder="1" applyAlignment="1">
      <alignment vertical="center"/>
    </xf>
    <xf numFmtId="165" fontId="5" fillId="4" borderId="12" xfId="0" applyNumberFormat="1" applyFont="1" applyFill="1" applyBorder="1" applyAlignment="1">
      <alignment vertical="center"/>
    </xf>
    <xf numFmtId="165" fontId="5" fillId="4" borderId="0" xfId="0" applyNumberFormat="1" applyFont="1" applyFill="1" applyBorder="1" applyAlignment="1">
      <alignment vertical="center"/>
    </xf>
    <xf numFmtId="165" fontId="5" fillId="4" borderId="4"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12" xfId="1" applyNumberFormat="1" applyFont="1" applyFill="1" applyBorder="1" applyAlignment="1">
      <alignment horizontal="right" vertical="center"/>
    </xf>
    <xf numFmtId="165" fontId="17" fillId="4" borderId="2" xfId="1" applyNumberFormat="1" applyFont="1" applyFill="1" applyBorder="1"/>
    <xf numFmtId="0" fontId="5" fillId="4" borderId="0" xfId="0" applyFont="1" applyFill="1" applyBorder="1" applyAlignment="1">
      <alignment horizontal="center" vertical="center"/>
    </xf>
    <xf numFmtId="0" fontId="3" fillId="7" borderId="1" xfId="0" applyFont="1" applyFill="1" applyBorder="1" applyAlignment="1">
      <alignment horizontal="left"/>
    </xf>
    <xf numFmtId="0" fontId="11" fillId="7" borderId="1" xfId="0" applyFont="1" applyFill="1" applyBorder="1" applyAlignment="1">
      <alignment horizontal="right"/>
    </xf>
    <xf numFmtId="169" fontId="2" fillId="7" borderId="1" xfId="1" applyNumberFormat="1" applyFill="1" applyBorder="1"/>
    <xf numFmtId="165" fontId="5" fillId="7" borderId="1" xfId="0" applyNumberFormat="1" applyFont="1" applyFill="1" applyBorder="1"/>
    <xf numFmtId="165" fontId="17" fillId="7" borderId="1" xfId="0" applyNumberFormat="1" applyFont="1" applyFill="1" applyBorder="1"/>
    <xf numFmtId="167" fontId="5" fillId="7" borderId="1" xfId="0" applyNumberFormat="1" applyFont="1" applyFill="1" applyBorder="1"/>
    <xf numFmtId="0" fontId="11" fillId="4" borderId="0" xfId="0" applyFont="1" applyFill="1" applyAlignment="1">
      <alignment horizontal="left"/>
    </xf>
    <xf numFmtId="0" fontId="19" fillId="4" borderId="0" xfId="0" applyFont="1" applyFill="1" applyAlignment="1">
      <alignment vertical="center"/>
    </xf>
    <xf numFmtId="0" fontId="24" fillId="4" borderId="0" xfId="0" applyFont="1" applyFill="1" applyAlignment="1">
      <alignment vertical="center"/>
    </xf>
    <xf numFmtId="0" fontId="25" fillId="4" borderId="0" xfId="0" applyFont="1" applyFill="1"/>
    <xf numFmtId="0" fontId="26" fillId="4" borderId="0" xfId="0" applyFont="1" applyFill="1"/>
    <xf numFmtId="0" fontId="26" fillId="4" borderId="0" xfId="0" applyFont="1" applyFill="1" applyAlignment="1">
      <alignment vertical="center"/>
    </xf>
    <xf numFmtId="0" fontId="27"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0" fontId="0" fillId="0" borderId="0" xfId="0" applyFill="1"/>
    <xf numFmtId="168" fontId="5" fillId="4" borderId="0" xfId="1" applyNumberFormat="1" applyFont="1" applyFill="1" applyBorder="1"/>
    <xf numFmtId="10" fontId="2" fillId="4" borderId="13" xfId="4" applyNumberFormat="1" applyFill="1" applyBorder="1"/>
    <xf numFmtId="165" fontId="17" fillId="4" borderId="13" xfId="0" applyNumberFormat="1" applyFont="1" applyFill="1" applyBorder="1"/>
    <xf numFmtId="165" fontId="0" fillId="4" borderId="13" xfId="0" applyNumberFormat="1" applyFill="1" applyBorder="1"/>
    <xf numFmtId="165" fontId="5" fillId="4" borderId="13" xfId="0" applyNumberFormat="1" applyFont="1" applyFill="1" applyBorder="1"/>
    <xf numFmtId="165" fontId="17" fillId="4" borderId="13" xfId="1" applyNumberFormat="1" applyFont="1" applyFill="1" applyBorder="1"/>
    <xf numFmtId="165" fontId="5" fillId="4" borderId="13" xfId="1" applyNumberFormat="1" applyFont="1" applyFill="1" applyBorder="1"/>
    <xf numFmtId="10" fontId="0" fillId="4" borderId="13" xfId="4" applyNumberFormat="1" applyFont="1" applyFill="1" applyBorder="1"/>
    <xf numFmtId="172" fontId="0" fillId="4" borderId="13" xfId="0" applyNumberFormat="1" applyFill="1" applyBorder="1"/>
    <xf numFmtId="169" fontId="0" fillId="4" borderId="13" xfId="1" applyNumberFormat="1" applyFont="1" applyFill="1" applyBorder="1"/>
    <xf numFmtId="0" fontId="0" fillId="4" borderId="13" xfId="0" applyFill="1" applyBorder="1"/>
    <xf numFmtId="169" fontId="2" fillId="4" borderId="13" xfId="1" applyNumberForma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5" fontId="5" fillId="0" borderId="0" xfId="1" applyFont="1" applyFill="1" applyBorder="1"/>
    <xf numFmtId="168" fontId="5" fillId="0" borderId="0" xfId="1" applyNumberFormat="1" applyFont="1" applyFill="1" applyBorder="1"/>
    <xf numFmtId="165" fontId="11" fillId="0" borderId="0" xfId="1" applyNumberFormat="1" applyFont="1" applyFill="1" applyBorder="1" applyAlignment="1">
      <alignment horizontal="right"/>
    </xf>
    <xf numFmtId="168" fontId="11" fillId="0" borderId="0" xfId="1" applyNumberFormat="1" applyFont="1" applyFill="1" applyBorder="1"/>
    <xf numFmtId="165" fontId="11" fillId="0" borderId="0" xfId="1" applyNumberFormat="1" applyFont="1" applyFill="1" applyAlignment="1">
      <alignment horizontal="right"/>
    </xf>
    <xf numFmtId="165" fontId="11"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165" fontId="11" fillId="8" borderId="9" xfId="1" applyFont="1" applyFill="1" applyBorder="1" applyAlignment="1">
      <alignment horizontal="right"/>
    </xf>
    <xf numFmtId="165" fontId="11" fillId="8" borderId="0" xfId="1" applyFont="1" applyFill="1" applyAlignment="1">
      <alignment horizontal="right"/>
    </xf>
    <xf numFmtId="165" fontId="11" fillId="8" borderId="10" xfId="1" applyFont="1" applyFill="1" applyBorder="1" applyAlignment="1">
      <alignment horizontal="right"/>
    </xf>
    <xf numFmtId="0" fontId="5" fillId="0" borderId="0" xfId="0" applyFont="1" applyFill="1" applyBorder="1"/>
    <xf numFmtId="166" fontId="2" fillId="0" borderId="0" xfId="4" applyNumberFormat="1" applyFill="1" applyBorder="1"/>
    <xf numFmtId="167" fontId="0" fillId="0" borderId="0" xfId="0" applyNumberFormat="1" applyFill="1" applyBorder="1"/>
    <xf numFmtId="10" fontId="0" fillId="0" borderId="0" xfId="4" applyNumberFormat="1" applyFont="1" applyFill="1" applyBorder="1"/>
    <xf numFmtId="166" fontId="0" fillId="0" borderId="0" xfId="4" applyNumberFormat="1" applyFont="1" applyFill="1" applyBorder="1"/>
    <xf numFmtId="165" fontId="11" fillId="0" borderId="0" xfId="1" applyFont="1" applyFill="1" applyBorder="1" applyAlignment="1">
      <alignment horizontal="right"/>
    </xf>
    <xf numFmtId="168" fontId="11" fillId="0" borderId="0" xfId="1" applyNumberFormat="1" applyFont="1" applyFill="1" applyBorder="1" applyAlignment="1">
      <alignment horizontal="right"/>
    </xf>
    <xf numFmtId="168" fontId="11" fillId="0" borderId="0" xfId="0" applyNumberFormat="1" applyFont="1" applyFill="1" applyBorder="1"/>
    <xf numFmtId="10" fontId="2" fillId="0" borderId="0" xfId="4" applyNumberFormat="1" applyFill="1" applyBorder="1"/>
    <xf numFmtId="0" fontId="9" fillId="0" borderId="0" xfId="0" applyFont="1" applyFill="1"/>
    <xf numFmtId="10" fontId="2" fillId="4" borderId="0" xfId="3" applyNumberFormat="1" applyFont="1" applyFill="1" applyBorder="1"/>
    <xf numFmtId="0" fontId="13" fillId="4" borderId="2" xfId="0" applyFont="1" applyFill="1" applyBorder="1" applyAlignment="1" applyProtection="1">
      <alignment horizontal="center"/>
    </xf>
    <xf numFmtId="172" fontId="0" fillId="4" borderId="14" xfId="0" applyNumberFormat="1" applyFill="1" applyBorder="1"/>
    <xf numFmtId="172" fontId="0" fillId="4" borderId="0" xfId="0" applyNumberFormat="1" applyFill="1" applyBorder="1"/>
    <xf numFmtId="172" fontId="2" fillId="4" borderId="13" xfId="1" applyNumberFormat="1" applyFill="1" applyBorder="1"/>
    <xf numFmtId="0" fontId="3" fillId="4" borderId="15" xfId="0" quotePrefix="1" applyFont="1" applyFill="1" applyBorder="1" applyAlignment="1">
      <alignment horizontal="right" vertical="center"/>
    </xf>
    <xf numFmtId="164" fontId="17" fillId="4" borderId="0" xfId="0" applyNumberFormat="1" applyFont="1" applyFill="1"/>
    <xf numFmtId="0" fontId="29" fillId="4" borderId="0" xfId="0" applyFont="1" applyFill="1"/>
    <xf numFmtId="173" fontId="0" fillId="7" borderId="1" xfId="1" applyNumberFormat="1" applyFont="1" applyFill="1" applyBorder="1"/>
    <xf numFmtId="166" fontId="0" fillId="7" borderId="1" xfId="4" applyNumberFormat="1" applyFont="1" applyFill="1" applyBorder="1"/>
    <xf numFmtId="0" fontId="3" fillId="7" borderId="1" xfId="0" applyFont="1" applyFill="1" applyBorder="1" applyAlignment="1">
      <alignment horizontal="center"/>
    </xf>
    <xf numFmtId="0" fontId="11" fillId="7" borderId="1" xfId="0" quotePrefix="1" applyFont="1" applyFill="1" applyBorder="1" applyAlignment="1">
      <alignment horizontal="right"/>
    </xf>
    <xf numFmtId="167" fontId="0" fillId="7" borderId="1" xfId="0" applyNumberFormat="1" applyFill="1" applyBorder="1"/>
    <xf numFmtId="0" fontId="3" fillId="4" borderId="0" xfId="0" quotePrefix="1" applyFont="1" applyFill="1" applyBorder="1" applyAlignment="1">
      <alignment horizontal="right"/>
    </xf>
    <xf numFmtId="165" fontId="3" fillId="4" borderId="0" xfId="0" applyNumberFormat="1" applyFont="1" applyFill="1" applyBorder="1"/>
    <xf numFmtId="0" fontId="2" fillId="4" borderId="0" xfId="0" applyFont="1" applyFill="1"/>
    <xf numFmtId="0" fontId="30" fillId="4" borderId="0" xfId="0" applyFont="1" applyFill="1"/>
    <xf numFmtId="165" fontId="0" fillId="0" borderId="0" xfId="0" applyNumberFormat="1"/>
    <xf numFmtId="0" fontId="3" fillId="4" borderId="0" xfId="0" applyFont="1" applyFill="1"/>
    <xf numFmtId="0" fontId="17" fillId="4" borderId="0" xfId="0" applyFont="1" applyFill="1"/>
    <xf numFmtId="0" fontId="28" fillId="4" borderId="0" xfId="0" applyFont="1" applyFill="1" applyBorder="1" applyAlignment="1">
      <alignment horizontal="center"/>
    </xf>
    <xf numFmtId="0" fontId="15" fillId="4" borderId="0" xfId="0" applyFont="1" applyFill="1" applyBorder="1" applyAlignment="1">
      <alignment horizontal="center"/>
    </xf>
    <xf numFmtId="0" fontId="17" fillId="4" borderId="0" xfId="0" applyFont="1" applyFill="1" applyBorder="1"/>
    <xf numFmtId="165" fontId="17" fillId="4" borderId="0" xfId="0" applyNumberFormat="1" applyFont="1" applyFill="1" applyAlignment="1">
      <alignment horizontal="right"/>
    </xf>
    <xf numFmtId="165" fontId="17" fillId="4" borderId="0" xfId="0" applyNumberFormat="1" applyFont="1" applyFill="1" applyBorder="1" applyAlignment="1">
      <alignment horizontal="right"/>
    </xf>
    <xf numFmtId="0" fontId="0" fillId="4" borderId="3" xfId="0" applyFill="1" applyBorder="1"/>
    <xf numFmtId="0" fontId="17" fillId="0" borderId="0" xfId="0" applyFont="1"/>
    <xf numFmtId="165" fontId="17" fillId="0" borderId="0" xfId="0" applyNumberFormat="1" applyFont="1" applyAlignment="1">
      <alignment horizontal="right"/>
    </xf>
    <xf numFmtId="0" fontId="17" fillId="4" borderId="0" xfId="0" applyFont="1" applyFill="1" applyAlignment="1">
      <alignment horizontal="right"/>
    </xf>
    <xf numFmtId="0" fontId="17" fillId="0" borderId="0" xfId="0" applyFont="1" applyAlignment="1">
      <alignment horizontal="right"/>
    </xf>
    <xf numFmtId="165" fontId="2" fillId="4" borderId="0" xfId="3" applyNumberFormat="1" applyFont="1" applyFill="1" applyBorder="1"/>
    <xf numFmtId="165" fontId="5" fillId="4" borderId="0" xfId="3" applyNumberFormat="1" applyFont="1" applyFill="1" applyBorder="1" applyAlignment="1">
      <alignment vertical="justify"/>
    </xf>
    <xf numFmtId="165" fontId="11" fillId="4" borderId="0" xfId="0" quotePrefix="1" applyNumberFormat="1" applyFont="1" applyFill="1" applyBorder="1" applyAlignment="1">
      <alignment horizontal="right"/>
    </xf>
    <xf numFmtId="165" fontId="11" fillId="4" borderId="0" xfId="0" applyNumberFormat="1" applyFont="1" applyFill="1" applyAlignment="1">
      <alignment horizontal="right"/>
    </xf>
    <xf numFmtId="165" fontId="3" fillId="4" borderId="0" xfId="0" applyNumberFormat="1" applyFont="1" applyFill="1" applyAlignment="1">
      <alignment horizontal="right"/>
    </xf>
    <xf numFmtId="165" fontId="3" fillId="0" borderId="0" xfId="0" applyNumberFormat="1" applyFont="1" applyFill="1" applyAlignment="1">
      <alignment horizontal="right"/>
    </xf>
    <xf numFmtId="165" fontId="17" fillId="4" borderId="0" xfId="0" applyNumberFormat="1" applyFont="1" applyFill="1" applyAlignment="1">
      <alignment horizontal="left"/>
    </xf>
    <xf numFmtId="0" fontId="3" fillId="7" borderId="1" xfId="0" applyFont="1" applyFill="1" applyBorder="1" applyAlignment="1">
      <alignment horizontal="right"/>
    </xf>
    <xf numFmtId="0" fontId="0" fillId="7" borderId="1" xfId="0" applyFill="1" applyBorder="1" applyAlignment="1">
      <alignment horizontal="right"/>
    </xf>
    <xf numFmtId="0" fontId="5" fillId="4" borderId="0" xfId="0" applyFont="1" applyFill="1" applyBorder="1" applyAlignment="1">
      <alignment horizontal="right"/>
    </xf>
    <xf numFmtId="0" fontId="5" fillId="4" borderId="0" xfId="0" applyFont="1" applyFill="1" applyAlignment="1">
      <alignment horizontal="right"/>
    </xf>
    <xf numFmtId="165" fontId="17" fillId="0" borderId="0" xfId="0" applyNumberFormat="1" applyFont="1"/>
    <xf numFmtId="166" fontId="10" fillId="4" borderId="0" xfId="4" applyNumberFormat="1" applyFont="1" applyFill="1" applyBorder="1"/>
    <xf numFmtId="169" fontId="10" fillId="4" borderId="13" xfId="1" applyNumberFormat="1" applyFont="1" applyFill="1" applyBorder="1"/>
    <xf numFmtId="165" fontId="12" fillId="4" borderId="0" xfId="0" applyNumberFormat="1" applyFont="1" applyFill="1" applyBorder="1" applyAlignment="1">
      <alignment horizontal="right"/>
    </xf>
    <xf numFmtId="0" fontId="3" fillId="4" borderId="0" xfId="0" applyFont="1" applyFill="1" applyAlignment="1">
      <alignment horizontal="center"/>
    </xf>
    <xf numFmtId="165" fontId="3" fillId="4" borderId="0" xfId="0" applyNumberFormat="1" applyFont="1" applyFill="1" applyAlignment="1">
      <alignment horizontal="center"/>
    </xf>
    <xf numFmtId="0" fontId="3" fillId="0" borderId="0" xfId="0" applyFont="1" applyAlignment="1">
      <alignment horizontal="center"/>
    </xf>
    <xf numFmtId="165" fontId="5" fillId="4" borderId="0" xfId="0" applyNumberFormat="1" applyFont="1" applyFill="1" applyBorder="1" applyAlignment="1">
      <alignment horizontal="right"/>
    </xf>
    <xf numFmtId="165" fontId="5" fillId="9" borderId="0" xfId="0" applyNumberFormat="1" applyFont="1" applyFill="1" applyBorder="1"/>
    <xf numFmtId="0" fontId="3" fillId="4" borderId="3" xfId="0" applyFont="1" applyFill="1" applyBorder="1" applyAlignment="1">
      <alignment horizontal="center" wrapText="1"/>
    </xf>
    <xf numFmtId="165" fontId="3" fillId="4" borderId="3" xfId="0" applyNumberFormat="1" applyFont="1" applyFill="1" applyBorder="1" applyAlignment="1">
      <alignment horizontal="center" wrapText="1"/>
    </xf>
    <xf numFmtId="165" fontId="5" fillId="4" borderId="4" xfId="0" applyNumberFormat="1" applyFont="1" applyFill="1" applyBorder="1" applyAlignment="1">
      <alignment horizontal="right"/>
    </xf>
    <xf numFmtId="165" fontId="5" fillId="9" borderId="4" xfId="0" applyNumberFormat="1" applyFont="1" applyFill="1" applyBorder="1"/>
    <xf numFmtId="0" fontId="0" fillId="9" borderId="4" xfId="0" applyFill="1" applyBorder="1"/>
    <xf numFmtId="0" fontId="32" fillId="4" borderId="0" xfId="0" applyFont="1" applyFill="1"/>
    <xf numFmtId="0" fontId="5" fillId="4" borderId="7" xfId="0" applyFont="1" applyFill="1" applyBorder="1" applyAlignment="1">
      <alignment horizontal="right"/>
    </xf>
    <xf numFmtId="0" fontId="32" fillId="4" borderId="0" xfId="0" applyFont="1" applyFill="1" applyBorder="1"/>
    <xf numFmtId="0" fontId="8" fillId="4" borderId="0" xfId="0" applyFont="1" applyFill="1"/>
    <xf numFmtId="165" fontId="11" fillId="4" borderId="0" xfId="1" applyNumberFormat="1" applyFont="1" applyFill="1" applyBorder="1"/>
    <xf numFmtId="0" fontId="28" fillId="4" borderId="16" xfId="0" applyFont="1" applyFill="1" applyBorder="1" applyAlignment="1"/>
    <xf numFmtId="0" fontId="28" fillId="4" borderId="17" xfId="0" applyFont="1" applyFill="1" applyBorder="1" applyAlignment="1"/>
    <xf numFmtId="169" fontId="5" fillId="4" borderId="2" xfId="1" applyNumberFormat="1" applyFont="1" applyFill="1" applyBorder="1"/>
    <xf numFmtId="0" fontId="33" fillId="4" borderId="0" xfId="0" applyFont="1" applyFill="1"/>
    <xf numFmtId="165" fontId="5" fillId="5" borderId="18" xfId="1" applyNumberFormat="1" applyFont="1" applyFill="1" applyBorder="1" applyAlignment="1">
      <alignment horizontal="right" vertical="center"/>
    </xf>
    <xf numFmtId="165" fontId="5" fillId="4" borderId="19" xfId="0" applyNumberFormat="1" applyFont="1" applyFill="1" applyBorder="1" applyAlignment="1">
      <alignment vertical="center"/>
    </xf>
    <xf numFmtId="165" fontId="5" fillId="4" borderId="18" xfId="1" applyNumberFormat="1" applyFont="1" applyFill="1" applyBorder="1" applyAlignment="1">
      <alignment horizontal="right" vertical="center"/>
    </xf>
    <xf numFmtId="165" fontId="5" fillId="0" borderId="19" xfId="0" applyNumberFormat="1" applyFont="1" applyFill="1" applyBorder="1" applyAlignment="1">
      <alignment vertical="center"/>
    </xf>
    <xf numFmtId="165" fontId="5" fillId="4" borderId="0" xfId="0" applyNumberFormat="1" applyFont="1" applyFill="1" applyBorder="1" applyAlignment="1">
      <alignment horizontal="left"/>
    </xf>
    <xf numFmtId="165" fontId="5" fillId="4" borderId="4" xfId="0" applyNumberFormat="1" applyFont="1" applyFill="1" applyBorder="1" applyAlignment="1">
      <alignment horizontal="left"/>
    </xf>
    <xf numFmtId="165" fontId="5" fillId="4" borderId="0" xfId="1" applyFont="1" applyFill="1" applyBorder="1" applyAlignment="1">
      <alignment horizontal="center" vertical="center"/>
    </xf>
    <xf numFmtId="165" fontId="2" fillId="4" borderId="13" xfId="1" applyNumberFormat="1" applyFill="1" applyBorder="1"/>
    <xf numFmtId="165" fontId="0" fillId="4" borderId="13" xfId="1" applyNumberFormat="1" applyFont="1" applyFill="1" applyBorder="1"/>
    <xf numFmtId="165" fontId="0" fillId="4" borderId="0" xfId="1" applyNumberFormat="1" applyFont="1" applyFill="1"/>
    <xf numFmtId="165" fontId="10" fillId="4" borderId="13" xfId="1" applyNumberFormat="1" applyFont="1" applyFill="1" applyBorder="1"/>
    <xf numFmtId="165" fontId="10" fillId="4" borderId="0" xfId="1" applyNumberFormat="1" applyFont="1" applyFill="1"/>
    <xf numFmtId="165" fontId="5" fillId="4" borderId="0" xfId="0" applyNumberFormat="1" applyFont="1" applyFill="1" applyBorder="1"/>
    <xf numFmtId="165" fontId="0" fillId="4" borderId="0" xfId="1" applyNumberFormat="1" applyFont="1" applyFill="1" applyBorder="1"/>
    <xf numFmtId="165" fontId="5" fillId="4" borderId="0" xfId="1" applyNumberFormat="1" applyFont="1" applyFill="1"/>
    <xf numFmtId="170" fontId="17" fillId="4" borderId="0" xfId="0" applyNumberFormat="1" applyFont="1" applyFill="1" applyAlignment="1">
      <alignment horizontal="right"/>
    </xf>
    <xf numFmtId="165" fontId="5" fillId="4" borderId="0" xfId="0" applyNumberFormat="1" applyFont="1" applyFill="1" applyAlignment="1">
      <alignment horizontal="right"/>
    </xf>
    <xf numFmtId="165" fontId="5" fillId="4" borderId="4" xfId="0" applyNumberFormat="1" applyFont="1" applyFill="1" applyBorder="1"/>
    <xf numFmtId="165" fontId="11" fillId="4" borderId="0" xfId="0" applyNumberFormat="1" applyFont="1" applyFill="1" applyBorder="1" applyAlignment="1">
      <alignment horizontal="right"/>
    </xf>
    <xf numFmtId="0" fontId="9" fillId="4" borderId="2" xfId="0" applyFont="1" applyFill="1" applyBorder="1"/>
    <xf numFmtId="0" fontId="0" fillId="0" borderId="2" xfId="0" applyBorder="1"/>
    <xf numFmtId="17" fontId="9" fillId="4" borderId="0" xfId="0" quotePrefix="1" applyNumberFormat="1" applyFont="1" applyFill="1"/>
    <xf numFmtId="0" fontId="34" fillId="0" borderId="0" xfId="0" applyFont="1"/>
    <xf numFmtId="168" fontId="17" fillId="4" borderId="0" xfId="0" applyNumberFormat="1" applyFont="1" applyFill="1" applyAlignment="1">
      <alignment horizontal="right"/>
    </xf>
    <xf numFmtId="10" fontId="2" fillId="11" borderId="0" xfId="4" applyNumberFormat="1" applyFill="1" applyBorder="1"/>
    <xf numFmtId="0" fontId="12" fillId="4" borderId="0" xfId="0" applyFont="1" applyFill="1" applyBorder="1" applyAlignment="1">
      <alignment horizontal="right"/>
    </xf>
    <xf numFmtId="165" fontId="11" fillId="12" borderId="2" xfId="1" applyNumberFormat="1" applyFont="1" applyFill="1" applyBorder="1" applyAlignment="1">
      <alignment horizontal="right"/>
    </xf>
    <xf numFmtId="170" fontId="17" fillId="4" borderId="0" xfId="0" applyNumberFormat="1" applyFont="1" applyFill="1"/>
    <xf numFmtId="170" fontId="5" fillId="4" borderId="0" xfId="1" applyNumberFormat="1" applyFont="1" applyFill="1" applyBorder="1" applyAlignment="1">
      <alignment horizontal="center" vertical="center"/>
    </xf>
    <xf numFmtId="165" fontId="5" fillId="5" borderId="21" xfId="1" applyNumberFormat="1" applyFont="1" applyFill="1" applyBorder="1" applyAlignment="1">
      <alignment horizontal="right" vertical="center"/>
    </xf>
    <xf numFmtId="165" fontId="0" fillId="11" borderId="0" xfId="0" applyNumberFormat="1" applyFill="1"/>
    <xf numFmtId="165" fontId="17" fillId="11" borderId="0" xfId="0" applyNumberFormat="1" applyFont="1" applyFill="1"/>
    <xf numFmtId="0" fontId="2" fillId="4" borderId="0" xfId="0" applyFont="1" applyFill="1" applyAlignment="1">
      <alignment horizontal="left"/>
    </xf>
    <xf numFmtId="165" fontId="5" fillId="11" borderId="13" xfId="0" applyNumberFormat="1" applyFont="1" applyFill="1" applyBorder="1"/>
    <xf numFmtId="165" fontId="11" fillId="11" borderId="0" xfId="0" quotePrefix="1" applyNumberFormat="1" applyFont="1" applyFill="1" applyBorder="1" applyAlignment="1">
      <alignment horizontal="right"/>
    </xf>
    <xf numFmtId="165" fontId="2" fillId="4" borderId="0" xfId="1" applyFill="1"/>
    <xf numFmtId="165" fontId="2" fillId="4" borderId="0" xfId="1" applyFont="1" applyFill="1"/>
    <xf numFmtId="173" fontId="11" fillId="4" borderId="0" xfId="1" applyNumberFormat="1" applyFont="1" applyFill="1" applyAlignment="1">
      <alignment horizontal="right"/>
    </xf>
    <xf numFmtId="0" fontId="3" fillId="7" borderId="0" xfId="0" applyFont="1" applyFill="1"/>
    <xf numFmtId="0" fontId="3" fillId="0" borderId="1" xfId="0" applyFont="1" applyBorder="1"/>
    <xf numFmtId="4" fontId="39" fillId="0" borderId="0" xfId="0" applyNumberFormat="1" applyFont="1" applyFill="1"/>
    <xf numFmtId="4" fontId="38" fillId="0" borderId="0" xfId="0" applyNumberFormat="1" applyFont="1" applyFill="1"/>
    <xf numFmtId="0" fontId="40" fillId="0" borderId="0" xfId="0" applyFont="1" applyBorder="1"/>
    <xf numFmtId="0" fontId="2" fillId="0" borderId="0" xfId="0" applyFont="1" applyFill="1"/>
    <xf numFmtId="0" fontId="2" fillId="0" borderId="0" xfId="0" applyFont="1"/>
    <xf numFmtId="0" fontId="2" fillId="0" borderId="0" xfId="0" applyFont="1" applyFill="1" applyProtection="1"/>
    <xf numFmtId="1" fontId="3" fillId="0" borderId="0" xfId="0" applyNumberFormat="1" applyFont="1"/>
    <xf numFmtId="0" fontId="40" fillId="0" borderId="0" xfId="0" applyFont="1"/>
    <xf numFmtId="174" fontId="2" fillId="0" borderId="25" xfId="0" quotePrefix="1" applyNumberFormat="1" applyFont="1" applyBorder="1" applyAlignment="1">
      <alignment horizontal="center"/>
    </xf>
    <xf numFmtId="0" fontId="2" fillId="0" borderId="22" xfId="0" applyFont="1" applyFill="1" applyBorder="1" applyAlignment="1">
      <alignment horizontal="center"/>
    </xf>
    <xf numFmtId="0" fontId="41" fillId="0" borderId="0" xfId="0" applyFont="1" applyFill="1"/>
    <xf numFmtId="174" fontId="2" fillId="0" borderId="6" xfId="0" applyNumberFormat="1" applyFont="1" applyFill="1" applyBorder="1" applyAlignment="1">
      <alignment horizontal="center"/>
    </xf>
    <xf numFmtId="0" fontId="2" fillId="0" borderId="26" xfId="0" applyFont="1" applyFill="1" applyBorder="1" applyAlignment="1">
      <alignment horizontal="center"/>
    </xf>
    <xf numFmtId="4" fontId="2" fillId="13" borderId="5" xfId="0" applyNumberFormat="1" applyFont="1" applyFill="1" applyBorder="1"/>
    <xf numFmtId="166" fontId="2" fillId="13" borderId="25" xfId="0" applyNumberFormat="1" applyFont="1" applyFill="1" applyBorder="1"/>
    <xf numFmtId="166" fontId="2" fillId="13" borderId="5" xfId="0" applyNumberFormat="1" applyFont="1" applyFill="1" applyBorder="1"/>
    <xf numFmtId="4" fontId="2" fillId="0" borderId="27" xfId="0" applyNumberFormat="1" applyFont="1" applyFill="1" applyBorder="1"/>
    <xf numFmtId="2" fontId="23" fillId="0" borderId="6" xfId="0" applyNumberFormat="1" applyFont="1" applyFill="1" applyBorder="1"/>
    <xf numFmtId="2" fontId="2" fillId="0" borderId="0" xfId="0" applyNumberFormat="1" applyFont="1" applyFill="1" applyBorder="1"/>
    <xf numFmtId="2" fontId="23" fillId="0" borderId="0" xfId="0" applyNumberFormat="1" applyFont="1" applyFill="1"/>
    <xf numFmtId="0" fontId="3" fillId="0" borderId="0" xfId="0" applyFont="1"/>
    <xf numFmtId="0" fontId="3" fillId="0" borderId="1" xfId="0" applyFont="1" applyBorder="1" applyAlignment="1" applyProtection="1">
      <alignment horizontal="right"/>
    </xf>
    <xf numFmtId="0" fontId="42" fillId="0" borderId="0" xfId="0" applyFont="1"/>
    <xf numFmtId="4" fontId="23" fillId="0" borderId="0" xfId="0" applyNumberFormat="1" applyFont="1" applyFill="1" applyBorder="1"/>
    <xf numFmtId="4" fontId="2" fillId="0" borderId="0" xfId="0" applyNumberFormat="1" applyFont="1" applyBorder="1"/>
    <xf numFmtId="4" fontId="2" fillId="0" borderId="2" xfId="0" applyNumberFormat="1" applyFont="1" applyBorder="1"/>
    <xf numFmtId="0" fontId="41" fillId="0" borderId="0" xfId="0" applyFont="1"/>
    <xf numFmtId="4" fontId="2" fillId="13" borderId="25" xfId="0" applyNumberFormat="1" applyFont="1" applyFill="1" applyBorder="1"/>
    <xf numFmtId="166" fontId="2" fillId="0" borderId="6" xfId="0" applyNumberFormat="1" applyFont="1" applyFill="1" applyBorder="1"/>
    <xf numFmtId="4" fontId="23" fillId="0" borderId="0" xfId="0" applyNumberFormat="1" applyFont="1" applyBorder="1"/>
    <xf numFmtId="4" fontId="3" fillId="0" borderId="1" xfId="0" applyNumberFormat="1" applyFont="1" applyBorder="1" applyAlignment="1">
      <alignment horizontal="right"/>
    </xf>
    <xf numFmtId="4" fontId="2" fillId="0" borderId="0" xfId="0" applyNumberFormat="1" applyFont="1"/>
    <xf numFmtId="0" fontId="2" fillId="0" borderId="25" xfId="0" applyFont="1" applyFill="1" applyBorder="1" applyAlignment="1">
      <alignment horizontal="center"/>
    </xf>
    <xf numFmtId="0" fontId="2" fillId="0" borderId="6" xfId="0" applyFont="1" applyFill="1" applyBorder="1" applyAlignment="1">
      <alignment horizontal="center"/>
    </xf>
    <xf numFmtId="166" fontId="2" fillId="0" borderId="0" xfId="0" applyNumberFormat="1" applyFont="1" applyFill="1"/>
    <xf numFmtId="2" fontId="2" fillId="0" borderId="0" xfId="0" applyNumberFormat="1" applyFont="1" applyFill="1"/>
    <xf numFmtId="0" fontId="43" fillId="0" borderId="0" xfId="0" applyFont="1"/>
    <xf numFmtId="4" fontId="2" fillId="13" borderId="0" xfId="0" applyNumberFormat="1" applyFont="1" applyFill="1"/>
    <xf numFmtId="4" fontId="2" fillId="0" borderId="1" xfId="0" applyNumberFormat="1" applyFont="1" applyFill="1" applyBorder="1"/>
    <xf numFmtId="4" fontId="2" fillId="13" borderId="27" xfId="0" applyNumberFormat="1" applyFont="1" applyFill="1" applyBorder="1"/>
    <xf numFmtId="166" fontId="2" fillId="13" borderId="27" xfId="0" applyNumberFormat="1" applyFont="1" applyFill="1" applyBorder="1"/>
    <xf numFmtId="0" fontId="3" fillId="0" borderId="0" xfId="0" applyFont="1" applyFill="1"/>
    <xf numFmtId="0" fontId="2" fillId="0" borderId="0" xfId="0" applyFont="1" applyFill="1" applyBorder="1" applyAlignment="1">
      <alignment horizontal="left"/>
    </xf>
    <xf numFmtId="0" fontId="2" fillId="0" borderId="0" xfId="0" applyFont="1" applyFill="1" applyBorder="1" applyAlignment="1">
      <alignment horizontal="left" vertical="center" textRotation="255"/>
    </xf>
    <xf numFmtId="0" fontId="2" fillId="0" borderId="0" xfId="0" applyFont="1" applyFill="1" applyAlignment="1">
      <alignment horizontal="left"/>
    </xf>
    <xf numFmtId="0" fontId="3" fillId="0" borderId="0" xfId="0" applyFont="1" applyFill="1" applyBorder="1" applyAlignment="1">
      <alignment horizontal="center" vertical="center" textRotation="255"/>
    </xf>
    <xf numFmtId="0" fontId="2" fillId="6" borderId="0" xfId="0" applyFont="1" applyFill="1"/>
    <xf numFmtId="0" fontId="2" fillId="0" borderId="2" xfId="0" applyFont="1" applyBorder="1"/>
    <xf numFmtId="0" fontId="2" fillId="0" borderId="2" xfId="0" applyFont="1" applyFill="1" applyBorder="1"/>
    <xf numFmtId="4" fontId="23" fillId="0" borderId="0" xfId="0" applyNumberFormat="1" applyFont="1" applyFill="1"/>
    <xf numFmtId="4" fontId="2" fillId="0" borderId="0" xfId="0" applyNumberFormat="1" applyFont="1" applyFill="1"/>
    <xf numFmtId="4" fontId="2" fillId="0" borderId="2" xfId="0" applyNumberFormat="1" applyFont="1" applyFill="1" applyBorder="1"/>
    <xf numFmtId="4" fontId="2" fillId="14" borderId="0" xfId="0" applyNumberFormat="1" applyFont="1" applyFill="1"/>
    <xf numFmtId="165" fontId="2" fillId="15" borderId="0" xfId="0" applyNumberFormat="1" applyFont="1" applyFill="1"/>
    <xf numFmtId="4" fontId="2" fillId="11" borderId="0" xfId="0" applyNumberFormat="1" applyFont="1" applyFill="1"/>
    <xf numFmtId="175" fontId="44" fillId="4" borderId="0" xfId="0" applyNumberFormat="1" applyFont="1" applyFill="1"/>
    <xf numFmtId="0" fontId="45" fillId="16" borderId="16" xfId="0" applyFont="1" applyFill="1" applyBorder="1"/>
    <xf numFmtId="0" fontId="46" fillId="0" borderId="16" xfId="0" applyFont="1" applyBorder="1"/>
    <xf numFmtId="0" fontId="46" fillId="0" borderId="0" xfId="0" applyFont="1"/>
    <xf numFmtId="0" fontId="45" fillId="16" borderId="27" xfId="0" applyFont="1" applyFill="1" applyBorder="1"/>
    <xf numFmtId="0" fontId="46" fillId="0" borderId="28" xfId="0" applyFont="1" applyBorder="1"/>
    <xf numFmtId="0" fontId="46" fillId="0" borderId="29" xfId="0" applyFont="1" applyBorder="1"/>
    <xf numFmtId="0" fontId="46" fillId="0" borderId="30" xfId="0" applyFont="1" applyBorder="1"/>
    <xf numFmtId="0" fontId="47" fillId="0" borderId="16" xfId="0" applyFont="1" applyBorder="1"/>
    <xf numFmtId="0" fontId="45" fillId="16" borderId="27" xfId="0" applyFont="1" applyFill="1" applyBorder="1" applyAlignment="1">
      <alignment horizontal="right"/>
    </xf>
    <xf numFmtId="4" fontId="3" fillId="0" borderId="27" xfId="0" applyNumberFormat="1" applyFont="1" applyBorder="1"/>
    <xf numFmtId="3" fontId="45" fillId="16" borderId="27" xfId="0" applyNumberFormat="1" applyFont="1" applyFill="1" applyBorder="1" applyAlignment="1">
      <alignment horizontal="right"/>
    </xf>
    <xf numFmtId="0" fontId="0" fillId="0" borderId="3" xfId="0" applyBorder="1"/>
    <xf numFmtId="0" fontId="0" fillId="0" borderId="22" xfId="0" applyBorder="1"/>
    <xf numFmtId="4" fontId="48" fillId="0" borderId="26" xfId="0" applyNumberFormat="1" applyFont="1" applyBorder="1"/>
    <xf numFmtId="165" fontId="48" fillId="0" borderId="0" xfId="0" applyNumberFormat="1" applyFont="1" applyBorder="1"/>
    <xf numFmtId="165" fontId="48" fillId="0" borderId="23" xfId="0" applyNumberFormat="1" applyFont="1" applyBorder="1"/>
    <xf numFmtId="0" fontId="48" fillId="0" borderId="0" xfId="0" applyFont="1" applyBorder="1"/>
    <xf numFmtId="0" fontId="48" fillId="0" borderId="23" xfId="0" applyFont="1" applyBorder="1"/>
    <xf numFmtId="4" fontId="48" fillId="0" borderId="23" xfId="0" applyNumberFormat="1" applyFont="1" applyBorder="1"/>
    <xf numFmtId="0" fontId="48" fillId="0" borderId="2" xfId="0" applyFont="1" applyBorder="1"/>
    <xf numFmtId="165" fontId="48" fillId="0" borderId="26" xfId="0" applyNumberFormat="1" applyFont="1" applyBorder="1"/>
    <xf numFmtId="10" fontId="44" fillId="5" borderId="20" xfId="1" applyNumberFormat="1" applyFont="1" applyFill="1" applyBorder="1"/>
    <xf numFmtId="10" fontId="0" fillId="4" borderId="0" xfId="4" applyNumberFormat="1" applyFont="1" applyFill="1" applyAlignment="1">
      <alignment horizontal="center"/>
    </xf>
    <xf numFmtId="4" fontId="2" fillId="0" borderId="0" xfId="0" applyNumberFormat="1" applyFont="1" applyFill="1" applyBorder="1"/>
    <xf numFmtId="0" fontId="49" fillId="17" borderId="0" xfId="0" applyFont="1" applyFill="1"/>
    <xf numFmtId="0" fontId="50" fillId="17" borderId="0" xfId="0" applyFont="1" applyFill="1"/>
    <xf numFmtId="0" fontId="51" fillId="0" borderId="0" xfId="0" applyFont="1"/>
    <xf numFmtId="0" fontId="45" fillId="17" borderId="16" xfId="0" applyFont="1" applyFill="1" applyBorder="1" applyAlignment="1">
      <alignment horizontal="left" vertical="center" wrapText="1"/>
    </xf>
    <xf numFmtId="0" fontId="45" fillId="17" borderId="17" xfId="0" applyFont="1" applyFill="1" applyBorder="1" applyAlignment="1">
      <alignment horizontal="center" wrapText="1"/>
    </xf>
    <xf numFmtId="0" fontId="46" fillId="0" borderId="31" xfId="0" applyFont="1" applyBorder="1" applyAlignment="1">
      <alignment horizontal="left" vertical="center" wrapText="1"/>
    </xf>
    <xf numFmtId="0" fontId="46" fillId="0" borderId="28" xfId="0" applyFont="1" applyBorder="1" applyAlignment="1">
      <alignment horizontal="left" vertical="center" wrapText="1"/>
    </xf>
    <xf numFmtId="0" fontId="45" fillId="16" borderId="27" xfId="0" applyFont="1" applyFill="1" applyBorder="1" applyAlignment="1">
      <alignment vertical="top" wrapText="1"/>
    </xf>
    <xf numFmtId="0" fontId="45" fillId="16" borderId="27" xfId="0" applyFont="1" applyFill="1" applyBorder="1" applyAlignment="1">
      <alignment horizontal="right" vertical="top" wrapText="1"/>
    </xf>
    <xf numFmtId="3" fontId="45" fillId="16" borderId="27" xfId="0" applyNumberFormat="1" applyFont="1" applyFill="1" applyBorder="1" applyAlignment="1">
      <alignment horizontal="right" vertical="top" wrapText="1"/>
    </xf>
    <xf numFmtId="0" fontId="46" fillId="0" borderId="33" xfId="0" applyFont="1" applyBorder="1"/>
    <xf numFmtId="0" fontId="46" fillId="0" borderId="34" xfId="0" applyFont="1" applyBorder="1"/>
    <xf numFmtId="0" fontId="0" fillId="0" borderId="24" xfId="0" applyBorder="1"/>
    <xf numFmtId="0" fontId="46" fillId="0" borderId="32" xfId="0" applyFont="1" applyBorder="1" applyAlignment="1">
      <alignment horizontal="left" vertical="center" wrapText="1"/>
    </xf>
    <xf numFmtId="0" fontId="46" fillId="0" borderId="35" xfId="0" applyFont="1" applyBorder="1" applyAlignment="1">
      <alignment horizontal="left" vertical="center" wrapText="1"/>
    </xf>
    <xf numFmtId="0" fontId="52" fillId="4" borderId="16" xfId="0" applyFont="1" applyFill="1" applyBorder="1" applyAlignment="1">
      <alignment horizontal="left" vertical="center" wrapText="1"/>
    </xf>
    <xf numFmtId="0" fontId="46" fillId="0" borderId="1" xfId="0" applyFont="1" applyBorder="1" applyAlignment="1">
      <alignment vertical="center"/>
    </xf>
    <xf numFmtId="0" fontId="52" fillId="4" borderId="1" xfId="0" applyFont="1" applyFill="1" applyBorder="1" applyAlignment="1">
      <alignment horizontal="center" vertical="center" wrapText="1"/>
    </xf>
    <xf numFmtId="0" fontId="52" fillId="4" borderId="17" xfId="0" applyFont="1" applyFill="1" applyBorder="1" applyAlignment="1">
      <alignment horizontal="center" vertical="center" wrapText="1"/>
    </xf>
    <xf numFmtId="4" fontId="2" fillId="0" borderId="5" xfId="0" applyNumberFormat="1" applyFont="1" applyFill="1" applyBorder="1" applyProtection="1"/>
    <xf numFmtId="4" fontId="2" fillId="0" borderId="25" xfId="0" applyNumberFormat="1" applyFont="1" applyBorder="1"/>
    <xf numFmtId="4" fontId="2" fillId="0" borderId="5" xfId="0" applyNumberFormat="1" applyFont="1" applyBorder="1"/>
    <xf numFmtId="4" fontId="2" fillId="0" borderId="6" xfId="0" applyNumberFormat="1" applyFont="1" applyBorder="1"/>
    <xf numFmtId="4" fontId="2" fillId="0" borderId="25" xfId="0" applyNumberFormat="1" applyFont="1" applyFill="1" applyBorder="1" applyProtection="1"/>
    <xf numFmtId="4" fontId="2" fillId="0" borderId="6" xfId="0" applyNumberFormat="1" applyFont="1" applyFill="1" applyBorder="1" applyProtection="1"/>
    <xf numFmtId="165" fontId="2" fillId="0" borderId="0" xfId="1" applyFont="1" applyFill="1"/>
    <xf numFmtId="4" fontId="0" fillId="0" borderId="0" xfId="0" applyNumberFormat="1"/>
    <xf numFmtId="165" fontId="5" fillId="18" borderId="4" xfId="1" applyNumberFormat="1" applyFont="1" applyFill="1" applyBorder="1" applyAlignment="1">
      <alignment horizontal="right" vertical="center"/>
    </xf>
    <xf numFmtId="165" fontId="5" fillId="18" borderId="0" xfId="1" applyNumberFormat="1" applyFont="1" applyFill="1" applyBorder="1" applyAlignment="1">
      <alignment horizontal="right" vertical="center"/>
    </xf>
    <xf numFmtId="165" fontId="0" fillId="4" borderId="0" xfId="0" applyNumberFormat="1" applyFill="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165" fontId="17" fillId="19" borderId="0" xfId="0" applyNumberFormat="1" applyFont="1" applyFill="1"/>
    <xf numFmtId="167" fontId="0" fillId="18" borderId="0" xfId="0" applyNumberFormat="1" applyFill="1" applyBorder="1" applyAlignment="1">
      <alignment horizontal="center" wrapText="1"/>
    </xf>
    <xf numFmtId="165" fontId="2" fillId="20" borderId="0" xfId="0" applyNumberFormat="1" applyFont="1" applyFill="1"/>
    <xf numFmtId="165" fontId="2" fillId="11" borderId="0" xfId="0" applyNumberFormat="1" applyFont="1" applyFill="1"/>
    <xf numFmtId="167" fontId="5" fillId="18" borderId="0" xfId="0" applyNumberFormat="1" applyFont="1" applyFill="1" applyBorder="1" applyAlignment="1">
      <alignment horizontal="center" vertical="center" wrapText="1"/>
    </xf>
    <xf numFmtId="165" fontId="5" fillId="18" borderId="12" xfId="1" applyNumberFormat="1" applyFont="1" applyFill="1" applyBorder="1" applyAlignment="1">
      <alignment horizontal="right" vertical="center"/>
    </xf>
    <xf numFmtId="165" fontId="5" fillId="18" borderId="21" xfId="1" applyNumberFormat="1" applyFont="1" applyFill="1" applyBorder="1" applyAlignment="1">
      <alignment horizontal="right" vertical="center"/>
    </xf>
    <xf numFmtId="167" fontId="5" fillId="5" borderId="4" xfId="0" applyNumberFormat="1" applyFont="1" applyFill="1" applyBorder="1" applyAlignment="1">
      <alignment horizontal="right" vertical="center"/>
    </xf>
    <xf numFmtId="167" fontId="5" fillId="18" borderId="0" xfId="0" applyNumberFormat="1" applyFont="1" applyFill="1" applyBorder="1" applyAlignment="1">
      <alignment horizontal="right" vertical="center"/>
    </xf>
    <xf numFmtId="167" fontId="5" fillId="5" borderId="0" xfId="0" applyNumberFormat="1" applyFont="1" applyFill="1" applyBorder="1" applyAlignment="1">
      <alignment horizontal="right" vertical="center"/>
    </xf>
    <xf numFmtId="167" fontId="0" fillId="5" borderId="4" xfId="0" applyNumberFormat="1" applyFill="1" applyBorder="1" applyAlignment="1">
      <alignment horizontal="right"/>
    </xf>
    <xf numFmtId="167" fontId="0" fillId="18" borderId="0" xfId="0" applyNumberFormat="1" applyFill="1" applyBorder="1" applyAlignment="1">
      <alignment horizontal="right"/>
    </xf>
    <xf numFmtId="167" fontId="0" fillId="5" borderId="0" xfId="0" applyNumberFormat="1" applyFill="1" applyBorder="1" applyAlignment="1">
      <alignment horizontal="right"/>
    </xf>
    <xf numFmtId="165" fontId="5" fillId="4" borderId="0" xfId="1" applyFont="1" applyFill="1" applyBorder="1" applyAlignment="1">
      <alignment horizontal="right" vertical="center"/>
    </xf>
    <xf numFmtId="165" fontId="2" fillId="11" borderId="0" xfId="1" applyNumberFormat="1" applyFill="1"/>
    <xf numFmtId="165" fontId="5" fillId="11" borderId="0" xfId="0" applyNumberFormat="1" applyFont="1" applyFill="1"/>
    <xf numFmtId="165" fontId="37" fillId="11" borderId="0" xfId="1" applyNumberFormat="1" applyFont="1" applyFill="1"/>
    <xf numFmtId="0" fontId="5" fillId="11" borderId="0" xfId="0" applyFont="1" applyFill="1"/>
    <xf numFmtId="0" fontId="11" fillId="11" borderId="0" xfId="0" quotePrefix="1" applyFont="1" applyFill="1" applyBorder="1" applyAlignment="1">
      <alignment horizontal="right"/>
    </xf>
    <xf numFmtId="0" fontId="0" fillId="11" borderId="0" xfId="0" applyFill="1"/>
    <xf numFmtId="165" fontId="37" fillId="11" borderId="13" xfId="1" applyNumberFormat="1" applyFont="1" applyFill="1" applyBorder="1"/>
    <xf numFmtId="165" fontId="10" fillId="11" borderId="0" xfId="1" applyNumberFormat="1" applyFont="1" applyFill="1"/>
    <xf numFmtId="165" fontId="5" fillId="11" borderId="0" xfId="0" applyNumberFormat="1" applyFont="1" applyFill="1" applyBorder="1"/>
    <xf numFmtId="0" fontId="2" fillId="11" borderId="0" xfId="0" applyFont="1" applyFill="1"/>
    <xf numFmtId="0" fontId="32" fillId="11" borderId="0" xfId="0" applyFont="1" applyFill="1"/>
    <xf numFmtId="43" fontId="5" fillId="4" borderId="0" xfId="0" applyNumberFormat="1" applyFont="1" applyFill="1"/>
    <xf numFmtId="169" fontId="37" fillId="11" borderId="0" xfId="1" applyNumberFormat="1" applyFont="1" applyFill="1"/>
    <xf numFmtId="165" fontId="5" fillId="11" borderId="13" xfId="1" applyNumberFormat="1" applyFont="1" applyFill="1" applyBorder="1"/>
    <xf numFmtId="4" fontId="2" fillId="0" borderId="25" xfId="0" applyNumberFormat="1" applyFont="1" applyFill="1" applyBorder="1"/>
    <xf numFmtId="10" fontId="37" fillId="11" borderId="7" xfId="4" applyNumberFormat="1" applyFont="1" applyFill="1" applyBorder="1"/>
    <xf numFmtId="177" fontId="0" fillId="0" borderId="0" xfId="1" applyNumberFormat="1" applyFont="1" applyBorder="1" applyAlignment="1">
      <alignment horizontal="right"/>
    </xf>
    <xf numFmtId="177" fontId="0" fillId="0" borderId="23" xfId="1" applyNumberFormat="1" applyFont="1" applyBorder="1" applyAlignment="1">
      <alignment horizontal="right"/>
    </xf>
    <xf numFmtId="177" fontId="0" fillId="0" borderId="2" xfId="1" applyNumberFormat="1" applyFont="1" applyBorder="1" applyAlignment="1">
      <alignment horizontal="right"/>
    </xf>
    <xf numFmtId="177" fontId="0" fillId="0" borderId="0" xfId="0" applyNumberFormat="1"/>
    <xf numFmtId="177" fontId="0" fillId="0" borderId="27" xfId="1" applyNumberFormat="1" applyFont="1" applyBorder="1" applyAlignment="1">
      <alignment horizontal="right"/>
    </xf>
    <xf numFmtId="177" fontId="0" fillId="0" borderId="23" xfId="1" applyNumberFormat="1" applyFont="1" applyBorder="1"/>
    <xf numFmtId="177" fontId="0" fillId="0" borderId="26" xfId="1" applyNumberFormat="1" applyFont="1" applyBorder="1"/>
    <xf numFmtId="4" fontId="2" fillId="0" borderId="5" xfId="0" applyNumberFormat="1" applyFont="1" applyFill="1" applyBorder="1"/>
    <xf numFmtId="165" fontId="0" fillId="0" borderId="0" xfId="1" applyNumberFormat="1" applyFont="1" applyBorder="1"/>
    <xf numFmtId="165" fontId="0" fillId="0" borderId="0" xfId="1" applyNumberFormat="1" applyFont="1" applyBorder="1" applyAlignment="1">
      <alignment horizontal="right"/>
    </xf>
    <xf numFmtId="165" fontId="0" fillId="0" borderId="2" xfId="1" applyNumberFormat="1" applyFont="1" applyBorder="1" applyAlignment="1">
      <alignment horizontal="right"/>
    </xf>
    <xf numFmtId="177" fontId="0" fillId="4" borderId="0" xfId="0" applyNumberFormat="1" applyFill="1"/>
    <xf numFmtId="177" fontId="5" fillId="4" borderId="0" xfId="0" applyNumberFormat="1" applyFont="1" applyFill="1" applyBorder="1"/>
    <xf numFmtId="165" fontId="5" fillId="11" borderId="0" xfId="0" applyNumberFormat="1" applyFont="1" applyFill="1" applyBorder="1" applyAlignment="1">
      <alignment horizontal="left"/>
    </xf>
    <xf numFmtId="165" fontId="5" fillId="11" borderId="0" xfId="0" applyNumberFormat="1" applyFont="1" applyFill="1" applyBorder="1" applyAlignment="1">
      <alignment horizontal="right"/>
    </xf>
    <xf numFmtId="0" fontId="55" fillId="4" borderId="0" xfId="0" applyFont="1" applyFill="1"/>
    <xf numFmtId="0" fontId="2" fillId="4" borderId="0" xfId="12" applyFont="1" applyFill="1" applyBorder="1" applyAlignment="1">
      <alignment vertical="center"/>
    </xf>
    <xf numFmtId="165" fontId="17" fillId="0" borderId="0" xfId="1" applyNumberFormat="1" applyFont="1" applyFill="1" applyBorder="1"/>
    <xf numFmtId="165" fontId="5" fillId="0" borderId="0" xfId="1" applyNumberFormat="1" applyFont="1" applyFill="1" applyBorder="1"/>
    <xf numFmtId="43" fontId="0" fillId="4" borderId="0" xfId="0" applyNumberFormat="1" applyFill="1"/>
    <xf numFmtId="167" fontId="5" fillId="5" borderId="0" xfId="0" applyNumberFormat="1" applyFont="1" applyFill="1" applyBorder="1" applyAlignment="1">
      <alignment vertical="center" wrapText="1"/>
    </xf>
    <xf numFmtId="177" fontId="17" fillId="4" borderId="0" xfId="0" applyNumberFormat="1" applyFont="1" applyFill="1"/>
    <xf numFmtId="168" fontId="44" fillId="4" borderId="0" xfId="0" applyNumberFormat="1" applyFont="1" applyFill="1"/>
    <xf numFmtId="43" fontId="0" fillId="0" borderId="0" xfId="0" applyNumberFormat="1"/>
    <xf numFmtId="177" fontId="0" fillId="24" borderId="23" xfId="1" applyNumberFormat="1" applyFont="1" applyFill="1" applyBorder="1"/>
    <xf numFmtId="177" fontId="0" fillId="24" borderId="23" xfId="1" applyNumberFormat="1" applyFont="1" applyFill="1" applyBorder="1" applyAlignment="1">
      <alignment horizontal="right"/>
    </xf>
    <xf numFmtId="177" fontId="0" fillId="24" borderId="0" xfId="1" applyNumberFormat="1" applyFont="1" applyFill="1" applyBorder="1" applyAlignment="1">
      <alignment horizontal="right"/>
    </xf>
    <xf numFmtId="10" fontId="2" fillId="24" borderId="0" xfId="4" applyNumberFormat="1" applyFill="1" applyBorder="1"/>
    <xf numFmtId="4" fontId="2" fillId="24" borderId="0" xfId="0" applyNumberFormat="1" applyFont="1" applyFill="1"/>
    <xf numFmtId="0" fontId="0" fillId="24" borderId="0" xfId="0" applyFill="1"/>
    <xf numFmtId="177" fontId="0" fillId="24" borderId="26" xfId="1" applyNumberFormat="1" applyFont="1" applyFill="1" applyBorder="1" applyAlignment="1">
      <alignment horizontal="right"/>
    </xf>
    <xf numFmtId="165" fontId="0" fillId="24" borderId="0" xfId="1" applyNumberFormat="1" applyFont="1" applyFill="1" applyBorder="1"/>
    <xf numFmtId="0" fontId="46" fillId="24" borderId="24" xfId="0" applyFont="1" applyFill="1" applyBorder="1"/>
    <xf numFmtId="4" fontId="48" fillId="24" borderId="23" xfId="0" applyNumberFormat="1" applyFont="1" applyFill="1" applyBorder="1"/>
    <xf numFmtId="165" fontId="17" fillId="25" borderId="13" xfId="0" applyNumberFormat="1" applyFont="1" applyFill="1" applyBorder="1"/>
    <xf numFmtId="10" fontId="2" fillId="18" borderId="4" xfId="4" applyNumberFormat="1" applyFill="1" applyBorder="1"/>
    <xf numFmtId="10" fontId="2" fillId="18" borderId="20" xfId="1" applyNumberFormat="1" applyFill="1" applyBorder="1"/>
    <xf numFmtId="10" fontId="44" fillId="18" borderId="20" xfId="1" applyNumberFormat="1" applyFont="1" applyFill="1" applyBorder="1"/>
    <xf numFmtId="172" fontId="2" fillId="26" borderId="0" xfId="1" applyNumberFormat="1" applyFill="1" applyBorder="1"/>
    <xf numFmtId="0" fontId="0" fillId="26" borderId="0" xfId="0" applyFill="1" applyBorder="1" applyAlignment="1">
      <alignment vertical="center" wrapText="1"/>
    </xf>
    <xf numFmtId="165" fontId="5" fillId="4" borderId="0" xfId="0" applyNumberFormat="1" applyFont="1" applyFill="1" applyBorder="1" applyAlignment="1">
      <alignment horizontal="left"/>
    </xf>
    <xf numFmtId="10" fontId="2" fillId="11" borderId="13" xfId="4" applyNumberFormat="1" applyFill="1" applyBorder="1"/>
    <xf numFmtId="0" fontId="0" fillId="5" borderId="21" xfId="0" applyFill="1" applyBorder="1" applyAlignment="1">
      <alignment horizontal="left"/>
    </xf>
    <xf numFmtId="0" fontId="0" fillId="5" borderId="0" xfId="0" applyFill="1" applyBorder="1" applyAlignment="1">
      <alignment horizontal="left"/>
    </xf>
    <xf numFmtId="0" fontId="4" fillId="7" borderId="1" xfId="0" applyFont="1" applyFill="1" applyBorder="1" applyAlignment="1">
      <alignment horizontal="left" vertical="center"/>
    </xf>
    <xf numFmtId="0" fontId="3" fillId="7" borderId="1" xfId="0" applyFont="1" applyFill="1" applyBorder="1" applyAlignment="1">
      <alignment horizontal="left" vertical="center"/>
    </xf>
    <xf numFmtId="0" fontId="5" fillId="5" borderId="7" xfId="0" applyFont="1" applyFill="1" applyBorder="1" applyAlignment="1">
      <alignment horizontal="left" vertical="center"/>
    </xf>
    <xf numFmtId="0" fontId="5" fillId="5" borderId="4" xfId="0" applyFont="1" applyFill="1" applyBorder="1" applyAlignment="1">
      <alignment horizontal="left" vertical="center"/>
    </xf>
    <xf numFmtId="0" fontId="3" fillId="4" borderId="15" xfId="0" applyFont="1" applyFill="1" applyBorder="1" applyAlignment="1">
      <alignment horizontal="center" wrapText="1"/>
    </xf>
    <xf numFmtId="0" fontId="0" fillId="18" borderId="21" xfId="0" applyFill="1" applyBorder="1" applyAlignment="1">
      <alignment horizontal="left"/>
    </xf>
    <xf numFmtId="0" fontId="0" fillId="18" borderId="0" xfId="0" applyFill="1" applyBorder="1" applyAlignment="1">
      <alignment horizontal="left"/>
    </xf>
    <xf numFmtId="0" fontId="28" fillId="4" borderId="22" xfId="0" applyFont="1" applyFill="1" applyBorder="1" applyAlignment="1">
      <alignment horizontal="center" vertical="center" textRotation="255"/>
    </xf>
    <xf numFmtId="0" fontId="28" fillId="4" borderId="23" xfId="0" applyFont="1" applyFill="1" applyBorder="1" applyAlignment="1">
      <alignment horizontal="center" vertical="center" textRotation="255"/>
    </xf>
    <xf numFmtId="0" fontId="28" fillId="4" borderId="16" xfId="0" applyFont="1" applyFill="1" applyBorder="1" applyAlignment="1">
      <alignment horizontal="center"/>
    </xf>
    <xf numFmtId="0" fontId="28" fillId="4" borderId="17" xfId="0" applyFont="1" applyFill="1" applyBorder="1" applyAlignment="1">
      <alignment horizontal="center"/>
    </xf>
    <xf numFmtId="0" fontId="28"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31" fillId="4" borderId="16" xfId="0" applyFont="1" applyFill="1" applyBorder="1" applyAlignment="1">
      <alignment horizontal="center"/>
    </xf>
    <xf numFmtId="0" fontId="31" fillId="4" borderId="17" xfId="0" applyFont="1" applyFill="1" applyBorder="1" applyAlignment="1">
      <alignment horizontal="center"/>
    </xf>
    <xf numFmtId="0" fontId="48" fillId="5" borderId="24" xfId="0" applyFont="1" applyFill="1" applyBorder="1" applyAlignment="1">
      <alignment horizontal="left"/>
    </xf>
    <xf numFmtId="0" fontId="48" fillId="5" borderId="0" xfId="0" applyFont="1" applyFill="1" applyBorder="1" applyAlignment="1">
      <alignment horizontal="left"/>
    </xf>
    <xf numFmtId="0" fontId="53" fillId="24" borderId="24" xfId="0" applyFont="1" applyFill="1" applyBorder="1" applyAlignment="1">
      <alignment horizontal="left"/>
    </xf>
    <xf numFmtId="0" fontId="53" fillId="24" borderId="0" xfId="0" applyFont="1" applyFill="1" applyBorder="1" applyAlignment="1">
      <alignment horizontal="left"/>
    </xf>
    <xf numFmtId="0" fontId="48" fillId="5" borderId="34" xfId="0" applyFont="1" applyFill="1" applyBorder="1" applyAlignment="1">
      <alignment horizontal="left"/>
    </xf>
    <xf numFmtId="0" fontId="48" fillId="5" borderId="2" xfId="0" applyFont="1" applyFill="1" applyBorder="1" applyAlignment="1">
      <alignment horizontal="left"/>
    </xf>
    <xf numFmtId="165" fontId="5" fillId="4" borderId="21" xfId="0" applyNumberFormat="1" applyFont="1" applyFill="1" applyBorder="1" applyAlignment="1">
      <alignment horizontal="left"/>
    </xf>
    <xf numFmtId="165" fontId="5" fillId="4" borderId="0" xfId="0" applyNumberFormat="1" applyFont="1" applyFill="1" applyBorder="1" applyAlignment="1">
      <alignment horizontal="left"/>
    </xf>
    <xf numFmtId="165" fontId="0" fillId="4" borderId="0" xfId="0" applyNumberFormat="1" applyFill="1" applyAlignment="1">
      <alignment horizontal="left"/>
    </xf>
    <xf numFmtId="165" fontId="0" fillId="4" borderId="0" xfId="0" applyNumberFormat="1" applyFill="1" applyBorder="1" applyAlignment="1">
      <alignment horizontal="left"/>
    </xf>
    <xf numFmtId="0" fontId="3" fillId="4" borderId="3" xfId="0" applyFont="1" applyFill="1" applyBorder="1" applyAlignment="1">
      <alignment horizontal="center"/>
    </xf>
    <xf numFmtId="165" fontId="5" fillId="4" borderId="7" xfId="0" applyNumberFormat="1" applyFont="1" applyFill="1" applyBorder="1" applyAlignment="1">
      <alignment horizontal="left"/>
    </xf>
    <xf numFmtId="165" fontId="5" fillId="4" borderId="4" xfId="0" applyNumberFormat="1" applyFont="1" applyFill="1" applyBorder="1" applyAlignment="1">
      <alignment horizontal="left"/>
    </xf>
  </cellXfs>
  <cellStyles count="29">
    <cellStyle name="Blockout" xfId="13"/>
    <cellStyle name="Comma" xfId="1" builtinId="3"/>
    <cellStyle name="Comma 2" xfId="5"/>
    <cellStyle name="Comma 3" xfId="14"/>
    <cellStyle name="Currency" xfId="2" builtinId="4"/>
    <cellStyle name="Currency 2" xfId="7"/>
    <cellStyle name="Currency 3" xfId="15"/>
    <cellStyle name="import" xfId="16"/>
    <cellStyle name="import%" xfId="17"/>
    <cellStyle name="import_ICRC Electricity model 1-1  (1 Feb 2003) " xfId="18"/>
    <cellStyle name="Input1" xfId="8"/>
    <cellStyle name="Input1 2" xfId="19"/>
    <cellStyle name="Input1%" xfId="20"/>
    <cellStyle name="Input1_ICRC Electricity model 1-1  (1 Feb 2003) " xfId="21"/>
    <cellStyle name="Input1default" xfId="22"/>
    <cellStyle name="Input1default%" xfId="23"/>
    <cellStyle name="Input2" xfId="24"/>
    <cellStyle name="Input3" xfId="9"/>
    <cellStyle name="Input3 2" xfId="25"/>
    <cellStyle name="key result" xfId="26"/>
    <cellStyle name="Local import" xfId="27"/>
    <cellStyle name="Local import %" xfId="28"/>
    <cellStyle name="Normal" xfId="0" builtinId="0"/>
    <cellStyle name="Normal 2" xfId="10"/>
    <cellStyle name="Normal 3" xfId="12"/>
    <cellStyle name="Normal_2005 03 27 RAB model" xfId="3"/>
    <cellStyle name="Percent" xfId="4" builtinId="5"/>
    <cellStyle name="Percent 2" xfId="6"/>
    <cellStyle name="Percent 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networks\Regulation\Price%20Review\2016-20%20EDPR\TEAM%20WORKING%20FOLDERS\KJ\PTRM\Proposal%20101014\AER%20Model%20-%20SP%20AusNet%20PTRM%20(proposal%20101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Equity Raising Costs"/>
      <sheetName val="Input"/>
      <sheetName val="WACC"/>
      <sheetName val="Assets"/>
      <sheetName val="Tax Depreciation"/>
      <sheetName val="Analysis"/>
      <sheetName val="Forecast revenues"/>
      <sheetName val="X factor"/>
      <sheetName val="Chart 1-revenues"/>
      <sheetName val="Chart 2-Price path"/>
      <sheetName val="Chart 3-Building blocks"/>
    </sheetNames>
    <sheetDataSet>
      <sheetData sheetId="0" refreshError="1"/>
      <sheetData sheetId="1" refreshError="1"/>
      <sheetData sheetId="2" refreshError="1">
        <row r="187">
          <cell r="G187">
            <v>3.7999999999999999E-2</v>
          </cell>
        </row>
        <row r="188">
          <cell r="G188">
            <v>2.5999999999999999E-2</v>
          </cell>
        </row>
        <row r="189">
          <cell r="G189">
            <v>0.02</v>
          </cell>
        </row>
        <row r="190">
          <cell r="G190">
            <v>7.4999999999999997E-2</v>
          </cell>
        </row>
        <row r="191">
          <cell r="G191">
            <v>0.25</v>
          </cell>
        </row>
        <row r="192">
          <cell r="G192">
            <v>0.6</v>
          </cell>
        </row>
        <row r="193">
          <cell r="G193">
            <v>0.7</v>
          </cell>
        </row>
        <row r="194">
          <cell r="G194">
            <v>9.2000000000000003E-4</v>
          </cell>
        </row>
      </sheetData>
      <sheetData sheetId="3" refreshError="1">
        <row r="27">
          <cell r="F27">
            <v>7.1000000000000008E-2</v>
          </cell>
        </row>
        <row r="28">
          <cell r="F28">
            <v>4.3859649122807015E-2</v>
          </cell>
        </row>
      </sheetData>
      <sheetData sheetId="4" refreshError="1"/>
      <sheetData sheetId="5" refreshError="1"/>
      <sheetData sheetId="6" refreshError="1">
        <row r="73">
          <cell r="D73">
            <v>0.30000000000000049</v>
          </cell>
        </row>
      </sheetData>
      <sheetData sheetId="7" refreshError="1"/>
      <sheetData sheetId="8" refreshError="1">
        <row r="31">
          <cell r="E31">
            <v>5.1164146314601981E-3</v>
          </cell>
          <cell r="F31">
            <v>0</v>
          </cell>
          <cell r="G31">
            <v>0</v>
          </cell>
          <cell r="H31">
            <v>0</v>
          </cell>
          <cell r="I31">
            <v>0</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L5" sqref="L5"/>
    </sheetView>
  </sheetViews>
  <sheetFormatPr defaultRowHeight="12.75"/>
  <cols>
    <col min="1" max="1" width="2.28515625" customWidth="1"/>
    <col min="2" max="2" width="15.7109375" customWidth="1"/>
  </cols>
  <sheetData>
    <row r="1" spans="1:23" ht="44.25" customHeight="1">
      <c r="A1" s="9"/>
      <c r="B1" s="9"/>
      <c r="D1" s="44"/>
      <c r="E1" s="133"/>
      <c r="G1" s="190"/>
      <c r="H1" s="9"/>
      <c r="I1" s="9"/>
      <c r="J1" s="9"/>
      <c r="K1" s="9"/>
      <c r="L1" s="246"/>
      <c r="M1" s="9"/>
      <c r="N1" s="9"/>
      <c r="O1" s="9"/>
      <c r="P1" s="9"/>
      <c r="Q1" s="9"/>
      <c r="R1" s="9"/>
      <c r="S1" s="9"/>
      <c r="T1" s="9"/>
      <c r="U1" s="9"/>
      <c r="V1" s="9"/>
      <c r="W1" s="9"/>
    </row>
    <row r="2" spans="1:23" ht="44.25" customHeight="1">
      <c r="A2" s="9"/>
      <c r="B2" s="9"/>
      <c r="D2" s="44"/>
      <c r="F2" s="44"/>
      <c r="G2" s="191" t="s">
        <v>41</v>
      </c>
      <c r="J2" s="9"/>
      <c r="K2" s="9"/>
      <c r="L2" s="9"/>
      <c r="M2" s="9"/>
      <c r="N2" s="9"/>
      <c r="O2" s="9"/>
      <c r="P2" s="9"/>
      <c r="Q2" s="9"/>
      <c r="R2" s="9"/>
      <c r="S2" s="9"/>
      <c r="T2" s="9"/>
      <c r="U2" s="9"/>
      <c r="V2" s="9"/>
      <c r="W2" s="9"/>
    </row>
    <row r="3" spans="1:23" ht="54.95" customHeight="1">
      <c r="A3" s="9"/>
      <c r="B3" s="9"/>
      <c r="D3" s="44"/>
      <c r="F3" s="134"/>
      <c r="I3" s="192" t="s">
        <v>40</v>
      </c>
      <c r="J3" s="9"/>
      <c r="K3" s="9"/>
      <c r="L3" s="9"/>
      <c r="M3" s="9"/>
      <c r="N3" s="9"/>
      <c r="O3" s="9"/>
      <c r="P3" s="9"/>
      <c r="Q3" s="9"/>
      <c r="R3" s="9"/>
      <c r="S3" s="9"/>
      <c r="T3" s="9"/>
      <c r="U3" s="9"/>
      <c r="V3" s="9"/>
      <c r="W3" s="9"/>
    </row>
    <row r="4" spans="1:23" ht="36" customHeight="1">
      <c r="A4" s="9"/>
      <c r="B4" s="9"/>
      <c r="D4" s="44"/>
      <c r="F4" s="134"/>
      <c r="G4" s="192"/>
      <c r="J4" s="9"/>
      <c r="L4" s="194" t="s">
        <v>85</v>
      </c>
      <c r="M4" s="9"/>
      <c r="N4" s="193"/>
      <c r="O4" s="9"/>
      <c r="Q4" s="9"/>
      <c r="R4" s="9"/>
      <c r="S4" s="9"/>
      <c r="T4" s="9"/>
      <c r="U4" s="9"/>
      <c r="V4" s="9"/>
      <c r="W4" s="9"/>
    </row>
    <row r="5" spans="1:23" ht="36" customHeight="1">
      <c r="A5" s="9"/>
      <c r="B5" s="9"/>
      <c r="D5" s="44"/>
      <c r="F5" s="134"/>
      <c r="G5" s="192"/>
      <c r="J5" s="9"/>
      <c r="L5" s="194" t="s">
        <v>95</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5"/>
      <c r="B7" s="135"/>
      <c r="C7" s="135"/>
      <c r="D7" s="135"/>
      <c r="E7" s="135"/>
      <c r="F7" s="135"/>
      <c r="G7" s="135"/>
      <c r="H7" s="135"/>
      <c r="I7" s="135"/>
      <c r="J7" s="135"/>
      <c r="K7" s="135"/>
      <c r="L7" s="135"/>
      <c r="M7" s="135"/>
      <c r="N7" s="135"/>
      <c r="O7" s="135"/>
      <c r="P7" s="135"/>
      <c r="Q7" s="135"/>
      <c r="R7" s="135"/>
      <c r="S7" s="135"/>
      <c r="T7" s="135"/>
      <c r="U7" s="135"/>
      <c r="V7" s="135"/>
      <c r="W7" s="135"/>
    </row>
    <row r="8" spans="1:23" ht="27">
      <c r="A8" s="123"/>
      <c r="B8" s="136" t="s">
        <v>7</v>
      </c>
      <c r="C8" s="123"/>
      <c r="D8" s="123"/>
      <c r="E8" s="123"/>
      <c r="F8" s="123"/>
      <c r="G8" s="123"/>
      <c r="H8" s="172"/>
      <c r="I8" s="123"/>
      <c r="J8" s="195" t="s">
        <v>50</v>
      </c>
      <c r="K8" s="172"/>
      <c r="L8" s="123"/>
      <c r="M8" s="123"/>
      <c r="N8" s="172"/>
      <c r="O8" s="172"/>
      <c r="P8" s="123"/>
      <c r="Q8" s="123"/>
      <c r="R8" s="123"/>
      <c r="S8" s="123"/>
      <c r="T8" s="123"/>
      <c r="U8" s="123"/>
      <c r="V8" s="123"/>
      <c r="W8" s="123"/>
    </row>
    <row r="9" spans="1:23" ht="15.75">
      <c r="A9" s="123"/>
      <c r="B9" s="123"/>
      <c r="C9" s="123"/>
      <c r="D9" s="123"/>
      <c r="E9" s="123"/>
      <c r="F9" s="123"/>
      <c r="G9" s="123"/>
      <c r="H9" s="172"/>
      <c r="I9" s="123"/>
      <c r="J9" s="173"/>
      <c r="K9" s="172"/>
      <c r="L9" s="123"/>
      <c r="M9" s="123"/>
      <c r="N9" s="123"/>
      <c r="O9" s="123"/>
      <c r="P9" s="123"/>
      <c r="Q9" s="123"/>
      <c r="R9" s="123"/>
      <c r="S9" s="123"/>
      <c r="T9" s="123"/>
      <c r="U9" s="123"/>
      <c r="V9" s="123"/>
      <c r="W9" s="123"/>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138"/>
      <c r="B11" s="138"/>
      <c r="C11" s="138"/>
      <c r="D11" s="138"/>
      <c r="E11" s="138"/>
      <c r="F11" s="138"/>
      <c r="G11" s="138"/>
      <c r="H11" s="138"/>
      <c r="I11" s="138"/>
      <c r="J11" s="138"/>
      <c r="K11" s="138"/>
      <c r="L11" s="138"/>
      <c r="M11" s="138"/>
      <c r="N11" s="138"/>
      <c r="O11" s="138"/>
      <c r="P11" s="138"/>
      <c r="Q11" s="138"/>
      <c r="R11" s="138"/>
      <c r="S11" s="138"/>
      <c r="T11" s="138"/>
      <c r="U11" s="138"/>
      <c r="V11" s="138"/>
      <c r="W11" s="138"/>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21</v>
      </c>
      <c r="D14" s="41"/>
      <c r="E14" s="41"/>
      <c r="F14" s="41"/>
      <c r="G14" s="41"/>
      <c r="H14" s="41"/>
      <c r="I14" s="41"/>
      <c r="J14" s="41"/>
      <c r="K14" s="41"/>
      <c r="L14" s="41"/>
      <c r="M14" s="9"/>
      <c r="N14" s="9"/>
      <c r="O14" s="9"/>
      <c r="P14" s="9"/>
      <c r="Q14" s="9"/>
      <c r="R14" s="9"/>
      <c r="S14" s="9"/>
      <c r="T14" s="9"/>
      <c r="U14" s="9"/>
      <c r="V14" s="9"/>
      <c r="W14" s="9"/>
    </row>
    <row r="15" spans="1:23" ht="15">
      <c r="A15" s="9"/>
      <c r="B15" s="9"/>
      <c r="C15" s="168" t="s">
        <v>72</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297" t="s">
        <v>90</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2" t="s">
        <v>91</v>
      </c>
      <c r="D27" s="323"/>
      <c r="E27" s="323"/>
      <c r="F27" s="322" t="s">
        <v>92</v>
      </c>
      <c r="G27" s="322"/>
      <c r="H27" s="322"/>
      <c r="I27" s="322"/>
      <c r="J27" s="322"/>
      <c r="K27" s="322"/>
      <c r="L27" s="322"/>
      <c r="M27" s="31"/>
      <c r="N27" s="31"/>
      <c r="O27" s="31"/>
      <c r="P27" s="31"/>
      <c r="Q27" s="31"/>
      <c r="R27" s="31"/>
      <c r="S27" s="31"/>
      <c r="T27" s="9"/>
      <c r="U27" s="9"/>
      <c r="V27" s="9"/>
      <c r="W27" s="9"/>
    </row>
    <row r="28" spans="1:23" ht="15">
      <c r="A28" s="9"/>
      <c r="B28" s="9"/>
      <c r="C28" s="324" t="s">
        <v>93</v>
      </c>
      <c r="F28" s="325" t="s">
        <v>94</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9"/>
      <c r="E33" s="41"/>
      <c r="F33" s="41"/>
      <c r="G33" s="41"/>
      <c r="H33" s="41"/>
      <c r="I33" s="41"/>
      <c r="J33" s="41"/>
      <c r="K33" s="41"/>
      <c r="L33" s="41"/>
      <c r="M33" s="9"/>
      <c r="N33" s="9"/>
      <c r="O33" s="9"/>
      <c r="P33" s="9"/>
      <c r="Q33" s="9"/>
      <c r="R33" s="9"/>
      <c r="S33" s="9"/>
      <c r="T33" s="9"/>
      <c r="U33" s="9"/>
      <c r="V33" s="9"/>
      <c r="W33" s="9"/>
    </row>
    <row r="34" spans="1:23" ht="13.5">
      <c r="A34" s="9"/>
      <c r="B34" s="9"/>
      <c r="C34" s="9"/>
      <c r="D34" s="139"/>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6"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U537"/>
  <sheetViews>
    <sheetView zoomScaleNormal="100" workbookViewId="0">
      <selection activeCell="K319" sqref="K319"/>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1"/>
      <c r="AF1" s="201"/>
      <c r="AG1" s="201"/>
      <c r="AH1" s="201"/>
      <c r="AI1" s="201"/>
      <c r="AJ1" s="201"/>
      <c r="AK1" s="201"/>
      <c r="AL1" s="201"/>
      <c r="AM1" s="201"/>
      <c r="AN1" s="201"/>
      <c r="AO1" s="201"/>
      <c r="AP1" s="201"/>
      <c r="AQ1" s="201"/>
      <c r="AR1" s="201"/>
      <c r="AS1" s="201"/>
      <c r="AT1" s="201"/>
      <c r="AU1" s="201"/>
    </row>
    <row r="2" spans="1:47" ht="16.5" customHeight="1">
      <c r="A2" s="12"/>
      <c r="B2" s="12"/>
      <c r="C2" s="12"/>
      <c r="D2" s="12"/>
      <c r="E2" s="12"/>
      <c r="F2" s="54" t="str">
        <f>"Input Variables - RFM "&amp;Intro!L4</f>
        <v>Input Variables - RFM Version: 2.0</v>
      </c>
      <c r="G2" s="531" t="s">
        <v>52</v>
      </c>
      <c r="H2" s="532"/>
      <c r="I2" s="52"/>
      <c r="J2" s="52"/>
      <c r="K2" s="52"/>
      <c r="L2" s="52"/>
      <c r="M2" s="52"/>
      <c r="N2" s="52"/>
      <c r="O2" s="52"/>
      <c r="P2" s="52"/>
      <c r="Q2" s="52"/>
      <c r="R2" s="52"/>
      <c r="S2" s="52"/>
      <c r="T2" s="52"/>
      <c r="U2" s="52"/>
      <c r="V2" s="52"/>
      <c r="W2" s="52"/>
      <c r="X2" s="19"/>
      <c r="Y2" s="19"/>
      <c r="Z2" s="19"/>
      <c r="AA2" s="19"/>
      <c r="AB2" s="9"/>
      <c r="AC2" s="9"/>
      <c r="AD2" s="9"/>
      <c r="AE2" s="201"/>
      <c r="AF2" s="201"/>
      <c r="AG2" s="201"/>
      <c r="AH2" s="201"/>
      <c r="AI2" s="201"/>
      <c r="AJ2" s="201"/>
      <c r="AK2" s="201"/>
      <c r="AL2" s="201"/>
      <c r="AM2" s="201"/>
      <c r="AN2" s="201"/>
      <c r="AO2" s="201"/>
      <c r="AP2" s="201"/>
      <c r="AQ2" s="201"/>
      <c r="AR2" s="201"/>
      <c r="AS2" s="201"/>
      <c r="AT2" s="201"/>
      <c r="AU2" s="201"/>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5"/>
      <c r="AF3" s="215"/>
      <c r="AG3" s="215"/>
      <c r="AH3" s="215"/>
      <c r="AI3" s="215"/>
      <c r="AJ3" s="215"/>
      <c r="AK3" s="215"/>
      <c r="AL3" s="215"/>
      <c r="AM3" s="215"/>
      <c r="AN3" s="215"/>
      <c r="AO3" s="215"/>
      <c r="AP3" s="215"/>
      <c r="AQ3" s="215"/>
      <c r="AR3" s="215"/>
      <c r="AS3" s="215"/>
      <c r="AT3" s="215"/>
      <c r="AU3" s="215"/>
    </row>
    <row r="4" spans="1:47" s="6" customFormat="1" ht="15.75">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38"/>
      <c r="AF4" s="238"/>
      <c r="AG4" s="238"/>
      <c r="AH4" s="238"/>
      <c r="AI4" s="238"/>
      <c r="AJ4" s="238"/>
      <c r="AK4" s="238"/>
      <c r="AL4" s="238"/>
      <c r="AM4" s="238"/>
      <c r="AN4" s="238"/>
      <c r="AO4" s="238"/>
      <c r="AP4" s="238"/>
      <c r="AQ4" s="238"/>
      <c r="AR4" s="238"/>
      <c r="AS4" s="238"/>
      <c r="AT4" s="238"/>
      <c r="AU4" s="238"/>
    </row>
    <row r="5" spans="1:47">
      <c r="A5" s="78"/>
      <c r="B5" s="78"/>
      <c r="C5" s="78"/>
      <c r="D5" s="78"/>
      <c r="E5" s="78"/>
      <c r="F5" s="530" t="str">
        <f>"Opening Regulatory Asset Base for "&amp;CONCATENATE(LEFT(X7,4)-1&amp;" and Opening Tax Asset Base for "&amp;X7&amp;" ($m Nominal)")</f>
        <v>Opening Regulatory Asset Base for 2010 and Opening Tax Asset Base for 2011 ($m Nominal)</v>
      </c>
      <c r="G5" s="530"/>
      <c r="H5" s="530"/>
      <c r="I5" s="530"/>
      <c r="J5" s="530"/>
      <c r="K5" s="530"/>
      <c r="L5" s="79"/>
      <c r="M5" s="80"/>
      <c r="N5" s="79"/>
      <c r="O5" s="79"/>
      <c r="P5" s="79"/>
      <c r="Q5" s="79"/>
      <c r="R5" s="79"/>
      <c r="S5" s="79"/>
      <c r="T5" s="79"/>
      <c r="U5" s="79"/>
      <c r="V5" s="80"/>
      <c r="W5" s="80"/>
      <c r="X5" s="8"/>
      <c r="Y5" s="8"/>
      <c r="Z5" s="8"/>
      <c r="AA5" s="8"/>
      <c r="AB5" s="42"/>
      <c r="AC5" s="9"/>
      <c r="AD5" s="9"/>
      <c r="AE5" s="201"/>
      <c r="AF5" s="201"/>
      <c r="AG5" s="201"/>
      <c r="AH5" s="201"/>
      <c r="AI5" s="201"/>
      <c r="AJ5" s="201"/>
      <c r="AK5" s="201"/>
      <c r="AL5" s="201"/>
      <c r="AM5" s="201"/>
      <c r="AN5" s="201"/>
      <c r="AO5" s="201"/>
      <c r="AP5" s="201"/>
      <c r="AQ5" s="201"/>
      <c r="AR5" s="201"/>
      <c r="AS5" s="201"/>
      <c r="AT5" s="201"/>
      <c r="AU5" s="201"/>
    </row>
    <row r="6" spans="1:47" ht="65.25" customHeight="1">
      <c r="A6" s="12"/>
      <c r="B6" s="12"/>
      <c r="C6" s="12"/>
      <c r="D6" s="12"/>
      <c r="E6" s="12"/>
      <c r="F6" s="37"/>
      <c r="G6" s="533" t="s">
        <v>60</v>
      </c>
      <c r="H6" s="533"/>
      <c r="I6" s="533"/>
      <c r="J6" s="11" t="s">
        <v>0</v>
      </c>
      <c r="K6" s="10" t="s">
        <v>77</v>
      </c>
      <c r="L6" s="10" t="s">
        <v>70</v>
      </c>
      <c r="M6" s="10" t="s">
        <v>53</v>
      </c>
      <c r="N6" s="10" t="s">
        <v>96</v>
      </c>
      <c r="O6" s="10" t="s">
        <v>97</v>
      </c>
      <c r="P6" s="10" t="s">
        <v>48</v>
      </c>
      <c r="Q6" s="10" t="s">
        <v>23</v>
      </c>
      <c r="R6" s="10" t="s">
        <v>37</v>
      </c>
      <c r="S6" s="10" t="s">
        <v>24</v>
      </c>
      <c r="T6" s="10" t="s">
        <v>25</v>
      </c>
      <c r="U6" s="10" t="s">
        <v>88</v>
      </c>
      <c r="V6" s="10" t="s">
        <v>78</v>
      </c>
      <c r="W6" s="10" t="s">
        <v>69</v>
      </c>
      <c r="X6" s="10" t="s">
        <v>3</v>
      </c>
      <c r="Y6" s="10" t="s">
        <v>71</v>
      </c>
      <c r="Z6" s="9"/>
      <c r="AA6" s="9"/>
      <c r="AB6" s="9"/>
      <c r="AC6" s="9"/>
      <c r="AD6" s="9"/>
      <c r="AE6" s="201"/>
      <c r="AF6" s="201"/>
      <c r="AG6" s="201"/>
      <c r="AH6" s="201"/>
      <c r="AI6" s="201"/>
      <c r="AJ6" s="201"/>
      <c r="AK6" s="201"/>
      <c r="AL6" s="201"/>
      <c r="AM6" s="201"/>
      <c r="AN6" s="201"/>
      <c r="AO6" s="201"/>
      <c r="AP6" s="201"/>
      <c r="AQ6" s="201"/>
      <c r="AR6" s="201"/>
      <c r="AS6" s="201"/>
      <c r="AT6" s="201"/>
      <c r="AU6" s="201"/>
    </row>
    <row r="7" spans="1:47">
      <c r="A7" s="12"/>
      <c r="B7" s="12"/>
      <c r="C7" s="12"/>
      <c r="D7" s="12"/>
      <c r="E7" s="12"/>
      <c r="F7" s="501" t="s">
        <v>188</v>
      </c>
      <c r="G7" s="527" t="s">
        <v>108</v>
      </c>
      <c r="H7" s="528"/>
      <c r="I7" s="528"/>
      <c r="J7" s="462">
        <v>221.08167189144211</v>
      </c>
      <c r="K7" s="63">
        <v>29.475402723576572</v>
      </c>
      <c r="L7" s="64">
        <v>45</v>
      </c>
      <c r="M7" s="465">
        <v>26.463578654632183</v>
      </c>
      <c r="N7" s="64"/>
      <c r="O7" s="64"/>
      <c r="P7" s="465">
        <v>6.6911891775343548</v>
      </c>
      <c r="Q7" s="465">
        <v>-25.319625562178441</v>
      </c>
      <c r="R7" s="465">
        <v>-13.672105942844249</v>
      </c>
      <c r="S7" s="65"/>
      <c r="T7" s="67"/>
      <c r="U7" s="67"/>
      <c r="V7" s="64"/>
      <c r="W7" s="64"/>
      <c r="X7" s="132">
        <v>2011</v>
      </c>
      <c r="Y7" s="64">
        <v>5</v>
      </c>
      <c r="Z7" s="9"/>
      <c r="AA7" s="9"/>
      <c r="AB7" s="9"/>
      <c r="AC7" s="9"/>
      <c r="AD7" s="9"/>
      <c r="AE7" s="201"/>
      <c r="AF7" s="201"/>
      <c r="AG7" s="201"/>
      <c r="AH7" s="201"/>
      <c r="AI7" s="201"/>
      <c r="AJ7" s="201"/>
      <c r="AK7" s="201"/>
      <c r="AL7" s="201"/>
      <c r="AM7" s="201"/>
      <c r="AN7" s="201"/>
      <c r="AO7" s="201"/>
      <c r="AP7" s="201"/>
      <c r="AQ7" s="201"/>
      <c r="AR7" s="201"/>
      <c r="AS7" s="201"/>
      <c r="AT7" s="201"/>
      <c r="AU7" s="201"/>
    </row>
    <row r="8" spans="1:47">
      <c r="A8" s="12"/>
      <c r="B8" s="12"/>
      <c r="C8" s="12"/>
      <c r="D8" s="12"/>
      <c r="E8" s="12"/>
      <c r="F8" s="501" t="s">
        <v>189</v>
      </c>
      <c r="G8" s="534" t="s">
        <v>109</v>
      </c>
      <c r="H8" s="535"/>
      <c r="I8" s="535"/>
      <c r="J8" s="463">
        <v>1560.2007896223902</v>
      </c>
      <c r="K8" s="459">
        <v>29.079692831606991</v>
      </c>
      <c r="L8" s="456">
        <v>50</v>
      </c>
      <c r="M8" s="463">
        <v>172.58288269321812</v>
      </c>
      <c r="N8" s="456"/>
      <c r="O8" s="456"/>
      <c r="P8" s="463">
        <v>30.502351015154549</v>
      </c>
      <c r="Q8" s="467">
        <v>32.156560835536396</v>
      </c>
      <c r="R8" s="467">
        <v>17.363918175697677</v>
      </c>
      <c r="S8" s="51"/>
      <c r="T8" s="66"/>
      <c r="U8" s="66"/>
      <c r="V8" s="47"/>
      <c r="W8" s="47"/>
      <c r="X8" s="8"/>
      <c r="Y8" s="8"/>
      <c r="Z8" s="9"/>
      <c r="AA8" s="9"/>
      <c r="AB8" s="9"/>
      <c r="AC8" s="9"/>
      <c r="AD8" s="9"/>
      <c r="AE8" s="201"/>
      <c r="AF8" s="201"/>
      <c r="AG8" s="201"/>
      <c r="AH8" s="201"/>
      <c r="AI8" s="201"/>
      <c r="AJ8" s="201"/>
      <c r="AK8" s="201"/>
      <c r="AL8" s="201"/>
      <c r="AM8" s="201"/>
      <c r="AN8" s="201"/>
      <c r="AO8" s="201"/>
      <c r="AP8" s="201"/>
      <c r="AQ8" s="201"/>
      <c r="AR8" s="201"/>
      <c r="AS8" s="201"/>
      <c r="AT8" s="201"/>
      <c r="AU8" s="201"/>
    </row>
    <row r="9" spans="1:47">
      <c r="A9" s="12"/>
      <c r="B9" s="12"/>
      <c r="C9" s="12"/>
      <c r="D9" s="12"/>
      <c r="E9" s="12"/>
      <c r="F9" s="501" t="s">
        <v>190</v>
      </c>
      <c r="G9" s="534" t="s">
        <v>110</v>
      </c>
      <c r="H9" s="535"/>
      <c r="I9" s="535"/>
      <c r="J9" s="463">
        <v>14.291879766545669</v>
      </c>
      <c r="K9" s="459">
        <v>1</v>
      </c>
      <c r="L9" s="456" t="s">
        <v>186</v>
      </c>
      <c r="M9" s="466">
        <v>0</v>
      </c>
      <c r="N9" s="456"/>
      <c r="O9" s="456"/>
      <c r="P9" s="466">
        <v>13.489445516505549</v>
      </c>
      <c r="Q9" s="467">
        <v>9.7325555754664421</v>
      </c>
      <c r="R9" s="467">
        <v>5.2553909454792151</v>
      </c>
      <c r="S9" s="51"/>
      <c r="T9" s="66"/>
      <c r="U9" s="66"/>
      <c r="V9" s="51"/>
      <c r="W9" s="51"/>
      <c r="X9" s="8"/>
      <c r="Y9" s="8"/>
      <c r="Z9" s="9"/>
      <c r="AA9" s="9"/>
      <c r="AB9" s="9"/>
      <c r="AC9" s="9"/>
      <c r="AD9" s="9"/>
      <c r="AE9" s="201"/>
      <c r="AF9" s="201"/>
      <c r="AG9" s="201"/>
      <c r="AH9" s="201"/>
      <c r="AI9" s="201"/>
      <c r="AJ9" s="201"/>
      <c r="AK9" s="201"/>
      <c r="AL9" s="201"/>
      <c r="AM9" s="201"/>
      <c r="AN9" s="201"/>
      <c r="AO9" s="201"/>
      <c r="AP9" s="201"/>
      <c r="AQ9" s="201"/>
      <c r="AR9" s="201"/>
      <c r="AS9" s="201"/>
      <c r="AT9" s="201"/>
      <c r="AU9" s="201"/>
    </row>
    <row r="10" spans="1:47">
      <c r="A10" s="12"/>
      <c r="B10" s="12"/>
      <c r="C10" s="12"/>
      <c r="D10" s="12"/>
      <c r="E10" s="12"/>
      <c r="F10" s="501" t="s">
        <v>191</v>
      </c>
      <c r="G10" s="534" t="s">
        <v>111</v>
      </c>
      <c r="H10" s="535"/>
      <c r="I10" s="535"/>
      <c r="J10" s="463">
        <v>6.9278972498934959</v>
      </c>
      <c r="K10" s="459">
        <v>1</v>
      </c>
      <c r="L10" s="456" t="s">
        <v>186</v>
      </c>
      <c r="M10" s="466">
        <v>0</v>
      </c>
      <c r="N10" s="456"/>
      <c r="O10" s="456"/>
      <c r="P10" s="466">
        <v>6.5389223827045004</v>
      </c>
      <c r="Q10" s="467">
        <v>0</v>
      </c>
      <c r="R10" s="467">
        <v>0</v>
      </c>
      <c r="S10" s="51"/>
      <c r="T10" s="66"/>
      <c r="U10" s="66"/>
      <c r="V10" s="51"/>
      <c r="W10" s="51"/>
      <c r="X10" s="8"/>
      <c r="Y10" s="8"/>
      <c r="Z10" s="9"/>
      <c r="AA10" s="9"/>
      <c r="AB10" s="9"/>
      <c r="AC10" s="9"/>
      <c r="AD10" s="9"/>
      <c r="AE10" s="201"/>
      <c r="AF10" s="201"/>
      <c r="AG10" s="201"/>
      <c r="AH10" s="201"/>
      <c r="AI10" s="201"/>
      <c r="AJ10" s="201"/>
      <c r="AK10" s="201"/>
      <c r="AL10" s="201"/>
      <c r="AM10" s="201"/>
      <c r="AN10" s="201"/>
      <c r="AO10" s="201"/>
      <c r="AP10" s="201"/>
      <c r="AQ10" s="201"/>
      <c r="AR10" s="201"/>
      <c r="AS10" s="201"/>
      <c r="AT10" s="201"/>
      <c r="AU10" s="201"/>
    </row>
    <row r="11" spans="1:47">
      <c r="A11" s="12"/>
      <c r="B11" s="12"/>
      <c r="C11" s="12"/>
      <c r="D11" s="12"/>
      <c r="E11" s="12"/>
      <c r="F11" s="501" t="s">
        <v>192</v>
      </c>
      <c r="G11" s="534" t="s">
        <v>112</v>
      </c>
      <c r="H11" s="535"/>
      <c r="I11" s="535"/>
      <c r="J11" s="463">
        <v>5.9976894044068878</v>
      </c>
      <c r="K11" s="459">
        <v>1</v>
      </c>
      <c r="L11" s="456">
        <v>5</v>
      </c>
      <c r="M11" s="466">
        <v>1.96</v>
      </c>
      <c r="N11" s="456"/>
      <c r="O11" s="456"/>
      <c r="P11" s="466">
        <v>9.9973617177477241</v>
      </c>
      <c r="Q11" s="466">
        <v>2.4654834392613107</v>
      </c>
      <c r="R11" s="467">
        <v>-0.42581112592047277</v>
      </c>
      <c r="S11" s="51"/>
      <c r="T11" s="66"/>
      <c r="U11" s="66"/>
      <c r="V11" s="51"/>
      <c r="W11" s="51"/>
      <c r="X11" s="8"/>
      <c r="Y11" s="8"/>
      <c r="Z11" s="9"/>
      <c r="AA11" s="9"/>
      <c r="AB11" s="9"/>
      <c r="AC11" s="9"/>
      <c r="AD11" s="9"/>
      <c r="AE11" s="201"/>
      <c r="AF11" s="201"/>
      <c r="AG11" s="201"/>
      <c r="AH11" s="201"/>
      <c r="AI11" s="201"/>
      <c r="AJ11" s="201"/>
      <c r="AK11" s="201"/>
      <c r="AL11" s="201"/>
      <c r="AM11" s="201"/>
      <c r="AN11" s="201"/>
      <c r="AO11" s="201"/>
      <c r="AP11" s="201"/>
      <c r="AQ11" s="201"/>
      <c r="AR11" s="201"/>
      <c r="AS11" s="201"/>
      <c r="AT11" s="201"/>
      <c r="AU11" s="201"/>
    </row>
    <row r="12" spans="1:47">
      <c r="A12" s="12"/>
      <c r="B12" s="12"/>
      <c r="C12" s="12"/>
      <c r="D12" s="12"/>
      <c r="E12" s="12"/>
      <c r="F12" s="501" t="s">
        <v>193</v>
      </c>
      <c r="G12" s="534" t="s">
        <v>113</v>
      </c>
      <c r="H12" s="535"/>
      <c r="I12" s="535"/>
      <c r="J12" s="463">
        <v>47.805445601604404</v>
      </c>
      <c r="K12" s="459">
        <v>3.4590766917577378</v>
      </c>
      <c r="L12" s="456">
        <v>5</v>
      </c>
      <c r="M12" s="466">
        <v>48.754849999999998</v>
      </c>
      <c r="N12" s="456"/>
      <c r="O12" s="456"/>
      <c r="P12" s="466">
        <v>18.232941669919043</v>
      </c>
      <c r="Q12" s="466">
        <v>5.9967896688978106</v>
      </c>
      <c r="R12" s="467">
        <v>4.9952742156455265</v>
      </c>
      <c r="S12" s="51"/>
      <c r="T12" s="66"/>
      <c r="U12" s="66"/>
      <c r="V12" s="51"/>
      <c r="W12" s="51"/>
      <c r="X12" s="8"/>
      <c r="Y12" s="8"/>
      <c r="Z12" s="9"/>
      <c r="AA12" s="9"/>
      <c r="AB12" s="9"/>
      <c r="AC12" s="9"/>
      <c r="AD12" s="9"/>
      <c r="AE12" s="201"/>
      <c r="AF12" s="201"/>
      <c r="AG12" s="201"/>
      <c r="AH12" s="201"/>
      <c r="AI12" s="201"/>
      <c r="AJ12" s="201"/>
      <c r="AK12" s="201"/>
      <c r="AL12" s="201"/>
      <c r="AM12" s="201"/>
      <c r="AN12" s="201"/>
      <c r="AO12" s="201"/>
      <c r="AP12" s="201"/>
      <c r="AQ12" s="201"/>
      <c r="AR12" s="201"/>
      <c r="AS12" s="201"/>
      <c r="AT12" s="201"/>
      <c r="AU12" s="201"/>
    </row>
    <row r="13" spans="1:47">
      <c r="A13" s="12"/>
      <c r="B13" s="12"/>
      <c r="C13" s="12"/>
      <c r="D13" s="12"/>
      <c r="E13" s="12"/>
      <c r="F13" s="501" t="s">
        <v>194</v>
      </c>
      <c r="G13" s="527" t="s">
        <v>114</v>
      </c>
      <c r="H13" s="528"/>
      <c r="I13" s="528"/>
      <c r="J13" s="464">
        <v>23.676070284710153</v>
      </c>
      <c r="K13" s="47">
        <v>0.95353843734208565</v>
      </c>
      <c r="L13" s="51">
        <v>5</v>
      </c>
      <c r="M13" s="467">
        <v>6.37</v>
      </c>
      <c r="N13" s="51"/>
      <c r="O13" s="51"/>
      <c r="P13" s="467">
        <v>4.5631064930580612E-2</v>
      </c>
      <c r="Q13" s="467">
        <v>2.7761422800197848</v>
      </c>
      <c r="R13" s="467">
        <v>1.499062901685899</v>
      </c>
      <c r="S13" s="51"/>
      <c r="T13" s="66"/>
      <c r="U13" s="66"/>
      <c r="V13" s="51"/>
      <c r="W13" s="51"/>
      <c r="X13" s="8"/>
      <c r="Y13" s="8"/>
      <c r="Z13" s="9"/>
      <c r="AA13" s="9"/>
      <c r="AB13" s="9"/>
      <c r="AC13" s="9"/>
      <c r="AD13" s="9"/>
      <c r="AE13" s="201"/>
      <c r="AF13" s="201"/>
      <c r="AG13" s="201"/>
      <c r="AH13" s="201"/>
      <c r="AI13" s="201"/>
      <c r="AJ13" s="201"/>
      <c r="AK13" s="201"/>
      <c r="AL13" s="201"/>
      <c r="AM13" s="201"/>
      <c r="AN13" s="201"/>
      <c r="AO13" s="201"/>
      <c r="AP13" s="201"/>
      <c r="AQ13" s="201"/>
      <c r="AR13" s="201"/>
      <c r="AS13" s="201"/>
      <c r="AT13" s="201"/>
      <c r="AU13" s="201"/>
    </row>
    <row r="14" spans="1:47">
      <c r="A14" s="12"/>
      <c r="B14" s="12"/>
      <c r="C14" s="12"/>
      <c r="D14" s="12"/>
      <c r="E14" s="12"/>
      <c r="F14" s="501" t="s">
        <v>195</v>
      </c>
      <c r="G14" s="527" t="s">
        <v>115</v>
      </c>
      <c r="H14" s="528"/>
      <c r="I14" s="528"/>
      <c r="J14" s="505">
        <v>0</v>
      </c>
      <c r="K14" s="47" t="s">
        <v>186</v>
      </c>
      <c r="L14" s="51">
        <v>46.474672142650419</v>
      </c>
      <c r="M14" s="467">
        <v>0</v>
      </c>
      <c r="N14" s="51"/>
      <c r="O14" s="51"/>
      <c r="P14" s="467"/>
      <c r="Q14" s="467"/>
      <c r="R14" s="467"/>
      <c r="S14" s="51"/>
      <c r="T14" s="66"/>
      <c r="U14" s="66"/>
      <c r="V14" s="51"/>
      <c r="W14" s="51"/>
      <c r="X14" s="8"/>
      <c r="Y14" s="8"/>
      <c r="Z14" s="9"/>
      <c r="AA14" s="9"/>
      <c r="AB14" s="9"/>
      <c r="AC14" s="9"/>
      <c r="AD14" s="9"/>
      <c r="AE14" s="201"/>
      <c r="AF14" s="201"/>
      <c r="AG14" s="201"/>
      <c r="AH14" s="201"/>
      <c r="AI14" s="201"/>
      <c r="AJ14" s="201"/>
      <c r="AK14" s="201"/>
      <c r="AL14" s="201"/>
      <c r="AM14" s="201"/>
      <c r="AN14" s="201"/>
      <c r="AO14" s="201"/>
      <c r="AP14" s="201"/>
      <c r="AQ14" s="201"/>
      <c r="AR14" s="201"/>
      <c r="AS14" s="201"/>
      <c r="AT14" s="201"/>
      <c r="AU14" s="201"/>
    </row>
    <row r="15" spans="1:47">
      <c r="A15" s="12"/>
      <c r="B15" s="12"/>
      <c r="C15" s="12"/>
      <c r="D15" s="12"/>
      <c r="E15" s="12"/>
      <c r="F15" s="501" t="s">
        <v>196</v>
      </c>
      <c r="G15" s="527"/>
      <c r="H15" s="528"/>
      <c r="I15" s="528"/>
      <c r="J15" s="68"/>
      <c r="K15" s="47"/>
      <c r="L15" s="51"/>
      <c r="M15" s="467"/>
      <c r="N15" s="51"/>
      <c r="O15" s="51"/>
      <c r="P15" s="467"/>
      <c r="Q15" s="467"/>
      <c r="R15" s="467"/>
      <c r="S15" s="51"/>
      <c r="T15" s="66"/>
      <c r="U15" s="66"/>
      <c r="V15" s="51"/>
      <c r="W15" s="51"/>
      <c r="X15" s="8"/>
      <c r="Y15" s="8"/>
      <c r="Z15" s="9"/>
      <c r="AA15" s="9"/>
      <c r="AB15" s="9"/>
      <c r="AC15" s="9"/>
      <c r="AD15" s="9"/>
      <c r="AE15" s="201"/>
      <c r="AF15" s="201"/>
      <c r="AG15" s="201"/>
      <c r="AH15" s="201"/>
      <c r="AI15" s="201"/>
      <c r="AJ15" s="201"/>
      <c r="AK15" s="201"/>
      <c r="AL15" s="201"/>
      <c r="AM15" s="201"/>
      <c r="AN15" s="201"/>
      <c r="AO15" s="201"/>
      <c r="AP15" s="201"/>
      <c r="AQ15" s="201"/>
      <c r="AR15" s="201"/>
      <c r="AS15" s="201"/>
      <c r="AT15" s="201"/>
      <c r="AU15" s="201"/>
    </row>
    <row r="16" spans="1:47">
      <c r="A16" s="12"/>
      <c r="B16" s="12"/>
      <c r="C16" s="12"/>
      <c r="D16" s="12"/>
      <c r="E16" s="12"/>
      <c r="F16" s="501" t="s">
        <v>197</v>
      </c>
      <c r="G16" s="527"/>
      <c r="H16" s="528"/>
      <c r="I16" s="528"/>
      <c r="J16" s="68"/>
      <c r="K16" s="47"/>
      <c r="L16" s="51"/>
      <c r="M16" s="467"/>
      <c r="N16" s="51"/>
      <c r="O16" s="51"/>
      <c r="P16" s="467"/>
      <c r="Q16" s="467"/>
      <c r="R16" s="467"/>
      <c r="S16" s="51"/>
      <c r="T16" s="66"/>
      <c r="U16" s="66"/>
      <c r="V16" s="51"/>
      <c r="W16" s="51"/>
      <c r="X16" s="8"/>
      <c r="Y16" s="8"/>
      <c r="Z16" s="9"/>
      <c r="AA16" s="9"/>
      <c r="AB16" s="9"/>
      <c r="AC16" s="9"/>
      <c r="AD16" s="9"/>
      <c r="AE16" s="201"/>
      <c r="AF16" s="201"/>
      <c r="AG16" s="201"/>
      <c r="AH16" s="201"/>
      <c r="AI16" s="201"/>
      <c r="AJ16" s="201"/>
      <c r="AK16" s="201"/>
      <c r="AL16" s="201"/>
      <c r="AM16" s="201"/>
      <c r="AN16" s="201"/>
      <c r="AO16" s="201"/>
      <c r="AP16" s="201"/>
      <c r="AQ16" s="201"/>
      <c r="AR16" s="201"/>
      <c r="AS16" s="201"/>
      <c r="AT16" s="201"/>
      <c r="AU16" s="201"/>
    </row>
    <row r="17" spans="1:47">
      <c r="A17" s="12"/>
      <c r="B17" s="12"/>
      <c r="C17" s="12"/>
      <c r="D17" s="12"/>
      <c r="E17" s="12"/>
      <c r="F17" s="501" t="s">
        <v>198</v>
      </c>
      <c r="G17" s="527"/>
      <c r="H17" s="528"/>
      <c r="I17" s="528"/>
      <c r="J17" s="68"/>
      <c r="K17" s="47"/>
      <c r="L17" s="51"/>
      <c r="M17" s="467"/>
      <c r="N17" s="51"/>
      <c r="O17" s="51"/>
      <c r="P17" s="467"/>
      <c r="Q17" s="467"/>
      <c r="R17" s="467"/>
      <c r="S17" s="51"/>
      <c r="T17" s="66"/>
      <c r="U17" s="66"/>
      <c r="V17" s="51"/>
      <c r="W17" s="51"/>
      <c r="X17" s="8"/>
      <c r="Y17" s="8"/>
      <c r="Z17" s="9"/>
      <c r="AA17" s="9"/>
      <c r="AB17" s="9"/>
      <c r="AC17" s="9"/>
      <c r="AD17" s="9"/>
      <c r="AE17" s="201"/>
      <c r="AF17" s="201"/>
      <c r="AG17" s="201"/>
      <c r="AH17" s="201"/>
      <c r="AI17" s="201"/>
      <c r="AJ17" s="201"/>
      <c r="AK17" s="201"/>
      <c r="AL17" s="201"/>
      <c r="AM17" s="201"/>
      <c r="AN17" s="201"/>
      <c r="AO17" s="201"/>
      <c r="AP17" s="201"/>
      <c r="AQ17" s="201"/>
      <c r="AR17" s="201"/>
      <c r="AS17" s="201"/>
      <c r="AT17" s="201"/>
      <c r="AU17" s="201"/>
    </row>
    <row r="18" spans="1:47">
      <c r="A18" s="12"/>
      <c r="B18" s="12"/>
      <c r="C18" s="12"/>
      <c r="D18" s="12"/>
      <c r="E18" s="12"/>
      <c r="F18" s="501" t="s">
        <v>199</v>
      </c>
      <c r="G18" s="527"/>
      <c r="H18" s="528"/>
      <c r="I18" s="528"/>
      <c r="J18" s="68"/>
      <c r="K18" s="47"/>
      <c r="L18" s="51"/>
      <c r="M18" s="51"/>
      <c r="N18" s="51"/>
      <c r="O18" s="51"/>
      <c r="P18" s="467"/>
      <c r="Q18" s="467"/>
      <c r="R18" s="467"/>
      <c r="S18" s="51"/>
      <c r="T18" s="66"/>
      <c r="U18" s="66"/>
      <c r="V18" s="51"/>
      <c r="W18" s="51"/>
      <c r="X18" s="8"/>
      <c r="Y18" s="8"/>
      <c r="Z18" s="9"/>
      <c r="AA18" s="9"/>
      <c r="AB18" s="9"/>
      <c r="AC18" s="9"/>
      <c r="AD18" s="9"/>
      <c r="AE18" s="201"/>
      <c r="AF18" s="201"/>
      <c r="AG18" s="201"/>
      <c r="AH18" s="201"/>
      <c r="AI18" s="201"/>
      <c r="AJ18" s="201"/>
      <c r="AK18" s="201"/>
      <c r="AL18" s="201"/>
      <c r="AM18" s="201"/>
      <c r="AN18" s="201"/>
      <c r="AO18" s="201"/>
      <c r="AP18" s="201"/>
      <c r="AQ18" s="201"/>
      <c r="AR18" s="201"/>
      <c r="AS18" s="201"/>
      <c r="AT18" s="201"/>
      <c r="AU18" s="201"/>
    </row>
    <row r="19" spans="1:47">
      <c r="A19" s="12"/>
      <c r="B19" s="12"/>
      <c r="C19" s="12"/>
      <c r="D19" s="12"/>
      <c r="E19" s="12"/>
      <c r="F19" s="501" t="s">
        <v>200</v>
      </c>
      <c r="G19" s="527"/>
      <c r="H19" s="528"/>
      <c r="I19" s="528"/>
      <c r="J19" s="68"/>
      <c r="K19" s="47"/>
      <c r="L19" s="51"/>
      <c r="M19" s="51"/>
      <c r="N19" s="51"/>
      <c r="O19" s="51"/>
      <c r="P19" s="467"/>
      <c r="Q19" s="467"/>
      <c r="R19" s="467"/>
      <c r="S19" s="51"/>
      <c r="T19" s="66"/>
      <c r="U19" s="66"/>
      <c r="V19" s="51"/>
      <c r="W19" s="51"/>
      <c r="X19" s="8"/>
      <c r="Y19" s="8"/>
      <c r="Z19" s="9"/>
      <c r="AA19" s="9"/>
      <c r="AB19" s="9"/>
      <c r="AC19" s="9"/>
      <c r="AD19" s="9"/>
      <c r="AE19" s="201"/>
      <c r="AF19" s="201"/>
      <c r="AG19" s="201"/>
      <c r="AH19" s="201"/>
      <c r="AI19" s="201"/>
      <c r="AJ19" s="201"/>
      <c r="AK19" s="201"/>
      <c r="AL19" s="201"/>
      <c r="AM19" s="201"/>
      <c r="AN19" s="201"/>
      <c r="AO19" s="201"/>
      <c r="AP19" s="201"/>
      <c r="AQ19" s="201"/>
      <c r="AR19" s="201"/>
      <c r="AS19" s="201"/>
      <c r="AT19" s="201"/>
      <c r="AU19" s="201"/>
    </row>
    <row r="20" spans="1:47">
      <c r="A20" s="12"/>
      <c r="B20" s="12"/>
      <c r="C20" s="12"/>
      <c r="D20" s="12"/>
      <c r="E20" s="12"/>
      <c r="F20" s="501" t="s">
        <v>201</v>
      </c>
      <c r="G20" s="527"/>
      <c r="H20" s="528"/>
      <c r="I20" s="528"/>
      <c r="J20" s="68"/>
      <c r="K20" s="47"/>
      <c r="L20" s="51"/>
      <c r="M20" s="51"/>
      <c r="N20" s="51"/>
      <c r="O20" s="51"/>
      <c r="P20" s="467"/>
      <c r="Q20" s="467"/>
      <c r="R20" s="467"/>
      <c r="S20" s="51"/>
      <c r="T20" s="66"/>
      <c r="U20" s="66"/>
      <c r="V20" s="51"/>
      <c r="W20" s="51"/>
      <c r="X20" s="8"/>
      <c r="Y20" s="8"/>
      <c r="Z20" s="9"/>
      <c r="AA20" s="9"/>
      <c r="AB20" s="9"/>
      <c r="AC20" s="9"/>
      <c r="AD20" s="9"/>
      <c r="AE20" s="201"/>
      <c r="AF20" s="201"/>
      <c r="AG20" s="201"/>
      <c r="AH20" s="201"/>
      <c r="AI20" s="201"/>
      <c r="AJ20" s="201"/>
      <c r="AK20" s="201"/>
      <c r="AL20" s="201"/>
      <c r="AM20" s="201"/>
      <c r="AN20" s="201"/>
      <c r="AO20" s="201"/>
      <c r="AP20" s="201"/>
      <c r="AQ20" s="201"/>
      <c r="AR20" s="201"/>
      <c r="AS20" s="201"/>
      <c r="AT20" s="201"/>
      <c r="AU20" s="201"/>
    </row>
    <row r="21" spans="1:47">
      <c r="A21" s="12"/>
      <c r="B21" s="12"/>
      <c r="C21" s="12"/>
      <c r="D21" s="12"/>
      <c r="E21" s="12"/>
      <c r="F21" s="501" t="s">
        <v>202</v>
      </c>
      <c r="G21" s="527"/>
      <c r="H21" s="528"/>
      <c r="I21" s="528"/>
      <c r="J21" s="68"/>
      <c r="K21" s="47"/>
      <c r="L21" s="51"/>
      <c r="M21" s="66"/>
      <c r="N21" s="51"/>
      <c r="O21" s="51"/>
      <c r="P21" s="467"/>
      <c r="Q21" s="467"/>
      <c r="R21" s="467"/>
      <c r="S21" s="51"/>
      <c r="T21" s="66"/>
      <c r="U21" s="66"/>
      <c r="V21" s="51"/>
      <c r="W21" s="51"/>
      <c r="X21" s="8"/>
      <c r="Y21" s="8"/>
      <c r="Z21" s="9"/>
      <c r="AA21" s="9"/>
      <c r="AB21" s="9"/>
      <c r="AC21" s="9"/>
      <c r="AD21" s="9"/>
      <c r="AE21" s="201"/>
      <c r="AF21" s="201"/>
      <c r="AG21" s="201"/>
      <c r="AH21" s="201"/>
      <c r="AI21" s="201"/>
      <c r="AJ21" s="201"/>
      <c r="AK21" s="201"/>
      <c r="AL21" s="201"/>
      <c r="AM21" s="201"/>
      <c r="AN21" s="201"/>
      <c r="AO21" s="201"/>
      <c r="AP21" s="201"/>
      <c r="AQ21" s="201"/>
      <c r="AR21" s="201"/>
      <c r="AS21" s="201"/>
      <c r="AT21" s="201"/>
      <c r="AU21" s="201"/>
    </row>
    <row r="22" spans="1:47">
      <c r="A22" s="12"/>
      <c r="B22" s="12"/>
      <c r="C22" s="12"/>
      <c r="D22" s="12"/>
      <c r="E22" s="12"/>
      <c r="F22" s="501" t="s">
        <v>203</v>
      </c>
      <c r="G22" s="527"/>
      <c r="H22" s="528"/>
      <c r="I22" s="528"/>
      <c r="J22" s="68"/>
      <c r="K22" s="47"/>
      <c r="L22" s="51"/>
      <c r="M22" s="66"/>
      <c r="N22" s="66"/>
      <c r="O22" s="66"/>
      <c r="P22" s="66"/>
      <c r="Q22" s="66"/>
      <c r="R22" s="66"/>
      <c r="S22" s="66"/>
      <c r="T22" s="66"/>
      <c r="U22" s="66"/>
      <c r="V22" s="51"/>
      <c r="W22" s="51"/>
      <c r="X22" s="8"/>
      <c r="Y22" s="8"/>
      <c r="Z22" s="9"/>
      <c r="AA22" s="9"/>
      <c r="AB22" s="9"/>
      <c r="AC22" s="9"/>
      <c r="AD22" s="9"/>
      <c r="AE22" s="201"/>
      <c r="AF22" s="201"/>
      <c r="AG22" s="201"/>
      <c r="AH22" s="201"/>
      <c r="AI22" s="201"/>
      <c r="AJ22" s="201"/>
      <c r="AK22" s="201"/>
      <c r="AL22" s="201"/>
      <c r="AM22" s="201"/>
      <c r="AN22" s="201"/>
      <c r="AO22" s="201"/>
      <c r="AP22" s="201"/>
      <c r="AQ22" s="201"/>
      <c r="AR22" s="201"/>
      <c r="AS22" s="201"/>
      <c r="AT22" s="201"/>
      <c r="AU22" s="201"/>
    </row>
    <row r="23" spans="1:47">
      <c r="A23" s="12"/>
      <c r="B23" s="12"/>
      <c r="C23" s="12"/>
      <c r="D23" s="12"/>
      <c r="E23" s="12"/>
      <c r="F23" s="501" t="s">
        <v>204</v>
      </c>
      <c r="G23" s="527"/>
      <c r="H23" s="528"/>
      <c r="I23" s="528"/>
      <c r="J23" s="68"/>
      <c r="K23" s="47"/>
      <c r="L23" s="51"/>
      <c r="M23" s="66"/>
      <c r="N23" s="66"/>
      <c r="O23" s="66"/>
      <c r="P23" s="66"/>
      <c r="Q23" s="66"/>
      <c r="R23" s="66"/>
      <c r="S23" s="66"/>
      <c r="T23" s="66"/>
      <c r="U23" s="66"/>
      <c r="V23" s="51"/>
      <c r="W23" s="51"/>
      <c r="X23" s="8"/>
      <c r="Y23" s="8"/>
      <c r="Z23" s="9"/>
      <c r="AA23" s="9"/>
      <c r="AB23" s="9"/>
      <c r="AC23" s="9"/>
      <c r="AD23" s="9"/>
      <c r="AE23" s="201"/>
      <c r="AF23" s="201"/>
      <c r="AG23" s="201"/>
      <c r="AH23" s="201"/>
      <c r="AI23" s="201"/>
      <c r="AJ23" s="201"/>
      <c r="AK23" s="201"/>
      <c r="AL23" s="201"/>
      <c r="AM23" s="201"/>
      <c r="AN23" s="201"/>
      <c r="AO23" s="201"/>
      <c r="AP23" s="201"/>
      <c r="AQ23" s="201"/>
      <c r="AR23" s="201"/>
      <c r="AS23" s="201"/>
      <c r="AT23" s="201"/>
      <c r="AU23" s="201"/>
    </row>
    <row r="24" spans="1:47">
      <c r="A24" s="12"/>
      <c r="B24" s="12"/>
      <c r="C24" s="12"/>
      <c r="D24" s="12"/>
      <c r="E24" s="12"/>
      <c r="F24" s="501" t="s">
        <v>205</v>
      </c>
      <c r="G24" s="527"/>
      <c r="H24" s="528"/>
      <c r="I24" s="528"/>
      <c r="J24" s="68"/>
      <c r="K24" s="47"/>
      <c r="L24" s="51"/>
      <c r="M24" s="66"/>
      <c r="N24" s="66"/>
      <c r="O24" s="66"/>
      <c r="P24" s="66"/>
      <c r="Q24" s="66"/>
      <c r="R24" s="66"/>
      <c r="S24" s="66"/>
      <c r="T24" s="66"/>
      <c r="U24" s="66"/>
      <c r="V24" s="51"/>
      <c r="W24" s="51"/>
      <c r="X24" s="8"/>
      <c r="Y24" s="8"/>
      <c r="Z24" s="9"/>
      <c r="AA24" s="9"/>
      <c r="AB24" s="9"/>
      <c r="AC24" s="9"/>
      <c r="AD24" s="9"/>
      <c r="AE24" s="201"/>
      <c r="AF24" s="201"/>
      <c r="AG24" s="201"/>
      <c r="AH24" s="201"/>
      <c r="AI24" s="201"/>
      <c r="AJ24" s="201"/>
      <c r="AK24" s="201"/>
      <c r="AL24" s="201"/>
      <c r="AM24" s="201"/>
      <c r="AN24" s="201"/>
      <c r="AO24" s="201"/>
      <c r="AP24" s="201"/>
      <c r="AQ24" s="201"/>
      <c r="AR24" s="201"/>
      <c r="AS24" s="201"/>
      <c r="AT24" s="201"/>
      <c r="AU24" s="201"/>
    </row>
    <row r="25" spans="1:47">
      <c r="A25" s="12"/>
      <c r="B25" s="12"/>
      <c r="C25" s="12"/>
      <c r="D25" s="12"/>
      <c r="E25" s="12"/>
      <c r="F25" s="501" t="s">
        <v>206</v>
      </c>
      <c r="G25" s="527"/>
      <c r="H25" s="528"/>
      <c r="I25" s="528"/>
      <c r="J25" s="68"/>
      <c r="K25" s="47"/>
      <c r="L25" s="51"/>
      <c r="M25" s="66"/>
      <c r="N25" s="66"/>
      <c r="O25" s="66"/>
      <c r="P25" s="66"/>
      <c r="Q25" s="66"/>
      <c r="R25" s="66"/>
      <c r="S25" s="66"/>
      <c r="T25" s="66"/>
      <c r="U25" s="66"/>
      <c r="V25" s="51"/>
      <c r="W25" s="51"/>
      <c r="X25" s="8"/>
      <c r="Y25" s="8"/>
      <c r="Z25" s="9"/>
      <c r="AA25" s="9"/>
      <c r="AB25" s="9"/>
      <c r="AC25" s="9"/>
      <c r="AD25" s="9"/>
      <c r="AE25" s="201"/>
      <c r="AF25" s="201"/>
      <c r="AG25" s="201"/>
      <c r="AH25" s="201"/>
      <c r="AI25" s="201"/>
      <c r="AJ25" s="201"/>
      <c r="AK25" s="201"/>
      <c r="AL25" s="201"/>
      <c r="AM25" s="201"/>
      <c r="AN25" s="201"/>
      <c r="AO25" s="201"/>
      <c r="AP25" s="201"/>
      <c r="AQ25" s="201"/>
      <c r="AR25" s="201"/>
      <c r="AS25" s="201"/>
      <c r="AT25" s="201"/>
      <c r="AU25" s="201"/>
    </row>
    <row r="26" spans="1:47">
      <c r="A26" s="12"/>
      <c r="B26" s="12"/>
      <c r="C26" s="12"/>
      <c r="D26" s="12"/>
      <c r="E26" s="12"/>
      <c r="F26" s="501" t="s">
        <v>207</v>
      </c>
      <c r="G26" s="527"/>
      <c r="H26" s="528"/>
      <c r="I26" s="528"/>
      <c r="J26" s="68"/>
      <c r="K26" s="47"/>
      <c r="L26" s="51"/>
      <c r="M26" s="66"/>
      <c r="N26" s="66"/>
      <c r="O26" s="66"/>
      <c r="P26" s="66"/>
      <c r="Q26" s="66"/>
      <c r="R26" s="66"/>
      <c r="S26" s="66"/>
      <c r="T26" s="66"/>
      <c r="U26" s="66"/>
      <c r="V26" s="51"/>
      <c r="W26" s="51"/>
      <c r="X26" s="8"/>
      <c r="Y26" s="8"/>
      <c r="Z26" s="9"/>
      <c r="AA26" s="9"/>
      <c r="AB26" s="9"/>
      <c r="AC26" s="9"/>
      <c r="AD26" s="9"/>
      <c r="AE26" s="201"/>
      <c r="AF26" s="201"/>
      <c r="AG26" s="201"/>
      <c r="AH26" s="201"/>
      <c r="AI26" s="201"/>
      <c r="AJ26" s="201"/>
      <c r="AK26" s="201"/>
      <c r="AL26" s="201"/>
      <c r="AM26" s="201"/>
      <c r="AN26" s="201"/>
      <c r="AO26" s="201"/>
      <c r="AP26" s="201"/>
      <c r="AQ26" s="201"/>
      <c r="AR26" s="201"/>
      <c r="AS26" s="201"/>
      <c r="AT26" s="201"/>
      <c r="AU26" s="201"/>
    </row>
    <row r="27" spans="1:47">
      <c r="A27" s="12"/>
      <c r="B27" s="12"/>
      <c r="C27" s="12"/>
      <c r="D27" s="12"/>
      <c r="E27" s="12"/>
      <c r="F27" s="501" t="s">
        <v>208</v>
      </c>
      <c r="G27" s="527"/>
      <c r="H27" s="528"/>
      <c r="I27" s="528"/>
      <c r="J27" s="68"/>
      <c r="K27" s="47"/>
      <c r="L27" s="51"/>
      <c r="M27" s="66"/>
      <c r="N27" s="66"/>
      <c r="O27" s="66"/>
      <c r="P27" s="66"/>
      <c r="Q27" s="66"/>
      <c r="R27" s="66"/>
      <c r="S27" s="66"/>
      <c r="T27" s="66"/>
      <c r="U27" s="66"/>
      <c r="V27" s="51"/>
      <c r="W27" s="51"/>
      <c r="X27" s="8"/>
      <c r="Y27" s="8"/>
      <c r="Z27" s="9"/>
      <c r="AA27" s="9"/>
      <c r="AB27" s="9"/>
      <c r="AC27" s="9"/>
      <c r="AD27" s="9"/>
      <c r="AE27" s="201"/>
      <c r="AF27" s="201"/>
      <c r="AG27" s="201"/>
      <c r="AH27" s="201"/>
      <c r="AI27" s="201"/>
      <c r="AJ27" s="201"/>
      <c r="AK27" s="201"/>
      <c r="AL27" s="201"/>
      <c r="AM27" s="201"/>
      <c r="AN27" s="201"/>
      <c r="AO27" s="201"/>
      <c r="AP27" s="201"/>
      <c r="AQ27" s="201"/>
      <c r="AR27" s="201"/>
      <c r="AS27" s="201"/>
      <c r="AT27" s="201"/>
      <c r="AU27" s="201"/>
    </row>
    <row r="28" spans="1:47">
      <c r="A28" s="12"/>
      <c r="B28" s="12"/>
      <c r="C28" s="12"/>
      <c r="D28" s="12"/>
      <c r="E28" s="12"/>
      <c r="F28" s="501" t="s">
        <v>209</v>
      </c>
      <c r="G28" s="527"/>
      <c r="H28" s="528"/>
      <c r="I28" s="528"/>
      <c r="J28" s="68"/>
      <c r="K28" s="47"/>
      <c r="L28" s="51"/>
      <c r="M28" s="66"/>
      <c r="N28" s="66"/>
      <c r="O28" s="66"/>
      <c r="P28" s="66"/>
      <c r="Q28" s="66"/>
      <c r="R28" s="66"/>
      <c r="S28" s="66"/>
      <c r="T28" s="66"/>
      <c r="U28" s="66"/>
      <c r="V28" s="51"/>
      <c r="W28" s="51"/>
      <c r="X28" s="8"/>
      <c r="Y28" s="8"/>
      <c r="Z28" s="9"/>
      <c r="AA28" s="9"/>
      <c r="AB28" s="9"/>
      <c r="AC28" s="9"/>
      <c r="AD28" s="9"/>
      <c r="AE28" s="201"/>
      <c r="AF28" s="201"/>
      <c r="AG28" s="201"/>
      <c r="AH28" s="201"/>
      <c r="AI28" s="201"/>
      <c r="AJ28" s="201"/>
      <c r="AK28" s="201"/>
      <c r="AL28" s="201"/>
      <c r="AM28" s="201"/>
      <c r="AN28" s="201"/>
      <c r="AO28" s="201"/>
      <c r="AP28" s="201"/>
      <c r="AQ28" s="201"/>
      <c r="AR28" s="201"/>
      <c r="AS28" s="201"/>
      <c r="AT28" s="201"/>
      <c r="AU28" s="201"/>
    </row>
    <row r="29" spans="1:47">
      <c r="A29" s="12"/>
      <c r="B29" s="12"/>
      <c r="C29" s="12"/>
      <c r="D29" s="12"/>
      <c r="E29" s="12"/>
      <c r="F29" s="501" t="s">
        <v>210</v>
      </c>
      <c r="G29" s="527"/>
      <c r="H29" s="528"/>
      <c r="I29" s="528"/>
      <c r="J29" s="68"/>
      <c r="K29" s="47"/>
      <c r="L29" s="51"/>
      <c r="M29" s="66"/>
      <c r="N29" s="66"/>
      <c r="O29" s="66"/>
      <c r="P29" s="66"/>
      <c r="Q29" s="66"/>
      <c r="R29" s="66"/>
      <c r="S29" s="66"/>
      <c r="T29" s="66"/>
      <c r="U29" s="66"/>
      <c r="V29" s="51"/>
      <c r="W29" s="51"/>
      <c r="X29" s="8"/>
      <c r="Y29" s="8"/>
      <c r="Z29" s="9"/>
      <c r="AA29" s="9"/>
      <c r="AB29" s="9"/>
      <c r="AC29" s="9"/>
      <c r="AD29" s="9"/>
      <c r="AE29" s="201"/>
      <c r="AF29" s="201"/>
      <c r="AG29" s="201"/>
      <c r="AH29" s="201"/>
      <c r="AI29" s="201"/>
      <c r="AJ29" s="201"/>
      <c r="AK29" s="201"/>
      <c r="AL29" s="201"/>
      <c r="AM29" s="201"/>
      <c r="AN29" s="201"/>
      <c r="AO29" s="201"/>
      <c r="AP29" s="201"/>
      <c r="AQ29" s="201"/>
      <c r="AR29" s="201"/>
      <c r="AS29" s="201"/>
      <c r="AT29" s="201"/>
      <c r="AU29" s="201"/>
    </row>
    <row r="30" spans="1:47">
      <c r="A30" s="12"/>
      <c r="B30" s="12"/>
      <c r="C30" s="12"/>
      <c r="D30" s="12"/>
      <c r="E30" s="12"/>
      <c r="F30" s="501" t="s">
        <v>211</v>
      </c>
      <c r="G30" s="527"/>
      <c r="H30" s="528"/>
      <c r="I30" s="528"/>
      <c r="J30" s="68"/>
      <c r="K30" s="47"/>
      <c r="L30" s="51"/>
      <c r="M30" s="66"/>
      <c r="N30" s="66"/>
      <c r="O30" s="66"/>
      <c r="P30" s="66"/>
      <c r="Q30" s="66"/>
      <c r="R30" s="66"/>
      <c r="S30" s="66"/>
      <c r="T30" s="66"/>
      <c r="U30" s="66"/>
      <c r="V30" s="51"/>
      <c r="W30" s="51"/>
      <c r="X30" s="8"/>
      <c r="Y30" s="8"/>
      <c r="Z30" s="9"/>
      <c r="AA30" s="9"/>
      <c r="AB30" s="9"/>
      <c r="AC30" s="9"/>
      <c r="AD30" s="9"/>
      <c r="AE30" s="201"/>
      <c r="AF30" s="201"/>
      <c r="AG30" s="201"/>
      <c r="AH30" s="201"/>
      <c r="AI30" s="201"/>
      <c r="AJ30" s="201"/>
      <c r="AK30" s="201"/>
      <c r="AL30" s="201"/>
      <c r="AM30" s="201"/>
      <c r="AN30" s="201"/>
      <c r="AO30" s="201"/>
      <c r="AP30" s="201"/>
      <c r="AQ30" s="201"/>
      <c r="AR30" s="201"/>
      <c r="AS30" s="201"/>
      <c r="AT30" s="201"/>
      <c r="AU30" s="201"/>
    </row>
    <row r="31" spans="1:47">
      <c r="A31" s="12"/>
      <c r="B31" s="12"/>
      <c r="C31" s="12"/>
      <c r="D31" s="12"/>
      <c r="E31" s="12"/>
      <c r="F31" s="501" t="s">
        <v>212</v>
      </c>
      <c r="G31" s="527"/>
      <c r="H31" s="528"/>
      <c r="I31" s="528"/>
      <c r="J31" s="68"/>
      <c r="K31" s="47"/>
      <c r="L31" s="51"/>
      <c r="M31" s="66"/>
      <c r="N31" s="66"/>
      <c r="O31" s="66"/>
      <c r="P31" s="66"/>
      <c r="Q31" s="66"/>
      <c r="R31" s="66"/>
      <c r="S31" s="66"/>
      <c r="T31" s="66"/>
      <c r="U31" s="66"/>
      <c r="V31" s="51"/>
      <c r="W31" s="51"/>
      <c r="X31" s="8"/>
      <c r="Y31" s="8"/>
      <c r="Z31" s="9"/>
      <c r="AA31" s="9"/>
      <c r="AB31" s="9"/>
      <c r="AC31" s="9"/>
      <c r="AD31" s="9"/>
      <c r="AE31" s="201"/>
      <c r="AF31" s="201"/>
      <c r="AG31" s="201"/>
      <c r="AH31" s="201"/>
      <c r="AI31" s="201"/>
      <c r="AJ31" s="201"/>
      <c r="AK31" s="201"/>
      <c r="AL31" s="201"/>
      <c r="AM31" s="201"/>
      <c r="AN31" s="201"/>
      <c r="AO31" s="201"/>
      <c r="AP31" s="201"/>
      <c r="AQ31" s="201"/>
      <c r="AR31" s="201"/>
      <c r="AS31" s="201"/>
      <c r="AT31" s="201"/>
      <c r="AU31" s="201"/>
    </row>
    <row r="32" spans="1:47">
      <c r="A32" s="12"/>
      <c r="B32" s="12"/>
      <c r="C32" s="12"/>
      <c r="D32" s="12"/>
      <c r="E32" s="12"/>
      <c r="F32" s="501" t="s">
        <v>213</v>
      </c>
      <c r="G32" s="527"/>
      <c r="H32" s="528"/>
      <c r="I32" s="528"/>
      <c r="J32" s="68"/>
      <c r="K32" s="47"/>
      <c r="L32" s="51"/>
      <c r="M32" s="66"/>
      <c r="N32" s="66"/>
      <c r="O32" s="66"/>
      <c r="P32" s="66"/>
      <c r="Q32" s="66"/>
      <c r="R32" s="66"/>
      <c r="S32" s="66"/>
      <c r="T32" s="66"/>
      <c r="U32" s="66"/>
      <c r="V32" s="51"/>
      <c r="W32" s="51"/>
      <c r="X32" s="8"/>
      <c r="Y32" s="8"/>
      <c r="Z32" s="9"/>
      <c r="AA32" s="9"/>
      <c r="AB32" s="9"/>
      <c r="AC32" s="9"/>
      <c r="AD32" s="9"/>
      <c r="AE32" s="201"/>
      <c r="AF32" s="201"/>
      <c r="AG32" s="201"/>
      <c r="AH32" s="201"/>
      <c r="AI32" s="201"/>
      <c r="AJ32" s="201"/>
      <c r="AK32" s="201"/>
      <c r="AL32" s="201"/>
      <c r="AM32" s="201"/>
      <c r="AN32" s="201"/>
      <c r="AO32" s="201"/>
      <c r="AP32" s="201"/>
      <c r="AQ32" s="201"/>
      <c r="AR32" s="201"/>
      <c r="AS32" s="201"/>
      <c r="AT32" s="201"/>
      <c r="AU32" s="201"/>
    </row>
    <row r="33" spans="1:47">
      <c r="A33" s="12"/>
      <c r="B33" s="12"/>
      <c r="C33" s="12"/>
      <c r="D33" s="12"/>
      <c r="E33" s="12"/>
      <c r="F33" s="501" t="s">
        <v>214</v>
      </c>
      <c r="G33" s="527"/>
      <c r="H33" s="528"/>
      <c r="I33" s="528"/>
      <c r="J33" s="68"/>
      <c r="K33" s="47"/>
      <c r="L33" s="51"/>
      <c r="M33" s="66"/>
      <c r="N33" s="66"/>
      <c r="O33" s="66"/>
      <c r="P33" s="66"/>
      <c r="Q33" s="66"/>
      <c r="R33" s="66"/>
      <c r="S33" s="66"/>
      <c r="T33" s="66"/>
      <c r="U33" s="66"/>
      <c r="V33" s="51"/>
      <c r="W33" s="51"/>
      <c r="X33" s="8"/>
      <c r="Y33" s="8"/>
      <c r="Z33" s="9"/>
      <c r="AA33" s="9"/>
      <c r="AB33" s="9"/>
      <c r="AC33" s="9"/>
      <c r="AD33" s="9"/>
      <c r="AE33" s="201"/>
      <c r="AF33" s="201"/>
      <c r="AG33" s="201"/>
      <c r="AH33" s="201"/>
      <c r="AI33" s="201"/>
      <c r="AJ33" s="201"/>
      <c r="AK33" s="201"/>
      <c r="AL33" s="201"/>
      <c r="AM33" s="201"/>
      <c r="AN33" s="201"/>
      <c r="AO33" s="201"/>
      <c r="AP33" s="201"/>
      <c r="AQ33" s="201"/>
      <c r="AR33" s="201"/>
      <c r="AS33" s="201"/>
      <c r="AT33" s="201"/>
      <c r="AU33" s="201"/>
    </row>
    <row r="34" spans="1:47">
      <c r="A34" s="12"/>
      <c r="B34" s="12"/>
      <c r="C34" s="12"/>
      <c r="D34" s="12"/>
      <c r="E34" s="12"/>
      <c r="F34" s="501" t="s">
        <v>215</v>
      </c>
      <c r="G34" s="527"/>
      <c r="H34" s="528"/>
      <c r="I34" s="528"/>
      <c r="J34" s="68"/>
      <c r="K34" s="47"/>
      <c r="L34" s="51"/>
      <c r="M34" s="66"/>
      <c r="N34" s="66"/>
      <c r="O34" s="66"/>
      <c r="P34" s="66"/>
      <c r="Q34" s="66"/>
      <c r="R34" s="66"/>
      <c r="S34" s="66"/>
      <c r="T34" s="66"/>
      <c r="U34" s="66"/>
      <c r="V34" s="51"/>
      <c r="W34" s="51"/>
      <c r="X34" s="8"/>
      <c r="Y34" s="8"/>
      <c r="Z34" s="9"/>
      <c r="AA34" s="9"/>
      <c r="AB34" s="9"/>
      <c r="AC34" s="9"/>
      <c r="AD34" s="9"/>
      <c r="AE34" s="201"/>
      <c r="AF34" s="201"/>
      <c r="AG34" s="201"/>
      <c r="AH34" s="201"/>
      <c r="AI34" s="201"/>
      <c r="AJ34" s="201"/>
      <c r="AK34" s="201"/>
      <c r="AL34" s="201"/>
      <c r="AM34" s="201"/>
      <c r="AN34" s="201"/>
      <c r="AO34" s="201"/>
      <c r="AP34" s="201"/>
      <c r="AQ34" s="201"/>
      <c r="AR34" s="201"/>
      <c r="AS34" s="201"/>
      <c r="AT34" s="201"/>
      <c r="AU34" s="201"/>
    </row>
    <row r="35" spans="1:47">
      <c r="A35" s="12"/>
      <c r="B35" s="12"/>
      <c r="C35" s="12"/>
      <c r="D35" s="12"/>
      <c r="E35" s="12"/>
      <c r="F35" s="501" t="s">
        <v>216</v>
      </c>
      <c r="G35" s="527"/>
      <c r="H35" s="528"/>
      <c r="I35" s="528"/>
      <c r="J35" s="68"/>
      <c r="K35" s="47"/>
      <c r="L35" s="51"/>
      <c r="M35" s="66"/>
      <c r="N35" s="66"/>
      <c r="O35" s="66"/>
      <c r="P35" s="66"/>
      <c r="Q35" s="66"/>
      <c r="R35" s="66"/>
      <c r="S35" s="66"/>
      <c r="T35" s="66"/>
      <c r="U35" s="66"/>
      <c r="V35" s="51"/>
      <c r="W35" s="51"/>
      <c r="X35" s="8"/>
      <c r="Y35" s="8"/>
      <c r="Z35" s="9"/>
      <c r="AA35" s="9"/>
      <c r="AB35" s="9"/>
      <c r="AC35" s="9"/>
      <c r="AD35" s="9"/>
      <c r="AE35" s="201"/>
      <c r="AF35" s="201"/>
      <c r="AG35" s="201"/>
      <c r="AH35" s="201"/>
      <c r="AI35" s="201"/>
      <c r="AJ35" s="201"/>
      <c r="AK35" s="201"/>
      <c r="AL35" s="201"/>
      <c r="AM35" s="201"/>
      <c r="AN35" s="201"/>
      <c r="AO35" s="201"/>
      <c r="AP35" s="201"/>
      <c r="AQ35" s="201"/>
      <c r="AR35" s="201"/>
      <c r="AS35" s="201"/>
      <c r="AT35" s="201"/>
      <c r="AU35" s="201"/>
    </row>
    <row r="36" spans="1:47">
      <c r="A36" s="12"/>
      <c r="B36" s="12"/>
      <c r="C36" s="12"/>
      <c r="D36" s="12"/>
      <c r="E36" s="12"/>
      <c r="F36" s="501" t="s">
        <v>217</v>
      </c>
      <c r="G36" s="527"/>
      <c r="H36" s="528"/>
      <c r="I36" s="528"/>
      <c r="J36" s="68"/>
      <c r="K36" s="47"/>
      <c r="L36" s="51"/>
      <c r="M36" s="66"/>
      <c r="N36" s="66"/>
      <c r="O36" s="66"/>
      <c r="P36" s="66"/>
      <c r="Q36" s="66"/>
      <c r="R36" s="66"/>
      <c r="S36" s="66"/>
      <c r="T36" s="66"/>
      <c r="U36" s="66"/>
      <c r="V36" s="51"/>
      <c r="W36" s="51"/>
      <c r="X36" s="8"/>
      <c r="Y36" s="8"/>
      <c r="Z36" s="9"/>
      <c r="AA36" s="9"/>
      <c r="AB36" s="9"/>
      <c r="AC36" s="9"/>
      <c r="AD36" s="9"/>
      <c r="AE36" s="201"/>
      <c r="AF36" s="201"/>
      <c r="AG36" s="201"/>
      <c r="AH36" s="201"/>
      <c r="AI36" s="201"/>
      <c r="AJ36" s="201"/>
      <c r="AK36" s="201"/>
      <c r="AL36" s="201"/>
      <c r="AM36" s="201"/>
      <c r="AN36" s="201"/>
      <c r="AO36" s="201"/>
      <c r="AP36" s="201"/>
      <c r="AQ36" s="201"/>
      <c r="AR36" s="201"/>
      <c r="AS36" s="201"/>
      <c r="AT36" s="201"/>
      <c r="AU36" s="201"/>
    </row>
    <row r="37" spans="1:47">
      <c r="A37" s="12"/>
      <c r="B37" s="12"/>
      <c r="C37" s="12"/>
      <c r="D37" s="12"/>
      <c r="E37" s="12"/>
      <c r="F37" s="177" t="s">
        <v>2</v>
      </c>
      <c r="G37" s="159"/>
      <c r="H37" s="159"/>
      <c r="I37" s="159"/>
      <c r="J37" s="468">
        <f>SUM(J7:J36)</f>
        <v>1879.9814438209928</v>
      </c>
      <c r="K37" s="62"/>
      <c r="L37" s="36"/>
      <c r="M37" s="468">
        <f t="shared" ref="M37:U37" si="0">SUM(M7:M36)</f>
        <v>256.13131134785033</v>
      </c>
      <c r="N37" s="309">
        <f t="shared" si="0"/>
        <v>0</v>
      </c>
      <c r="O37" s="331">
        <f t="shared" si="0"/>
        <v>0</v>
      </c>
      <c r="P37" s="468">
        <f t="shared" si="0"/>
        <v>85.497842544496294</v>
      </c>
      <c r="Q37" s="468">
        <f t="shared" si="0"/>
        <v>27.807906237003301</v>
      </c>
      <c r="R37" s="468">
        <f t="shared" si="0"/>
        <v>15.015729169743596</v>
      </c>
      <c r="S37" s="309">
        <f t="shared" si="0"/>
        <v>0</v>
      </c>
      <c r="T37" s="309">
        <f t="shared" si="0"/>
        <v>0</v>
      </c>
      <c r="U37" s="309">
        <f t="shared" si="0"/>
        <v>0</v>
      </c>
      <c r="V37" s="62"/>
      <c r="W37" s="62"/>
      <c r="X37" s="62"/>
      <c r="Z37" s="8"/>
      <c r="AA37" s="8"/>
      <c r="AB37" s="8"/>
      <c r="AC37" s="8"/>
      <c r="AD37" s="8"/>
      <c r="AE37" s="201"/>
      <c r="AF37" s="201"/>
      <c r="AG37" s="201"/>
      <c r="AH37" s="201"/>
      <c r="AI37" s="201"/>
      <c r="AJ37" s="201"/>
      <c r="AK37" s="201"/>
      <c r="AL37" s="201"/>
      <c r="AM37" s="201"/>
      <c r="AN37" s="201"/>
      <c r="AO37" s="201"/>
      <c r="AP37" s="201"/>
      <c r="AQ37" s="201"/>
      <c r="AR37" s="201"/>
      <c r="AS37" s="201"/>
      <c r="AT37" s="201"/>
      <c r="AU37" s="201"/>
    </row>
    <row r="38" spans="1:47" ht="21" customHeight="1">
      <c r="A38" s="12"/>
      <c r="B38" s="12"/>
      <c r="C38" s="12"/>
      <c r="D38" s="12"/>
      <c r="E38" s="12"/>
      <c r="F38" s="95"/>
      <c r="G38" s="161"/>
      <c r="H38" s="52">
        <v>1000</v>
      </c>
      <c r="I38" s="52"/>
      <c r="J38" s="52"/>
      <c r="K38" s="52"/>
      <c r="L38" s="52"/>
      <c r="M38" s="52"/>
      <c r="N38" s="182"/>
      <c r="O38" s="182"/>
      <c r="P38" s="182"/>
      <c r="Q38" s="182"/>
      <c r="R38" s="182"/>
      <c r="S38" s="182"/>
      <c r="T38" s="182"/>
      <c r="U38" s="182"/>
      <c r="V38" s="52"/>
      <c r="W38" s="52"/>
      <c r="X38" s="52"/>
      <c r="Y38" s="8"/>
      <c r="Z38" s="8"/>
      <c r="AA38" s="8"/>
      <c r="AB38" s="42"/>
      <c r="AC38" s="9"/>
      <c r="AD38" s="9"/>
      <c r="AE38" s="201"/>
      <c r="AF38" s="201"/>
      <c r="AG38" s="201"/>
      <c r="AH38" s="201"/>
      <c r="AI38" s="201"/>
      <c r="AJ38" s="201"/>
      <c r="AK38" s="201"/>
      <c r="AL38" s="201"/>
      <c r="AM38" s="201"/>
      <c r="AN38" s="201"/>
      <c r="AO38" s="201"/>
      <c r="AP38" s="201"/>
      <c r="AQ38" s="201"/>
      <c r="AR38" s="201"/>
      <c r="AS38" s="201"/>
      <c r="AT38" s="201"/>
      <c r="AU38" s="201"/>
    </row>
    <row r="39" spans="1:47" ht="13.5" customHeight="1">
      <c r="A39" s="78"/>
      <c r="B39" s="78"/>
      <c r="C39" s="78"/>
      <c r="D39" s="78"/>
      <c r="E39" s="78"/>
      <c r="F39" s="530" t="s">
        <v>56</v>
      </c>
      <c r="G39" s="530"/>
      <c r="H39" s="530"/>
      <c r="I39" s="160"/>
      <c r="J39" s="160"/>
      <c r="K39" s="81"/>
      <c r="L39" s="81"/>
      <c r="M39" s="79"/>
      <c r="N39" s="79"/>
      <c r="O39" s="79"/>
      <c r="P39" s="79"/>
      <c r="Q39" s="79"/>
      <c r="R39" s="79"/>
      <c r="S39" s="79"/>
      <c r="T39" s="79"/>
      <c r="U39" s="79"/>
      <c r="V39" s="79"/>
      <c r="W39" s="79"/>
      <c r="X39" s="8"/>
      <c r="Y39" s="8"/>
      <c r="Z39" s="8"/>
      <c r="AA39" s="8"/>
      <c r="AB39" s="42"/>
      <c r="AC39" s="9"/>
      <c r="AD39" s="9"/>
      <c r="AE39" s="201"/>
      <c r="AF39" s="201"/>
      <c r="AG39" s="201"/>
      <c r="AH39" s="201"/>
      <c r="AI39" s="201"/>
      <c r="AJ39" s="201"/>
      <c r="AK39" s="201"/>
      <c r="AL39" s="201"/>
      <c r="AM39" s="201"/>
      <c r="AN39" s="201"/>
      <c r="AO39" s="201"/>
      <c r="AP39" s="201"/>
      <c r="AQ39" s="201"/>
      <c r="AR39" s="201"/>
      <c r="AS39" s="201"/>
      <c r="AT39" s="201"/>
      <c r="AU39" s="201"/>
    </row>
    <row r="40" spans="1:47">
      <c r="A40" s="12"/>
      <c r="B40" s="12"/>
      <c r="C40" s="12"/>
      <c r="D40" s="12"/>
      <c r="E40" s="12"/>
      <c r="F40" s="37" t="s">
        <v>1</v>
      </c>
      <c r="G40" s="244">
        <f>X7-1</f>
        <v>2010</v>
      </c>
      <c r="H40" s="244">
        <f>G40+1</f>
        <v>2011</v>
      </c>
      <c r="I40" s="244">
        <f t="shared" ref="I40:Q40" si="1">H40+1</f>
        <v>2012</v>
      </c>
      <c r="J40" s="244">
        <f t="shared" si="1"/>
        <v>2013</v>
      </c>
      <c r="K40" s="244">
        <f t="shared" si="1"/>
        <v>2014</v>
      </c>
      <c r="L40" s="244">
        <f t="shared" si="1"/>
        <v>2015</v>
      </c>
      <c r="M40" s="244">
        <f t="shared" si="1"/>
        <v>2016</v>
      </c>
      <c r="N40" s="244">
        <f t="shared" si="1"/>
        <v>2017</v>
      </c>
      <c r="O40" s="244">
        <f t="shared" si="1"/>
        <v>2018</v>
      </c>
      <c r="P40" s="244">
        <f t="shared" si="1"/>
        <v>2019</v>
      </c>
      <c r="Q40" s="244">
        <f t="shared" si="1"/>
        <v>2020</v>
      </c>
      <c r="R40" s="147"/>
      <c r="S40" s="8"/>
      <c r="T40" s="8"/>
      <c r="U40" s="8"/>
      <c r="V40" s="8"/>
      <c r="W40" s="42"/>
      <c r="X40" s="9"/>
      <c r="Y40" s="9"/>
      <c r="Z40" s="9"/>
      <c r="AA40" s="9"/>
      <c r="AB40" s="9"/>
      <c r="AC40" s="9"/>
      <c r="AD40" s="9"/>
      <c r="AE40" s="201"/>
      <c r="AF40" s="201"/>
      <c r="AG40" s="201"/>
      <c r="AH40" s="201"/>
      <c r="AI40" s="201"/>
      <c r="AJ40" s="201"/>
      <c r="AK40" s="201"/>
      <c r="AL40" s="201"/>
      <c r="AM40" s="201"/>
      <c r="AN40" s="201"/>
      <c r="AO40" s="201"/>
      <c r="AP40" s="201"/>
      <c r="AQ40" s="201"/>
      <c r="AR40" s="201"/>
      <c r="AS40" s="201"/>
      <c r="AT40" s="201"/>
      <c r="AU40" s="201"/>
    </row>
    <row r="41" spans="1:47" outlineLevel="1">
      <c r="A41" s="12"/>
      <c r="B41" s="12"/>
      <c r="C41" s="12"/>
      <c r="D41" s="12"/>
      <c r="E41" s="12"/>
      <c r="F41" s="177" t="str">
        <f>Asset1</f>
        <v>Subtransmission</v>
      </c>
      <c r="G41" s="167">
        <v>25.126956947635545</v>
      </c>
      <c r="H41" s="332">
        <v>22.221416972009369</v>
      </c>
      <c r="I41" s="65">
        <v>44.068269104737396</v>
      </c>
      <c r="J41" s="65">
        <v>63.80349995248401</v>
      </c>
      <c r="K41" s="450">
        <v>63.116820701394637</v>
      </c>
      <c r="L41" s="450">
        <v>62.912230066234429</v>
      </c>
      <c r="M41" s="65"/>
      <c r="N41" s="65"/>
      <c r="O41" s="65"/>
      <c r="P41" s="65"/>
      <c r="Q41" s="65"/>
      <c r="R41" s="8"/>
      <c r="S41" s="8"/>
      <c r="T41" s="8"/>
      <c r="U41" s="8"/>
      <c r="V41" s="8"/>
      <c r="W41" s="42"/>
      <c r="X41" s="9"/>
      <c r="Y41" s="9"/>
      <c r="Z41" s="9"/>
      <c r="AA41" s="9"/>
      <c r="AB41" s="9"/>
      <c r="AC41" s="9"/>
      <c r="AD41" s="9"/>
      <c r="AE41" s="201"/>
      <c r="AF41" s="201"/>
      <c r="AG41" s="201"/>
      <c r="AH41" s="201"/>
      <c r="AI41" s="201"/>
      <c r="AJ41" s="201"/>
      <c r="AK41" s="201"/>
      <c r="AL41" s="201"/>
      <c r="AM41" s="201"/>
      <c r="AN41" s="201"/>
      <c r="AO41" s="201"/>
      <c r="AP41" s="201"/>
      <c r="AQ41" s="201"/>
      <c r="AR41" s="201"/>
      <c r="AS41" s="201"/>
      <c r="AT41" s="201"/>
      <c r="AU41" s="201"/>
    </row>
    <row r="42" spans="1:47" outlineLevel="1">
      <c r="A42" s="12"/>
      <c r="B42" s="12"/>
      <c r="C42" s="12"/>
      <c r="D42" s="12"/>
      <c r="E42" s="12"/>
      <c r="F42" s="177" t="str">
        <f>Asset2</f>
        <v>Distribution system assets</v>
      </c>
      <c r="G42" s="460">
        <v>203.99459681238633</v>
      </c>
      <c r="H42" s="461">
        <v>214.21892081260307</v>
      </c>
      <c r="I42" s="451">
        <v>229.0560217353418</v>
      </c>
      <c r="J42" s="451">
        <v>264.20522451001659</v>
      </c>
      <c r="K42" s="451">
        <v>326.39358925165811</v>
      </c>
      <c r="L42" s="451">
        <v>298.49074553462151</v>
      </c>
      <c r="M42" s="66"/>
      <c r="N42" s="66"/>
      <c r="O42" s="66"/>
      <c r="P42" s="66"/>
      <c r="Q42" s="66"/>
      <c r="R42" s="8"/>
      <c r="S42" s="8"/>
      <c r="T42" s="8"/>
      <c r="U42" s="8"/>
      <c r="V42" s="8"/>
      <c r="W42" s="42"/>
      <c r="X42" s="9"/>
      <c r="Y42" s="9"/>
      <c r="Z42" s="9"/>
      <c r="AA42" s="9"/>
      <c r="AB42" s="9"/>
      <c r="AC42" s="9"/>
      <c r="AD42" s="9"/>
      <c r="AE42" s="201"/>
      <c r="AF42" s="201"/>
      <c r="AG42" s="201"/>
      <c r="AH42" s="201"/>
      <c r="AI42" s="201"/>
      <c r="AJ42" s="201"/>
      <c r="AK42" s="201"/>
      <c r="AL42" s="201"/>
      <c r="AM42" s="201"/>
      <c r="AN42" s="201"/>
      <c r="AO42" s="201"/>
      <c r="AP42" s="201"/>
      <c r="AQ42" s="201"/>
      <c r="AR42" s="201"/>
      <c r="AS42" s="201"/>
      <c r="AT42" s="201"/>
      <c r="AU42" s="201"/>
    </row>
    <row r="43" spans="1:47" outlineLevel="1">
      <c r="A43" s="12"/>
      <c r="B43" s="12"/>
      <c r="C43" s="12"/>
      <c r="D43" s="12"/>
      <c r="E43" s="12"/>
      <c r="F43" s="177" t="str">
        <f>Asset3</f>
        <v>Standard metering</v>
      </c>
      <c r="G43" s="460">
        <v>0</v>
      </c>
      <c r="H43" s="461">
        <v>0</v>
      </c>
      <c r="I43" s="451">
        <v>0</v>
      </c>
      <c r="J43" s="451">
        <v>0</v>
      </c>
      <c r="K43" s="451">
        <v>0</v>
      </c>
      <c r="L43" s="451">
        <v>0</v>
      </c>
      <c r="M43" s="66"/>
      <c r="N43" s="66"/>
      <c r="O43" s="66"/>
      <c r="P43" s="66"/>
      <c r="Q43" s="66"/>
      <c r="R43" s="8"/>
      <c r="S43" s="8"/>
      <c r="T43" s="8"/>
      <c r="U43" s="8"/>
      <c r="V43" s="8"/>
      <c r="W43" s="42"/>
      <c r="X43" s="9"/>
      <c r="Y43" s="9"/>
      <c r="Z43" s="9"/>
      <c r="AA43" s="9"/>
      <c r="AB43" s="9"/>
      <c r="AC43" s="9"/>
      <c r="AD43" s="9"/>
      <c r="AE43" s="201"/>
      <c r="AF43" s="201"/>
      <c r="AG43" s="201"/>
      <c r="AH43" s="201"/>
      <c r="AI43" s="201"/>
      <c r="AJ43" s="201"/>
      <c r="AK43" s="201"/>
      <c r="AL43" s="201"/>
      <c r="AM43" s="201"/>
      <c r="AN43" s="201"/>
      <c r="AO43" s="201"/>
      <c r="AP43" s="201"/>
      <c r="AQ43" s="201"/>
      <c r="AR43" s="201"/>
      <c r="AS43" s="201"/>
      <c r="AT43" s="201"/>
      <c r="AU43" s="201"/>
    </row>
    <row r="44" spans="1:47" outlineLevel="1">
      <c r="A44" s="12"/>
      <c r="B44" s="12"/>
      <c r="C44" s="12"/>
      <c r="D44" s="12"/>
      <c r="E44" s="12"/>
      <c r="F44" s="177" t="str">
        <f>Asset4</f>
        <v>Public lighting</v>
      </c>
      <c r="G44" s="460">
        <v>0</v>
      </c>
      <c r="H44" s="461">
        <v>0</v>
      </c>
      <c r="I44" s="451">
        <v>0</v>
      </c>
      <c r="J44" s="451">
        <v>0</v>
      </c>
      <c r="K44" s="451">
        <v>0</v>
      </c>
      <c r="L44" s="451">
        <v>0</v>
      </c>
      <c r="M44" s="66"/>
      <c r="N44" s="199"/>
      <c r="O44" s="199"/>
      <c r="P44" s="199"/>
      <c r="Q44" s="199"/>
      <c r="R44" s="8"/>
      <c r="S44" s="8"/>
      <c r="T44" s="8"/>
      <c r="U44" s="8"/>
      <c r="V44" s="8"/>
      <c r="W44" s="42"/>
      <c r="X44" s="9"/>
      <c r="Y44" s="9"/>
      <c r="Z44" s="9"/>
      <c r="AA44" s="9"/>
      <c r="AB44" s="9"/>
      <c r="AC44" s="9"/>
      <c r="AD44" s="9"/>
      <c r="AE44" s="201"/>
      <c r="AF44" s="201"/>
      <c r="AG44" s="201"/>
      <c r="AH44" s="201"/>
      <c r="AI44" s="201"/>
      <c r="AJ44" s="201"/>
      <c r="AK44" s="201"/>
      <c r="AL44" s="201"/>
      <c r="AM44" s="201"/>
      <c r="AN44" s="201"/>
      <c r="AO44" s="201"/>
      <c r="AP44" s="201"/>
      <c r="AQ44" s="201"/>
      <c r="AR44" s="201"/>
      <c r="AS44" s="201"/>
      <c r="AT44" s="201"/>
      <c r="AU44" s="201"/>
    </row>
    <row r="45" spans="1:47" outlineLevel="1">
      <c r="A45" s="12"/>
      <c r="B45" s="12"/>
      <c r="C45" s="12"/>
      <c r="D45" s="12"/>
      <c r="E45" s="12"/>
      <c r="F45" s="177" t="str">
        <f>Asset5</f>
        <v>SCADA/Network control</v>
      </c>
      <c r="G45" s="460">
        <v>3.0959421498995483</v>
      </c>
      <c r="H45" s="461">
        <v>1.2689451272140742</v>
      </c>
      <c r="I45" s="451">
        <v>5.9134930672221477</v>
      </c>
      <c r="J45" s="451">
        <v>1.9250731948508306</v>
      </c>
      <c r="K45" s="451">
        <v>0.73591031805575635</v>
      </c>
      <c r="L45" s="451">
        <v>2.9134612419346908</v>
      </c>
      <c r="M45" s="66"/>
      <c r="N45" s="199"/>
      <c r="O45" s="199"/>
      <c r="P45" s="199"/>
      <c r="Q45" s="199"/>
      <c r="R45" s="8"/>
      <c r="S45" s="8"/>
      <c r="T45" s="8"/>
      <c r="U45" s="8"/>
      <c r="V45" s="8"/>
      <c r="W45" s="42"/>
      <c r="X45" s="9"/>
      <c r="Y45" s="9"/>
      <c r="Z45" s="9"/>
      <c r="AA45" s="9"/>
      <c r="AB45" s="9"/>
      <c r="AC45" s="9"/>
      <c r="AD45" s="9"/>
      <c r="AE45" s="201"/>
      <c r="AF45" s="201"/>
      <c r="AG45" s="201"/>
      <c r="AH45" s="201"/>
      <c r="AI45" s="201"/>
      <c r="AJ45" s="201"/>
      <c r="AK45" s="201"/>
      <c r="AL45" s="201"/>
      <c r="AM45" s="201"/>
      <c r="AN45" s="201"/>
      <c r="AO45" s="201"/>
      <c r="AP45" s="201"/>
      <c r="AQ45" s="201"/>
      <c r="AR45" s="201"/>
      <c r="AS45" s="201"/>
      <c r="AT45" s="201"/>
      <c r="AU45" s="201"/>
    </row>
    <row r="46" spans="1:47" outlineLevel="1">
      <c r="A46" s="12"/>
      <c r="B46" s="12"/>
      <c r="C46" s="12"/>
      <c r="D46" s="12"/>
      <c r="E46" s="12"/>
      <c r="F46" s="177" t="str">
        <f>Asset6</f>
        <v>Non-network general assets - IT</v>
      </c>
      <c r="G46" s="460">
        <v>35.090722072477305</v>
      </c>
      <c r="H46" s="461">
        <v>46.619225442675479</v>
      </c>
      <c r="I46" s="451">
        <v>45.516156927547812</v>
      </c>
      <c r="J46" s="451">
        <v>50.208650819470257</v>
      </c>
      <c r="K46" s="451">
        <v>33.026078626827349</v>
      </c>
      <c r="L46" s="451">
        <v>19.489443911254135</v>
      </c>
      <c r="M46" s="66"/>
      <c r="N46" s="199"/>
      <c r="O46" s="199"/>
      <c r="P46" s="199"/>
      <c r="Q46" s="199"/>
      <c r="R46" s="8"/>
      <c r="S46" s="8"/>
      <c r="T46" s="8"/>
      <c r="U46" s="8"/>
      <c r="V46" s="8"/>
      <c r="W46" s="42"/>
      <c r="X46" s="9"/>
      <c r="Y46" s="9"/>
      <c r="Z46" s="9"/>
      <c r="AA46" s="9"/>
      <c r="AB46" s="9"/>
      <c r="AC46" s="9"/>
      <c r="AD46" s="9"/>
      <c r="AE46" s="201"/>
      <c r="AF46" s="201"/>
      <c r="AG46" s="201"/>
      <c r="AH46" s="201"/>
      <c r="AI46" s="201"/>
      <c r="AJ46" s="201"/>
      <c r="AK46" s="201"/>
      <c r="AL46" s="201"/>
      <c r="AM46" s="201"/>
      <c r="AN46" s="201"/>
      <c r="AO46" s="201"/>
      <c r="AP46" s="201"/>
      <c r="AQ46" s="201"/>
      <c r="AR46" s="201"/>
      <c r="AS46" s="201"/>
      <c r="AT46" s="201"/>
      <c r="AU46" s="201"/>
    </row>
    <row r="47" spans="1:47" outlineLevel="1">
      <c r="A47" s="12"/>
      <c r="B47" s="12"/>
      <c r="C47" s="12"/>
      <c r="D47" s="12"/>
      <c r="E47" s="12"/>
      <c r="F47" s="177" t="str">
        <f>Asset7</f>
        <v>Non-network general assets - Other</v>
      </c>
      <c r="G47" s="460">
        <v>4.1775348989372425</v>
      </c>
      <c r="H47" s="461">
        <v>5.0265670949548289</v>
      </c>
      <c r="I47" s="451">
        <v>6.5548071296747672</v>
      </c>
      <c r="J47" s="451">
        <v>6.1607829749307585</v>
      </c>
      <c r="K47" s="451">
        <v>4.9603971712309995</v>
      </c>
      <c r="L47" s="451">
        <v>3.5803409724553061</v>
      </c>
      <c r="M47" s="66"/>
      <c r="N47" s="199"/>
      <c r="O47" s="199"/>
      <c r="P47" s="199"/>
      <c r="Q47" s="199"/>
      <c r="R47" s="8"/>
      <c r="S47" s="8"/>
      <c r="T47" s="8"/>
      <c r="U47" s="8"/>
      <c r="V47" s="8"/>
      <c r="W47" s="42"/>
      <c r="X47" s="9"/>
      <c r="Y47" s="9"/>
      <c r="Z47" s="9"/>
      <c r="AA47" s="9"/>
      <c r="AB47" s="9"/>
      <c r="AC47" s="9"/>
      <c r="AD47" s="9"/>
      <c r="AE47" s="201"/>
      <c r="AF47" s="201"/>
      <c r="AG47" s="201"/>
      <c r="AH47" s="201"/>
      <c r="AI47" s="201"/>
      <c r="AJ47" s="201"/>
      <c r="AK47" s="201"/>
      <c r="AL47" s="201"/>
      <c r="AM47" s="201"/>
      <c r="AN47" s="201"/>
      <c r="AO47" s="201"/>
      <c r="AP47" s="201"/>
      <c r="AQ47" s="201"/>
      <c r="AR47" s="201"/>
      <c r="AS47" s="201"/>
      <c r="AT47" s="201"/>
      <c r="AU47" s="201"/>
    </row>
    <row r="48" spans="1:47" outlineLevel="1">
      <c r="A48" s="12"/>
      <c r="B48" s="12"/>
      <c r="C48" s="12"/>
      <c r="D48" s="12"/>
      <c r="E48" s="12"/>
      <c r="F48" s="177" t="str">
        <f>Asset8</f>
        <v>Equity Raising Costs</v>
      </c>
      <c r="G48" s="167"/>
      <c r="H48" s="451">
        <v>1.4831149183194219</v>
      </c>
      <c r="I48" s="66"/>
      <c r="J48" s="66"/>
      <c r="K48" s="451"/>
      <c r="L48" s="451">
        <v>0</v>
      </c>
      <c r="M48" s="66"/>
      <c r="N48" s="199"/>
      <c r="O48" s="199"/>
      <c r="P48" s="199"/>
      <c r="Q48" s="199"/>
      <c r="R48" s="8"/>
      <c r="S48" s="8"/>
      <c r="T48" s="8"/>
      <c r="U48" s="8"/>
      <c r="V48" s="8"/>
      <c r="W48" s="42"/>
      <c r="X48" s="9"/>
      <c r="Y48" s="9"/>
      <c r="Z48" s="9"/>
      <c r="AA48" s="9"/>
      <c r="AB48" s="9"/>
      <c r="AC48" s="9"/>
      <c r="AD48" s="9"/>
      <c r="AE48" s="201"/>
      <c r="AF48" s="201"/>
      <c r="AG48" s="201"/>
      <c r="AH48" s="201"/>
      <c r="AI48" s="201"/>
      <c r="AJ48" s="201"/>
      <c r="AK48" s="201"/>
      <c r="AL48" s="201"/>
      <c r="AM48" s="201"/>
      <c r="AN48" s="201"/>
      <c r="AO48" s="201"/>
      <c r="AP48" s="201"/>
      <c r="AQ48" s="201"/>
      <c r="AR48" s="201"/>
      <c r="AS48" s="201"/>
      <c r="AT48" s="201"/>
      <c r="AU48" s="201"/>
    </row>
    <row r="49" spans="1:47" outlineLevel="1">
      <c r="A49" s="12"/>
      <c r="B49" s="12"/>
      <c r="C49" s="12"/>
      <c r="D49" s="12"/>
      <c r="E49" s="12"/>
      <c r="F49" s="177">
        <f>Asset9</f>
        <v>0</v>
      </c>
      <c r="G49" s="167"/>
      <c r="H49" s="66"/>
      <c r="I49" s="66"/>
      <c r="J49" s="66"/>
      <c r="K49" s="451"/>
      <c r="L49" s="66"/>
      <c r="M49" s="66"/>
      <c r="N49" s="199"/>
      <c r="O49" s="199"/>
      <c r="P49" s="199"/>
      <c r="Q49" s="199"/>
      <c r="R49" s="8"/>
      <c r="S49" s="8"/>
      <c r="T49" s="8"/>
      <c r="U49" s="8"/>
      <c r="V49" s="8"/>
      <c r="W49" s="42"/>
      <c r="X49" s="9"/>
      <c r="Y49" s="9"/>
      <c r="Z49" s="9"/>
      <c r="AA49" s="9"/>
      <c r="AB49" s="9"/>
      <c r="AC49" s="9"/>
      <c r="AD49" s="9"/>
      <c r="AE49" s="201"/>
      <c r="AF49" s="201"/>
      <c r="AG49" s="201"/>
      <c r="AH49" s="201"/>
      <c r="AI49" s="201"/>
      <c r="AJ49" s="201"/>
      <c r="AK49" s="201"/>
      <c r="AL49" s="201"/>
      <c r="AM49" s="201"/>
      <c r="AN49" s="201"/>
      <c r="AO49" s="201"/>
      <c r="AP49" s="201"/>
      <c r="AQ49" s="201"/>
      <c r="AR49" s="201"/>
      <c r="AS49" s="201"/>
      <c r="AT49" s="201"/>
      <c r="AU49" s="201"/>
    </row>
    <row r="50" spans="1:47" outlineLevel="1">
      <c r="A50" s="12"/>
      <c r="B50" s="12"/>
      <c r="C50" s="12"/>
      <c r="D50" s="12"/>
      <c r="E50" s="12"/>
      <c r="F50" s="177">
        <f>Asset10</f>
        <v>0</v>
      </c>
      <c r="G50" s="167"/>
      <c r="H50" s="66"/>
      <c r="I50" s="66"/>
      <c r="J50" s="66"/>
      <c r="K50" s="66"/>
      <c r="L50" s="66"/>
      <c r="M50" s="66"/>
      <c r="N50" s="199"/>
      <c r="O50" s="199"/>
      <c r="P50" s="199"/>
      <c r="Q50" s="199"/>
      <c r="R50" s="8"/>
      <c r="S50" s="8"/>
      <c r="T50" s="8"/>
      <c r="U50" s="8"/>
      <c r="V50" s="8"/>
      <c r="W50" s="42"/>
      <c r="X50" s="9"/>
      <c r="Y50" s="9"/>
      <c r="Z50" s="9"/>
      <c r="AA50" s="9"/>
      <c r="AB50" s="9"/>
      <c r="AC50" s="9"/>
      <c r="AD50" s="9"/>
      <c r="AE50" s="201"/>
      <c r="AF50" s="201"/>
      <c r="AG50" s="201"/>
      <c r="AH50" s="201"/>
      <c r="AI50" s="201"/>
      <c r="AJ50" s="201"/>
      <c r="AK50" s="201"/>
      <c r="AL50" s="201"/>
      <c r="AM50" s="201"/>
      <c r="AN50" s="201"/>
      <c r="AO50" s="201"/>
      <c r="AP50" s="201"/>
      <c r="AQ50" s="201"/>
      <c r="AR50" s="201"/>
      <c r="AS50" s="201"/>
      <c r="AT50" s="201"/>
      <c r="AU50" s="201"/>
    </row>
    <row r="51" spans="1:47" outlineLevel="1">
      <c r="A51" s="12"/>
      <c r="B51" s="12"/>
      <c r="C51" s="12"/>
      <c r="D51" s="12"/>
      <c r="E51" s="12"/>
      <c r="F51" s="177">
        <f>Asset11</f>
        <v>0</v>
      </c>
      <c r="G51" s="167"/>
      <c r="H51" s="66"/>
      <c r="I51" s="66"/>
      <c r="J51" s="66"/>
      <c r="K51" s="66"/>
      <c r="L51" s="66"/>
      <c r="M51" s="66"/>
      <c r="N51" s="199"/>
      <c r="O51" s="199"/>
      <c r="P51" s="199"/>
      <c r="Q51" s="199"/>
      <c r="R51" s="8"/>
      <c r="S51" s="8"/>
      <c r="T51" s="8"/>
      <c r="U51" s="8"/>
      <c r="V51" s="8"/>
      <c r="W51" s="42"/>
      <c r="X51" s="9"/>
      <c r="Y51" s="9"/>
      <c r="Z51" s="9"/>
      <c r="AA51" s="9"/>
      <c r="AB51" s="9"/>
      <c r="AC51" s="9"/>
      <c r="AD51" s="9"/>
      <c r="AE51" s="201"/>
      <c r="AF51" s="201"/>
      <c r="AG51" s="201"/>
      <c r="AH51" s="201"/>
      <c r="AI51" s="201"/>
      <c r="AJ51" s="201"/>
      <c r="AK51" s="201"/>
      <c r="AL51" s="201"/>
      <c r="AM51" s="201"/>
      <c r="AN51" s="201"/>
      <c r="AO51" s="201"/>
      <c r="AP51" s="201"/>
      <c r="AQ51" s="201"/>
      <c r="AR51" s="201"/>
      <c r="AS51" s="201"/>
      <c r="AT51" s="201"/>
      <c r="AU51" s="201"/>
    </row>
    <row r="52" spans="1:47" outlineLevel="1">
      <c r="A52" s="12"/>
      <c r="B52" s="12"/>
      <c r="C52" s="12"/>
      <c r="D52" s="12"/>
      <c r="E52" s="12"/>
      <c r="F52" s="177">
        <f>Asset12</f>
        <v>0</v>
      </c>
      <c r="G52" s="167"/>
      <c r="H52" s="66"/>
      <c r="I52" s="66"/>
      <c r="J52" s="66"/>
      <c r="K52" s="66"/>
      <c r="L52" s="66"/>
      <c r="M52" s="66"/>
      <c r="N52" s="199"/>
      <c r="O52" s="199"/>
      <c r="P52" s="199"/>
      <c r="Q52" s="199"/>
      <c r="R52" s="8"/>
      <c r="S52" s="8"/>
      <c r="T52" s="8"/>
      <c r="U52" s="8"/>
      <c r="V52" s="8"/>
      <c r="W52" s="42"/>
      <c r="X52" s="9"/>
      <c r="Y52" s="9"/>
      <c r="Z52" s="9"/>
      <c r="AA52" s="9"/>
      <c r="AB52" s="9"/>
      <c r="AC52" s="9"/>
      <c r="AD52" s="9"/>
      <c r="AE52" s="201"/>
      <c r="AF52" s="201"/>
      <c r="AG52" s="201"/>
      <c r="AH52" s="201"/>
      <c r="AI52" s="201"/>
      <c r="AJ52" s="201"/>
      <c r="AK52" s="201"/>
      <c r="AL52" s="201"/>
      <c r="AM52" s="201"/>
      <c r="AN52" s="201"/>
      <c r="AO52" s="201"/>
      <c r="AP52" s="201"/>
      <c r="AQ52" s="201"/>
      <c r="AR52" s="201"/>
      <c r="AS52" s="201"/>
      <c r="AT52" s="201"/>
      <c r="AU52" s="201"/>
    </row>
    <row r="53" spans="1:47" outlineLevel="1">
      <c r="A53" s="12"/>
      <c r="B53" s="12"/>
      <c r="C53" s="12"/>
      <c r="D53" s="12"/>
      <c r="E53" s="12"/>
      <c r="F53" s="177">
        <f>Asset13</f>
        <v>0</v>
      </c>
      <c r="G53" s="167"/>
      <c r="H53" s="66"/>
      <c r="I53" s="66"/>
      <c r="J53" s="66"/>
      <c r="K53" s="66"/>
      <c r="L53" s="66"/>
      <c r="M53" s="66"/>
      <c r="N53" s="199"/>
      <c r="O53" s="199"/>
      <c r="P53" s="199"/>
      <c r="Q53" s="199"/>
      <c r="R53" s="8"/>
      <c r="S53" s="8"/>
      <c r="T53" s="8"/>
      <c r="U53" s="8"/>
      <c r="V53" s="8"/>
      <c r="W53" s="42"/>
      <c r="X53" s="9"/>
      <c r="Y53" s="9"/>
      <c r="Z53" s="9"/>
      <c r="AA53" s="9"/>
      <c r="AB53" s="9"/>
      <c r="AC53" s="9"/>
      <c r="AD53" s="9"/>
      <c r="AE53" s="201"/>
      <c r="AF53" s="201"/>
      <c r="AG53" s="201"/>
      <c r="AH53" s="201"/>
      <c r="AI53" s="201"/>
      <c r="AJ53" s="201"/>
      <c r="AK53" s="201"/>
      <c r="AL53" s="201"/>
      <c r="AM53" s="201"/>
      <c r="AN53" s="201"/>
      <c r="AO53" s="201"/>
      <c r="AP53" s="201"/>
      <c r="AQ53" s="201"/>
      <c r="AR53" s="201"/>
      <c r="AS53" s="201"/>
      <c r="AT53" s="201"/>
      <c r="AU53" s="201"/>
    </row>
    <row r="54" spans="1:47" outlineLevel="1">
      <c r="A54" s="12"/>
      <c r="B54" s="12"/>
      <c r="C54" s="12"/>
      <c r="D54" s="12"/>
      <c r="E54" s="12"/>
      <c r="F54" s="177">
        <f>Asset14</f>
        <v>0</v>
      </c>
      <c r="G54" s="167"/>
      <c r="H54" s="66"/>
      <c r="I54" s="66"/>
      <c r="J54" s="66"/>
      <c r="K54" s="66"/>
      <c r="L54" s="66"/>
      <c r="M54" s="66"/>
      <c r="N54" s="199"/>
      <c r="O54" s="199"/>
      <c r="P54" s="199"/>
      <c r="Q54" s="199"/>
      <c r="R54" s="8"/>
      <c r="S54" s="8"/>
      <c r="T54" s="8"/>
      <c r="U54" s="8"/>
      <c r="V54" s="8"/>
      <c r="W54" s="42"/>
      <c r="X54" s="9"/>
      <c r="Y54" s="9"/>
      <c r="Z54" s="9"/>
      <c r="AA54" s="9"/>
      <c r="AB54" s="9"/>
      <c r="AC54" s="9"/>
      <c r="AD54" s="9"/>
      <c r="AE54" s="201"/>
      <c r="AF54" s="201"/>
      <c r="AG54" s="201"/>
      <c r="AH54" s="201"/>
      <c r="AI54" s="201"/>
      <c r="AJ54" s="201"/>
      <c r="AK54" s="201"/>
      <c r="AL54" s="201"/>
      <c r="AM54" s="201"/>
      <c r="AN54" s="201"/>
      <c r="AO54" s="201"/>
      <c r="AP54" s="201"/>
      <c r="AQ54" s="201"/>
      <c r="AR54" s="201"/>
      <c r="AS54" s="201"/>
      <c r="AT54" s="201"/>
      <c r="AU54" s="201"/>
    </row>
    <row r="55" spans="1:47" outlineLevel="1">
      <c r="A55" s="12"/>
      <c r="B55" s="12"/>
      <c r="C55" s="12"/>
      <c r="D55" s="12"/>
      <c r="E55" s="12"/>
      <c r="F55" s="177">
        <f>Asset15</f>
        <v>0</v>
      </c>
      <c r="G55" s="167"/>
      <c r="H55" s="66"/>
      <c r="I55" s="66"/>
      <c r="J55" s="66"/>
      <c r="K55" s="66"/>
      <c r="L55" s="66"/>
      <c r="M55" s="198"/>
      <c r="N55" s="199"/>
      <c r="O55" s="199"/>
      <c r="P55" s="199"/>
      <c r="Q55" s="199"/>
      <c r="R55" s="8"/>
      <c r="S55" s="8"/>
      <c r="T55" s="8"/>
      <c r="U55" s="8"/>
      <c r="V55" s="8"/>
      <c r="W55" s="42"/>
      <c r="X55" s="9"/>
      <c r="Y55" s="9"/>
      <c r="Z55" s="9"/>
      <c r="AA55" s="9"/>
      <c r="AB55" s="9"/>
      <c r="AC55" s="9"/>
      <c r="AD55" s="9"/>
      <c r="AE55" s="201"/>
      <c r="AF55" s="201"/>
      <c r="AG55" s="201"/>
      <c r="AH55" s="201"/>
      <c r="AI55" s="201"/>
      <c r="AJ55" s="201"/>
      <c r="AK55" s="201"/>
      <c r="AL55" s="201"/>
      <c r="AM55" s="201"/>
      <c r="AN55" s="201"/>
      <c r="AO55" s="201"/>
      <c r="AP55" s="201"/>
      <c r="AQ55" s="201"/>
      <c r="AR55" s="201"/>
      <c r="AS55" s="201"/>
      <c r="AT55" s="201"/>
      <c r="AU55" s="201"/>
    </row>
    <row r="56" spans="1:47" outlineLevel="1">
      <c r="A56" s="12"/>
      <c r="B56" s="12"/>
      <c r="C56" s="12"/>
      <c r="D56" s="12"/>
      <c r="E56" s="12"/>
      <c r="F56" s="177">
        <f>Asset16</f>
        <v>0</v>
      </c>
      <c r="G56" s="167"/>
      <c r="H56" s="66"/>
      <c r="I56" s="66"/>
      <c r="J56" s="66"/>
      <c r="K56" s="66"/>
      <c r="L56" s="66"/>
      <c r="M56" s="198"/>
      <c r="N56" s="199"/>
      <c r="O56" s="199"/>
      <c r="P56" s="199"/>
      <c r="Q56" s="199"/>
      <c r="R56" s="8"/>
      <c r="S56" s="8"/>
      <c r="T56" s="8"/>
      <c r="U56" s="8"/>
      <c r="V56" s="8"/>
      <c r="W56" s="42"/>
      <c r="X56" s="9"/>
      <c r="Y56" s="9"/>
      <c r="Z56" s="9"/>
      <c r="AA56" s="9"/>
      <c r="AB56" s="9"/>
      <c r="AC56" s="9"/>
      <c r="AD56" s="9"/>
      <c r="AE56" s="201"/>
      <c r="AF56" s="201"/>
      <c r="AG56" s="201"/>
      <c r="AH56" s="201"/>
      <c r="AI56" s="201"/>
      <c r="AJ56" s="201"/>
      <c r="AK56" s="201"/>
      <c r="AL56" s="201"/>
      <c r="AM56" s="201"/>
      <c r="AN56" s="201"/>
      <c r="AO56" s="201"/>
      <c r="AP56" s="201"/>
      <c r="AQ56" s="201"/>
      <c r="AR56" s="201"/>
      <c r="AS56" s="201"/>
      <c r="AT56" s="201"/>
      <c r="AU56" s="201"/>
    </row>
    <row r="57" spans="1:47" outlineLevel="1">
      <c r="A57" s="12"/>
      <c r="B57" s="12"/>
      <c r="C57" s="12"/>
      <c r="D57" s="12"/>
      <c r="E57" s="12"/>
      <c r="F57" s="177">
        <f>Asset17</f>
        <v>0</v>
      </c>
      <c r="G57" s="167"/>
      <c r="H57" s="66"/>
      <c r="I57" s="66"/>
      <c r="J57" s="66"/>
      <c r="K57" s="66"/>
      <c r="L57" s="66"/>
      <c r="M57" s="198"/>
      <c r="N57" s="199"/>
      <c r="O57" s="199"/>
      <c r="P57" s="199"/>
      <c r="Q57" s="199"/>
      <c r="R57" s="8"/>
      <c r="S57" s="8"/>
      <c r="T57" s="8"/>
      <c r="U57" s="8"/>
      <c r="V57" s="8"/>
      <c r="W57" s="42"/>
      <c r="X57" s="9"/>
      <c r="Y57" s="9"/>
      <c r="Z57" s="9"/>
      <c r="AA57" s="9"/>
      <c r="AB57" s="9"/>
      <c r="AC57" s="9"/>
      <c r="AD57" s="9"/>
      <c r="AE57" s="201"/>
      <c r="AF57" s="201"/>
      <c r="AG57" s="201"/>
      <c r="AH57" s="201"/>
      <c r="AI57" s="201"/>
      <c r="AJ57" s="201"/>
      <c r="AK57" s="201"/>
      <c r="AL57" s="201"/>
      <c r="AM57" s="201"/>
      <c r="AN57" s="201"/>
      <c r="AO57" s="201"/>
      <c r="AP57" s="201"/>
      <c r="AQ57" s="201"/>
      <c r="AR57" s="201"/>
      <c r="AS57" s="201"/>
      <c r="AT57" s="201"/>
      <c r="AU57" s="201"/>
    </row>
    <row r="58" spans="1:47" outlineLevel="1">
      <c r="A58" s="12"/>
      <c r="B58" s="12"/>
      <c r="C58" s="12"/>
      <c r="D58" s="12"/>
      <c r="E58" s="12"/>
      <c r="F58" s="177">
        <f>Asset18</f>
        <v>0</v>
      </c>
      <c r="G58" s="167"/>
      <c r="H58" s="66"/>
      <c r="I58" s="66"/>
      <c r="J58" s="66"/>
      <c r="K58" s="66"/>
      <c r="L58" s="66"/>
      <c r="M58" s="198"/>
      <c r="N58" s="199"/>
      <c r="O58" s="199"/>
      <c r="P58" s="199"/>
      <c r="Q58" s="199"/>
      <c r="R58" s="8"/>
      <c r="S58" s="8"/>
      <c r="T58" s="8"/>
      <c r="U58" s="8"/>
      <c r="V58" s="8"/>
      <c r="W58" s="42"/>
      <c r="X58" s="9"/>
      <c r="Y58" s="9"/>
      <c r="Z58" s="9"/>
      <c r="AA58" s="9"/>
      <c r="AB58" s="9"/>
      <c r="AC58" s="9"/>
      <c r="AD58" s="9"/>
      <c r="AE58" s="201"/>
      <c r="AF58" s="201"/>
      <c r="AG58" s="201"/>
      <c r="AH58" s="201"/>
      <c r="AI58" s="201"/>
      <c r="AJ58" s="201"/>
      <c r="AK58" s="201"/>
      <c r="AL58" s="201"/>
      <c r="AM58" s="201"/>
      <c r="AN58" s="201"/>
      <c r="AO58" s="201"/>
      <c r="AP58" s="201"/>
      <c r="AQ58" s="201"/>
      <c r="AR58" s="201"/>
      <c r="AS58" s="201"/>
      <c r="AT58" s="201"/>
      <c r="AU58" s="201"/>
    </row>
    <row r="59" spans="1:47" outlineLevel="1">
      <c r="A59" s="12"/>
      <c r="B59" s="12"/>
      <c r="C59" s="12"/>
      <c r="D59" s="12"/>
      <c r="E59" s="12"/>
      <c r="F59" s="177">
        <f>Asset19</f>
        <v>0</v>
      </c>
      <c r="G59" s="167"/>
      <c r="H59" s="66"/>
      <c r="I59" s="66"/>
      <c r="J59" s="66"/>
      <c r="K59" s="66"/>
      <c r="L59" s="66"/>
      <c r="M59" s="198"/>
      <c r="N59" s="199"/>
      <c r="O59" s="199"/>
      <c r="P59" s="199"/>
      <c r="Q59" s="199"/>
      <c r="R59" s="8"/>
      <c r="S59" s="8"/>
      <c r="T59" s="8"/>
      <c r="U59" s="8"/>
      <c r="V59" s="8"/>
      <c r="W59" s="42"/>
      <c r="X59" s="9"/>
      <c r="Y59" s="9"/>
      <c r="Z59" s="9"/>
      <c r="AA59" s="9"/>
      <c r="AB59" s="9"/>
      <c r="AC59" s="9"/>
      <c r="AD59" s="9"/>
      <c r="AE59" s="201"/>
      <c r="AF59" s="201"/>
      <c r="AG59" s="201"/>
      <c r="AH59" s="201"/>
      <c r="AI59" s="201"/>
      <c r="AJ59" s="201"/>
      <c r="AK59" s="201"/>
      <c r="AL59" s="201"/>
      <c r="AM59" s="201"/>
      <c r="AN59" s="201"/>
      <c r="AO59" s="201"/>
      <c r="AP59" s="201"/>
      <c r="AQ59" s="201"/>
      <c r="AR59" s="201"/>
      <c r="AS59" s="201"/>
      <c r="AT59" s="201"/>
      <c r="AU59" s="201"/>
    </row>
    <row r="60" spans="1:47" outlineLevel="1">
      <c r="A60" s="12"/>
      <c r="B60" s="12"/>
      <c r="C60" s="12"/>
      <c r="D60" s="12"/>
      <c r="E60" s="12"/>
      <c r="F60" s="304">
        <f>Asset20</f>
        <v>0</v>
      </c>
      <c r="G60" s="303"/>
      <c r="H60" s="66"/>
      <c r="I60" s="66"/>
      <c r="J60" s="66"/>
      <c r="K60" s="66"/>
      <c r="L60" s="66"/>
      <c r="M60" s="198"/>
      <c r="N60" s="199"/>
      <c r="O60" s="199"/>
      <c r="P60" s="199"/>
      <c r="Q60" s="199"/>
      <c r="R60" s="8"/>
      <c r="S60" s="8"/>
      <c r="T60" s="8"/>
      <c r="U60" s="8"/>
      <c r="V60" s="8"/>
      <c r="W60" s="42"/>
      <c r="X60" s="9"/>
      <c r="Y60" s="9"/>
      <c r="Z60" s="9"/>
      <c r="AA60" s="9"/>
      <c r="AB60" s="9"/>
      <c r="AC60" s="9"/>
      <c r="AD60" s="9"/>
      <c r="AE60" s="201"/>
      <c r="AF60" s="201"/>
      <c r="AG60" s="201"/>
      <c r="AH60" s="201"/>
      <c r="AI60" s="201"/>
      <c r="AJ60" s="201"/>
      <c r="AK60" s="201"/>
      <c r="AL60" s="201"/>
      <c r="AM60" s="201"/>
      <c r="AN60" s="201"/>
      <c r="AO60" s="201"/>
      <c r="AP60" s="201"/>
      <c r="AQ60" s="201"/>
      <c r="AR60" s="201"/>
      <c r="AS60" s="201"/>
      <c r="AT60" s="201"/>
      <c r="AU60" s="201"/>
    </row>
    <row r="61" spans="1:47" outlineLevel="1">
      <c r="A61" s="12"/>
      <c r="B61" s="12"/>
      <c r="C61" s="12"/>
      <c r="D61" s="12"/>
      <c r="E61" s="12"/>
      <c r="F61" s="304">
        <f>Asset21</f>
        <v>0</v>
      </c>
      <c r="G61" s="303"/>
      <c r="H61" s="66"/>
      <c r="I61" s="66"/>
      <c r="J61" s="66"/>
      <c r="K61" s="66"/>
      <c r="L61" s="66"/>
      <c r="M61" s="198"/>
      <c r="N61" s="199"/>
      <c r="O61" s="199"/>
      <c r="P61" s="199"/>
      <c r="Q61" s="199"/>
      <c r="R61" s="8"/>
      <c r="S61" s="8"/>
      <c r="T61" s="8"/>
      <c r="U61" s="8"/>
      <c r="V61" s="8"/>
      <c r="W61" s="42"/>
      <c r="X61" s="9"/>
      <c r="Y61" s="9"/>
      <c r="Z61" s="9"/>
      <c r="AA61" s="9"/>
      <c r="AB61" s="9"/>
      <c r="AC61" s="9"/>
      <c r="AD61" s="9"/>
      <c r="AE61" s="201"/>
      <c r="AF61" s="201"/>
      <c r="AG61" s="201"/>
      <c r="AH61" s="201"/>
      <c r="AI61" s="201"/>
      <c r="AJ61" s="201"/>
      <c r="AK61" s="201"/>
      <c r="AL61" s="201"/>
      <c r="AM61" s="201"/>
      <c r="AN61" s="201"/>
      <c r="AO61" s="201"/>
      <c r="AP61" s="201"/>
      <c r="AQ61" s="201"/>
      <c r="AR61" s="201"/>
      <c r="AS61" s="201"/>
      <c r="AT61" s="201"/>
      <c r="AU61" s="201"/>
    </row>
    <row r="62" spans="1:47" outlineLevel="1">
      <c r="A62" s="12"/>
      <c r="B62" s="12"/>
      <c r="C62" s="12"/>
      <c r="D62" s="12"/>
      <c r="E62" s="12"/>
      <c r="F62" s="304">
        <f>Asset22</f>
        <v>0</v>
      </c>
      <c r="G62" s="303"/>
      <c r="H62" s="66"/>
      <c r="I62" s="66"/>
      <c r="J62" s="66"/>
      <c r="K62" s="66"/>
      <c r="L62" s="66"/>
      <c r="M62" s="198"/>
      <c r="N62" s="199"/>
      <c r="O62" s="199"/>
      <c r="P62" s="199"/>
      <c r="Q62" s="199"/>
      <c r="R62" s="8"/>
      <c r="S62" s="8"/>
      <c r="T62" s="8"/>
      <c r="U62" s="8"/>
      <c r="V62" s="8"/>
      <c r="W62" s="42"/>
      <c r="X62" s="9"/>
      <c r="Y62" s="9"/>
      <c r="Z62" s="9"/>
      <c r="AA62" s="9"/>
      <c r="AB62" s="9"/>
      <c r="AC62" s="9"/>
      <c r="AD62" s="9"/>
      <c r="AE62" s="201"/>
      <c r="AF62" s="201"/>
      <c r="AG62" s="201"/>
      <c r="AH62" s="201"/>
      <c r="AI62" s="201"/>
      <c r="AJ62" s="201"/>
      <c r="AK62" s="201"/>
      <c r="AL62" s="201"/>
      <c r="AM62" s="201"/>
      <c r="AN62" s="201"/>
      <c r="AO62" s="201"/>
      <c r="AP62" s="201"/>
      <c r="AQ62" s="201"/>
      <c r="AR62" s="201"/>
      <c r="AS62" s="201"/>
      <c r="AT62" s="201"/>
      <c r="AU62" s="201"/>
    </row>
    <row r="63" spans="1:47" outlineLevel="1">
      <c r="A63" s="12"/>
      <c r="B63" s="12"/>
      <c r="C63" s="12"/>
      <c r="D63" s="12"/>
      <c r="E63" s="12"/>
      <c r="F63" s="304">
        <f>Asset23</f>
        <v>0</v>
      </c>
      <c r="G63" s="303"/>
      <c r="H63" s="66"/>
      <c r="I63" s="66"/>
      <c r="J63" s="66"/>
      <c r="K63" s="66"/>
      <c r="L63" s="66"/>
      <c r="M63" s="198"/>
      <c r="N63" s="199"/>
      <c r="O63" s="199"/>
      <c r="P63" s="199"/>
      <c r="Q63" s="199"/>
      <c r="R63" s="8"/>
      <c r="S63" s="8"/>
      <c r="T63" s="8"/>
      <c r="U63" s="8"/>
      <c r="V63" s="8"/>
      <c r="W63" s="42"/>
      <c r="X63" s="9"/>
      <c r="Y63" s="9"/>
      <c r="Z63" s="9"/>
      <c r="AA63" s="9"/>
      <c r="AB63" s="9"/>
      <c r="AC63" s="9"/>
      <c r="AD63" s="9"/>
      <c r="AE63" s="201"/>
      <c r="AF63" s="201"/>
      <c r="AG63" s="201"/>
      <c r="AH63" s="201"/>
      <c r="AI63" s="201"/>
      <c r="AJ63" s="201"/>
      <c r="AK63" s="201"/>
      <c r="AL63" s="201"/>
      <c r="AM63" s="201"/>
      <c r="AN63" s="201"/>
      <c r="AO63" s="201"/>
      <c r="AP63" s="201"/>
      <c r="AQ63" s="201"/>
      <c r="AR63" s="201"/>
      <c r="AS63" s="201"/>
      <c r="AT63" s="201"/>
      <c r="AU63" s="201"/>
    </row>
    <row r="64" spans="1:47" outlineLevel="1">
      <c r="A64" s="12"/>
      <c r="B64" s="12"/>
      <c r="C64" s="12"/>
      <c r="D64" s="12"/>
      <c r="E64" s="12"/>
      <c r="F64" s="304">
        <f>Asset24</f>
        <v>0</v>
      </c>
      <c r="G64" s="303"/>
      <c r="H64" s="66"/>
      <c r="I64" s="66"/>
      <c r="J64" s="66"/>
      <c r="K64" s="66"/>
      <c r="L64" s="66"/>
      <c r="M64" s="198"/>
      <c r="N64" s="199"/>
      <c r="O64" s="199"/>
      <c r="P64" s="199"/>
      <c r="Q64" s="199"/>
      <c r="R64" s="8"/>
      <c r="S64" s="8"/>
      <c r="T64" s="8"/>
      <c r="U64" s="8"/>
      <c r="V64" s="8"/>
      <c r="W64" s="42"/>
      <c r="X64" s="9"/>
      <c r="Y64" s="9"/>
      <c r="Z64" s="9"/>
      <c r="AA64" s="9"/>
      <c r="AB64" s="9"/>
      <c r="AC64" s="9"/>
      <c r="AD64" s="9"/>
      <c r="AE64" s="201"/>
      <c r="AF64" s="201"/>
      <c r="AG64" s="201"/>
      <c r="AH64" s="201"/>
      <c r="AI64" s="201"/>
      <c r="AJ64" s="201"/>
      <c r="AK64" s="201"/>
      <c r="AL64" s="201"/>
      <c r="AM64" s="201"/>
      <c r="AN64" s="201"/>
      <c r="AO64" s="201"/>
      <c r="AP64" s="201"/>
      <c r="AQ64" s="201"/>
      <c r="AR64" s="201"/>
      <c r="AS64" s="201"/>
      <c r="AT64" s="201"/>
      <c r="AU64" s="201"/>
    </row>
    <row r="65" spans="1:47" outlineLevel="1">
      <c r="A65" s="12"/>
      <c r="B65" s="12"/>
      <c r="C65" s="12"/>
      <c r="D65" s="12"/>
      <c r="E65" s="12"/>
      <c r="F65" s="304">
        <f>Asset25</f>
        <v>0</v>
      </c>
      <c r="G65" s="303"/>
      <c r="H65" s="66"/>
      <c r="I65" s="66"/>
      <c r="J65" s="66"/>
      <c r="K65" s="66"/>
      <c r="L65" s="66"/>
      <c r="M65" s="198"/>
      <c r="N65" s="199"/>
      <c r="O65" s="199"/>
      <c r="P65" s="199"/>
      <c r="Q65" s="199"/>
      <c r="R65" s="8"/>
      <c r="S65" s="8"/>
      <c r="T65" s="8"/>
      <c r="U65" s="8"/>
      <c r="V65" s="8"/>
      <c r="W65" s="42"/>
      <c r="X65" s="9"/>
      <c r="Y65" s="9"/>
      <c r="Z65" s="9"/>
      <c r="AA65" s="9"/>
      <c r="AB65" s="9"/>
      <c r="AC65" s="9"/>
      <c r="AD65" s="9"/>
      <c r="AE65" s="201"/>
      <c r="AF65" s="201"/>
      <c r="AG65" s="201"/>
      <c r="AH65" s="201"/>
      <c r="AI65" s="201"/>
      <c r="AJ65" s="201"/>
      <c r="AK65" s="201"/>
      <c r="AL65" s="201"/>
      <c r="AM65" s="201"/>
      <c r="AN65" s="201"/>
      <c r="AO65" s="201"/>
      <c r="AP65" s="201"/>
      <c r="AQ65" s="201"/>
      <c r="AR65" s="201"/>
      <c r="AS65" s="201"/>
      <c r="AT65" s="201"/>
      <c r="AU65" s="201"/>
    </row>
    <row r="66" spans="1:47" outlineLevel="1">
      <c r="A66" s="12"/>
      <c r="B66" s="12"/>
      <c r="C66" s="12"/>
      <c r="D66" s="12"/>
      <c r="E66" s="12"/>
      <c r="F66" s="304">
        <f>Asset26</f>
        <v>0</v>
      </c>
      <c r="G66" s="303"/>
      <c r="H66" s="66"/>
      <c r="I66" s="66"/>
      <c r="J66" s="66"/>
      <c r="K66" s="66"/>
      <c r="L66" s="66"/>
      <c r="M66" s="198"/>
      <c r="N66" s="199"/>
      <c r="O66" s="199"/>
      <c r="P66" s="199"/>
      <c r="Q66" s="199"/>
      <c r="R66" s="8"/>
      <c r="S66" s="8"/>
      <c r="T66" s="8"/>
      <c r="U66" s="8"/>
      <c r="V66" s="8"/>
      <c r="W66" s="42"/>
      <c r="X66" s="9"/>
      <c r="Y66" s="9"/>
      <c r="Z66" s="9"/>
      <c r="AA66" s="9"/>
      <c r="AB66" s="9"/>
      <c r="AC66" s="9"/>
      <c r="AD66" s="9"/>
      <c r="AE66" s="201"/>
      <c r="AF66" s="201"/>
      <c r="AG66" s="201"/>
      <c r="AH66" s="201"/>
      <c r="AI66" s="201"/>
      <c r="AJ66" s="201"/>
      <c r="AK66" s="201"/>
      <c r="AL66" s="201"/>
      <c r="AM66" s="201"/>
      <c r="AN66" s="201"/>
      <c r="AO66" s="201"/>
      <c r="AP66" s="201"/>
      <c r="AQ66" s="201"/>
      <c r="AR66" s="201"/>
      <c r="AS66" s="201"/>
      <c r="AT66" s="201"/>
      <c r="AU66" s="201"/>
    </row>
    <row r="67" spans="1:47" outlineLevel="1">
      <c r="A67" s="12"/>
      <c r="B67" s="12"/>
      <c r="C67" s="12"/>
      <c r="D67" s="12"/>
      <c r="E67" s="12"/>
      <c r="F67" s="304">
        <f>Asset27</f>
        <v>0</v>
      </c>
      <c r="G67" s="303"/>
      <c r="H67" s="66"/>
      <c r="I67" s="66"/>
      <c r="J67" s="66"/>
      <c r="K67" s="66"/>
      <c r="L67" s="66"/>
      <c r="M67" s="198"/>
      <c r="N67" s="199"/>
      <c r="O67" s="199"/>
      <c r="P67" s="199"/>
      <c r="Q67" s="199"/>
      <c r="R67" s="8"/>
      <c r="S67" s="8"/>
      <c r="T67" s="8"/>
      <c r="U67" s="8"/>
      <c r="V67" s="8"/>
      <c r="W67" s="42"/>
      <c r="X67" s="9"/>
      <c r="Y67" s="9"/>
      <c r="Z67" s="9"/>
      <c r="AA67" s="9"/>
      <c r="AB67" s="9"/>
      <c r="AC67" s="9"/>
      <c r="AD67" s="9"/>
      <c r="AE67" s="201"/>
      <c r="AF67" s="201"/>
      <c r="AG67" s="201"/>
      <c r="AH67" s="201"/>
      <c r="AI67" s="201"/>
      <c r="AJ67" s="201"/>
      <c r="AK67" s="201"/>
      <c r="AL67" s="201"/>
      <c r="AM67" s="201"/>
      <c r="AN67" s="201"/>
      <c r="AO67" s="201"/>
      <c r="AP67" s="201"/>
      <c r="AQ67" s="201"/>
      <c r="AR67" s="201"/>
      <c r="AS67" s="201"/>
      <c r="AT67" s="201"/>
      <c r="AU67" s="201"/>
    </row>
    <row r="68" spans="1:47" outlineLevel="1">
      <c r="A68" s="12"/>
      <c r="B68" s="12"/>
      <c r="C68" s="12"/>
      <c r="D68" s="12"/>
      <c r="E68" s="12"/>
      <c r="F68" s="304">
        <f>Asset28</f>
        <v>0</v>
      </c>
      <c r="G68" s="303"/>
      <c r="H68" s="66"/>
      <c r="I68" s="66"/>
      <c r="J68" s="66"/>
      <c r="K68" s="66"/>
      <c r="L68" s="66"/>
      <c r="M68" s="198"/>
      <c r="N68" s="199"/>
      <c r="O68" s="199"/>
      <c r="P68" s="199"/>
      <c r="Q68" s="199"/>
      <c r="R68" s="8"/>
      <c r="S68" s="8"/>
      <c r="T68" s="8"/>
      <c r="U68" s="8"/>
      <c r="V68" s="8"/>
      <c r="W68" s="42"/>
      <c r="X68" s="9"/>
      <c r="Y68" s="9"/>
      <c r="Z68" s="9"/>
      <c r="AA68" s="9"/>
      <c r="AB68" s="9"/>
      <c r="AC68" s="9"/>
      <c r="AD68" s="9"/>
      <c r="AE68" s="201"/>
      <c r="AF68" s="201"/>
      <c r="AG68" s="201"/>
      <c r="AH68" s="201"/>
      <c r="AI68" s="201"/>
      <c r="AJ68" s="201"/>
      <c r="AK68" s="201"/>
      <c r="AL68" s="201"/>
      <c r="AM68" s="201"/>
      <c r="AN68" s="201"/>
      <c r="AO68" s="201"/>
      <c r="AP68" s="201"/>
      <c r="AQ68" s="201"/>
      <c r="AR68" s="201"/>
      <c r="AS68" s="201"/>
      <c r="AT68" s="201"/>
      <c r="AU68" s="201"/>
    </row>
    <row r="69" spans="1:47" outlineLevel="1">
      <c r="A69" s="12"/>
      <c r="B69" s="12"/>
      <c r="C69" s="12"/>
      <c r="D69" s="12"/>
      <c r="E69" s="12"/>
      <c r="F69" s="304">
        <f>Asset29</f>
        <v>0</v>
      </c>
      <c r="G69" s="303"/>
      <c r="H69" s="66"/>
      <c r="I69" s="66"/>
      <c r="J69" s="66"/>
      <c r="K69" s="66"/>
      <c r="L69" s="66"/>
      <c r="M69" s="198"/>
      <c r="N69" s="199"/>
      <c r="O69" s="199"/>
      <c r="P69" s="199"/>
      <c r="Q69" s="199"/>
      <c r="R69" s="8"/>
      <c r="S69" s="8"/>
      <c r="T69" s="8"/>
      <c r="U69" s="8"/>
      <c r="V69" s="8"/>
      <c r="W69" s="42"/>
      <c r="X69" s="9"/>
      <c r="Y69" s="9"/>
      <c r="Z69" s="9"/>
      <c r="AA69" s="9"/>
      <c r="AB69" s="9"/>
      <c r="AC69" s="9"/>
      <c r="AD69" s="9"/>
      <c r="AE69" s="201"/>
      <c r="AF69" s="201"/>
      <c r="AG69" s="201"/>
      <c r="AH69" s="201"/>
      <c r="AI69" s="201"/>
      <c r="AJ69" s="201"/>
      <c r="AK69" s="201"/>
      <c r="AL69" s="201"/>
      <c r="AM69" s="201"/>
      <c r="AN69" s="201"/>
      <c r="AO69" s="201"/>
      <c r="AP69" s="201"/>
      <c r="AQ69" s="201"/>
      <c r="AR69" s="201"/>
      <c r="AS69" s="201"/>
      <c r="AT69" s="201"/>
      <c r="AU69" s="201"/>
    </row>
    <row r="70" spans="1:47" outlineLevel="1">
      <c r="A70" s="12"/>
      <c r="B70" s="12"/>
      <c r="C70" s="12"/>
      <c r="D70" s="12"/>
      <c r="E70" s="12"/>
      <c r="F70" s="304">
        <f>Asset30</f>
        <v>0</v>
      </c>
      <c r="G70" s="303"/>
      <c r="H70" s="66"/>
      <c r="I70" s="66"/>
      <c r="J70" s="66"/>
      <c r="K70" s="66"/>
      <c r="L70" s="66"/>
      <c r="M70" s="198"/>
      <c r="N70" s="199"/>
      <c r="O70" s="199"/>
      <c r="P70" s="199"/>
      <c r="Q70" s="199"/>
      <c r="R70" s="8"/>
      <c r="S70" s="8"/>
      <c r="T70" s="8"/>
      <c r="U70" s="8"/>
      <c r="V70" s="8"/>
      <c r="W70" s="42"/>
      <c r="X70" s="9"/>
      <c r="Y70" s="9"/>
      <c r="Z70" s="9"/>
      <c r="AA70" s="9"/>
      <c r="AB70" s="9"/>
      <c r="AC70" s="9"/>
      <c r="AD70" s="9"/>
      <c r="AE70" s="201"/>
      <c r="AF70" s="201"/>
      <c r="AG70" s="201"/>
      <c r="AH70" s="201"/>
      <c r="AI70" s="201"/>
      <c r="AJ70" s="201"/>
      <c r="AK70" s="201"/>
      <c r="AL70" s="201"/>
      <c r="AM70" s="201"/>
      <c r="AN70" s="201"/>
      <c r="AO70" s="201"/>
      <c r="AP70" s="201"/>
      <c r="AQ70" s="201"/>
      <c r="AR70" s="201"/>
      <c r="AS70" s="201"/>
      <c r="AT70" s="201"/>
      <c r="AU70" s="201"/>
    </row>
    <row r="71" spans="1:47">
      <c r="A71" s="12"/>
      <c r="B71" s="12"/>
      <c r="C71" s="12"/>
      <c r="D71" s="12"/>
      <c r="E71" s="12"/>
      <c r="F71" s="177" t="s">
        <v>2</v>
      </c>
      <c r="G71" s="309">
        <f t="shared" ref="G71:Q71" si="2">SUM(G41:G70)</f>
        <v>271.485752881336</v>
      </c>
      <c r="H71" s="309">
        <f t="shared" si="2"/>
        <v>290.83819036777624</v>
      </c>
      <c r="I71" s="309">
        <f t="shared" si="2"/>
        <v>331.1087479645239</v>
      </c>
      <c r="J71" s="309">
        <f t="shared" si="2"/>
        <v>386.30323145175248</v>
      </c>
      <c r="K71" s="309">
        <f>SUM(K41:K70)</f>
        <v>428.23279606916691</v>
      </c>
      <c r="L71" s="309">
        <f t="shared" si="2"/>
        <v>387.38622172650003</v>
      </c>
      <c r="M71" s="309">
        <f t="shared" si="2"/>
        <v>0</v>
      </c>
      <c r="N71" s="309">
        <f t="shared" si="2"/>
        <v>0</v>
      </c>
      <c r="O71" s="309">
        <f t="shared" si="2"/>
        <v>0</v>
      </c>
      <c r="P71" s="309">
        <f t="shared" si="2"/>
        <v>0</v>
      </c>
      <c r="Q71" s="309">
        <f t="shared" si="2"/>
        <v>0</v>
      </c>
      <c r="R71" s="36"/>
      <c r="S71" s="36"/>
      <c r="T71" s="36"/>
      <c r="U71" s="36"/>
      <c r="V71" s="36"/>
      <c r="W71" s="36"/>
      <c r="X71" s="48"/>
      <c r="Y71" s="8"/>
      <c r="Z71" s="8"/>
      <c r="AA71" s="42"/>
      <c r="AB71" s="9"/>
      <c r="AC71" s="9"/>
      <c r="AD71" s="9"/>
      <c r="AE71" s="201"/>
      <c r="AF71" s="201"/>
      <c r="AG71" s="201"/>
      <c r="AH71" s="201"/>
      <c r="AI71" s="201"/>
      <c r="AJ71" s="201"/>
      <c r="AK71" s="201"/>
      <c r="AL71" s="201"/>
      <c r="AM71" s="201"/>
      <c r="AN71" s="201"/>
      <c r="AO71" s="201"/>
      <c r="AP71" s="201"/>
      <c r="AQ71" s="201"/>
      <c r="AR71" s="201"/>
      <c r="AS71" s="201"/>
      <c r="AT71" s="201"/>
      <c r="AU71" s="201"/>
    </row>
    <row r="72" spans="1:47" ht="21" customHeight="1">
      <c r="A72" s="9"/>
      <c r="B72" s="9"/>
      <c r="C72" s="9"/>
      <c r="D72" s="9"/>
      <c r="E72" s="9"/>
      <c r="F72" s="500" t="s">
        <v>187</v>
      </c>
      <c r="G72" s="398">
        <f>G71-('Tax depreciation'!C136+'Tax depreciation'!C198)</f>
        <v>0</v>
      </c>
      <c r="H72" s="507">
        <f>H71-('Tax depreciation'!D136+'Tax depreciation'!D198)</f>
        <v>0</v>
      </c>
      <c r="I72" s="398">
        <f>I71-('Tax depreciation'!E136+'Tax depreciation'!E198)</f>
        <v>0</v>
      </c>
      <c r="J72" s="398">
        <f>J71-('Tax depreciation'!F136+'Tax depreciation'!F198)</f>
        <v>0</v>
      </c>
      <c r="K72" s="507">
        <f>K71-('Tax depreciation'!G136+'Tax depreciation'!G198)</f>
        <v>0</v>
      </c>
      <c r="L72" s="507">
        <f>L71-('Tax depreciation'!H136+'Tax depreciation'!H198)</f>
        <v>0</v>
      </c>
      <c r="M72" s="9"/>
      <c r="N72" s="9"/>
      <c r="O72" s="9"/>
      <c r="P72" s="9"/>
      <c r="Q72" s="9"/>
      <c r="R72" s="245">
        <f>SUM(G71:Q71)</f>
        <v>2095.3549404610558</v>
      </c>
      <c r="S72" s="9"/>
      <c r="T72" s="9"/>
      <c r="U72" s="9"/>
      <c r="V72" s="9"/>
      <c r="W72" s="9"/>
      <c r="X72" s="9"/>
      <c r="Y72" s="9"/>
      <c r="Z72" s="9"/>
      <c r="AA72" s="19"/>
      <c r="AB72" s="9"/>
      <c r="AC72" s="9"/>
      <c r="AD72" s="9"/>
      <c r="AE72" s="201"/>
      <c r="AF72" s="201"/>
      <c r="AG72" s="201"/>
      <c r="AH72" s="201"/>
      <c r="AI72" s="201"/>
      <c r="AJ72" s="201"/>
      <c r="AK72" s="201"/>
      <c r="AL72" s="201"/>
      <c r="AM72" s="201"/>
      <c r="AN72" s="201"/>
      <c r="AO72" s="201"/>
      <c r="AP72" s="201"/>
      <c r="AQ72" s="201"/>
      <c r="AR72" s="201"/>
      <c r="AS72" s="201"/>
      <c r="AT72" s="201"/>
      <c r="AU72" s="201"/>
    </row>
    <row r="73" spans="1:47" ht="13.5" customHeight="1">
      <c r="A73" s="78"/>
      <c r="B73" s="78"/>
      <c r="C73" s="78"/>
      <c r="D73" s="78"/>
      <c r="E73" s="78"/>
      <c r="F73" s="530" t="s">
        <v>57</v>
      </c>
      <c r="G73" s="530"/>
      <c r="H73" s="160"/>
      <c r="I73" s="160"/>
      <c r="J73" s="160"/>
      <c r="K73" s="81"/>
      <c r="L73" s="81"/>
      <c r="M73" s="79"/>
      <c r="N73" s="79"/>
      <c r="O73" s="79"/>
      <c r="P73" s="79"/>
      <c r="Q73" s="79"/>
      <c r="R73" s="79"/>
      <c r="S73" s="79"/>
      <c r="T73" s="79"/>
      <c r="U73" s="79"/>
      <c r="V73" s="79"/>
      <c r="W73" s="79"/>
      <c r="X73" s="8"/>
      <c r="Y73" s="8"/>
      <c r="Z73" s="8"/>
      <c r="AA73" s="8"/>
      <c r="AB73" s="42"/>
      <c r="AC73" s="9"/>
      <c r="AD73" s="9"/>
      <c r="AE73" s="201"/>
      <c r="AF73" s="201"/>
      <c r="AG73" s="201"/>
      <c r="AH73" s="201"/>
      <c r="AI73" s="201"/>
      <c r="AJ73" s="201"/>
      <c r="AK73" s="201"/>
      <c r="AL73" s="201"/>
      <c r="AM73" s="201"/>
      <c r="AN73" s="201"/>
      <c r="AO73" s="201"/>
      <c r="AP73" s="201"/>
      <c r="AQ73" s="201"/>
      <c r="AR73" s="201"/>
      <c r="AS73" s="201"/>
      <c r="AT73" s="201"/>
      <c r="AU73" s="201"/>
    </row>
    <row r="74" spans="1:47">
      <c r="A74" s="12"/>
      <c r="B74" s="12"/>
      <c r="C74" s="12"/>
      <c r="D74" s="12"/>
      <c r="E74" s="12"/>
      <c r="F74" s="37" t="s">
        <v>1</v>
      </c>
      <c r="G74" s="244">
        <f>G40</f>
        <v>2010</v>
      </c>
      <c r="H74" s="244">
        <f t="shared" ref="H74:Q74" si="3">H40</f>
        <v>2011</v>
      </c>
      <c r="I74" s="244">
        <f t="shared" si="3"/>
        <v>2012</v>
      </c>
      <c r="J74" s="244">
        <f t="shared" si="3"/>
        <v>2013</v>
      </c>
      <c r="K74" s="244">
        <f t="shared" si="3"/>
        <v>2014</v>
      </c>
      <c r="L74" s="244">
        <f t="shared" si="3"/>
        <v>2015</v>
      </c>
      <c r="M74" s="244">
        <f t="shared" si="3"/>
        <v>2016</v>
      </c>
      <c r="N74" s="244">
        <f t="shared" si="3"/>
        <v>2017</v>
      </c>
      <c r="O74" s="244">
        <f t="shared" si="3"/>
        <v>2018</v>
      </c>
      <c r="P74" s="244">
        <f t="shared" si="3"/>
        <v>2019</v>
      </c>
      <c r="Q74" s="244">
        <f t="shared" si="3"/>
        <v>2020</v>
      </c>
      <c r="R74" s="8"/>
      <c r="S74" s="8"/>
      <c r="T74" s="8"/>
      <c r="U74" s="8"/>
      <c r="V74" s="8"/>
      <c r="W74" s="42"/>
      <c r="X74" s="9"/>
      <c r="Y74" s="9"/>
      <c r="Z74" s="9"/>
      <c r="AA74" s="9"/>
      <c r="AB74" s="9"/>
      <c r="AC74" s="9"/>
      <c r="AD74" s="9"/>
      <c r="AE74" s="201"/>
      <c r="AF74" s="201"/>
      <c r="AG74" s="201"/>
      <c r="AH74" s="201"/>
      <c r="AI74" s="201"/>
      <c r="AJ74" s="201"/>
      <c r="AK74" s="201"/>
      <c r="AL74" s="201"/>
      <c r="AM74" s="201"/>
      <c r="AN74" s="201"/>
      <c r="AO74" s="201"/>
      <c r="AP74" s="201"/>
      <c r="AQ74" s="201"/>
      <c r="AR74" s="201"/>
      <c r="AS74" s="201"/>
      <c r="AT74" s="201"/>
      <c r="AU74" s="201"/>
    </row>
    <row r="75" spans="1:47" outlineLevel="1">
      <c r="A75" s="12"/>
      <c r="B75" s="12"/>
      <c r="C75" s="12"/>
      <c r="D75" s="12"/>
      <c r="E75" s="12"/>
      <c r="F75" s="177" t="str">
        <f>Asset1</f>
        <v>Subtransmission</v>
      </c>
      <c r="G75" s="460"/>
      <c r="H75" s="461"/>
      <c r="I75" s="450"/>
      <c r="J75" s="450"/>
      <c r="K75" s="450"/>
      <c r="L75" s="450">
        <v>0</v>
      </c>
      <c r="M75" s="196"/>
      <c r="N75" s="197"/>
      <c r="O75" s="197"/>
      <c r="P75" s="197"/>
      <c r="Q75" s="197"/>
      <c r="R75" s="8"/>
      <c r="S75" s="8"/>
      <c r="T75" s="8"/>
      <c r="U75" s="8"/>
      <c r="V75" s="8"/>
      <c r="W75" s="42"/>
      <c r="X75" s="9"/>
      <c r="Y75" s="9"/>
      <c r="Z75" s="9"/>
      <c r="AA75" s="9"/>
      <c r="AB75" s="9"/>
      <c r="AC75" s="9"/>
      <c r="AD75" s="9"/>
      <c r="AE75" s="201"/>
      <c r="AF75" s="201"/>
      <c r="AG75" s="201"/>
      <c r="AH75" s="201"/>
      <c r="AI75" s="201"/>
      <c r="AJ75" s="201"/>
      <c r="AK75" s="201"/>
      <c r="AL75" s="201"/>
      <c r="AM75" s="201"/>
      <c r="AN75" s="201"/>
      <c r="AO75" s="201"/>
      <c r="AP75" s="201"/>
      <c r="AQ75" s="201"/>
      <c r="AR75" s="201"/>
      <c r="AS75" s="201"/>
      <c r="AT75" s="201"/>
      <c r="AU75" s="201"/>
    </row>
    <row r="76" spans="1:47" outlineLevel="1">
      <c r="A76" s="12"/>
      <c r="B76" s="12"/>
      <c r="C76" s="12"/>
      <c r="D76" s="12"/>
      <c r="E76" s="12"/>
      <c r="F76" s="177" t="str">
        <f>Asset2</f>
        <v>Distribution system assets</v>
      </c>
      <c r="G76" s="460"/>
      <c r="H76" s="461"/>
      <c r="I76" s="451"/>
      <c r="J76" s="451"/>
      <c r="K76" s="451"/>
      <c r="L76" s="451">
        <v>0</v>
      </c>
      <c r="M76" s="200"/>
      <c r="N76" s="199"/>
      <c r="O76" s="199"/>
      <c r="P76" s="199"/>
      <c r="Q76" s="199"/>
      <c r="R76" s="8"/>
      <c r="S76" s="8"/>
      <c r="T76" s="8"/>
      <c r="U76" s="8"/>
      <c r="V76" s="8"/>
      <c r="W76" s="42"/>
      <c r="X76" s="9"/>
      <c r="Y76" s="9"/>
      <c r="Z76" s="9"/>
      <c r="AA76" s="9"/>
      <c r="AB76" s="9"/>
      <c r="AC76" s="9"/>
      <c r="AD76" s="9"/>
      <c r="AE76" s="201"/>
      <c r="AF76" s="201"/>
      <c r="AG76" s="201"/>
      <c r="AH76" s="201"/>
      <c r="AI76" s="201"/>
      <c r="AJ76" s="201"/>
      <c r="AK76" s="201"/>
      <c r="AL76" s="201"/>
      <c r="AM76" s="201"/>
      <c r="AN76" s="201"/>
      <c r="AO76" s="201"/>
      <c r="AP76" s="201"/>
      <c r="AQ76" s="201"/>
      <c r="AR76" s="201"/>
      <c r="AS76" s="201"/>
      <c r="AT76" s="201"/>
      <c r="AU76" s="201"/>
    </row>
    <row r="77" spans="1:47" outlineLevel="1">
      <c r="A77" s="12"/>
      <c r="B77" s="12"/>
      <c r="C77" s="12"/>
      <c r="D77" s="12"/>
      <c r="E77" s="12"/>
      <c r="F77" s="177" t="str">
        <f>Asset3</f>
        <v>Standard metering</v>
      </c>
      <c r="G77" s="460"/>
      <c r="H77" s="461"/>
      <c r="I77" s="451"/>
      <c r="J77" s="451"/>
      <c r="K77" s="451"/>
      <c r="L77" s="451">
        <v>0</v>
      </c>
      <c r="M77" s="200"/>
      <c r="N77" s="199"/>
      <c r="O77" s="199"/>
      <c r="P77" s="199"/>
      <c r="Q77" s="199"/>
      <c r="R77" s="8"/>
      <c r="S77" s="8"/>
      <c r="T77" s="8"/>
      <c r="U77" s="8"/>
      <c r="V77" s="8"/>
      <c r="W77" s="42"/>
      <c r="X77" s="9"/>
      <c r="Y77" s="9"/>
      <c r="Z77" s="9"/>
      <c r="AA77" s="9"/>
      <c r="AB77" s="9"/>
      <c r="AC77" s="9"/>
      <c r="AD77" s="9"/>
      <c r="AE77" s="201"/>
      <c r="AF77" s="201"/>
      <c r="AG77" s="201"/>
      <c r="AH77" s="201"/>
      <c r="AI77" s="201"/>
      <c r="AJ77" s="201"/>
      <c r="AK77" s="201"/>
      <c r="AL77" s="201"/>
      <c r="AM77" s="201"/>
      <c r="AN77" s="201"/>
      <c r="AO77" s="201"/>
      <c r="AP77" s="201"/>
      <c r="AQ77" s="201"/>
      <c r="AR77" s="201"/>
      <c r="AS77" s="201"/>
      <c r="AT77" s="201"/>
      <c r="AU77" s="201"/>
    </row>
    <row r="78" spans="1:47" outlineLevel="1">
      <c r="A78" s="12"/>
      <c r="B78" s="12"/>
      <c r="C78" s="12"/>
      <c r="D78" s="12"/>
      <c r="E78" s="12"/>
      <c r="F78" s="177" t="str">
        <f>Asset4</f>
        <v>Public lighting</v>
      </c>
      <c r="G78" s="460"/>
      <c r="H78" s="461"/>
      <c r="I78" s="451"/>
      <c r="J78" s="451"/>
      <c r="K78" s="451"/>
      <c r="L78" s="451">
        <v>0</v>
      </c>
      <c r="M78" s="200"/>
      <c r="N78" s="199"/>
      <c r="O78" s="199"/>
      <c r="P78" s="199"/>
      <c r="Q78" s="199"/>
      <c r="R78" s="8"/>
      <c r="S78" s="8"/>
      <c r="T78" s="8"/>
      <c r="U78" s="8"/>
      <c r="V78" s="8"/>
      <c r="W78" s="42"/>
      <c r="X78" s="9"/>
      <c r="Y78" s="9"/>
      <c r="Z78" s="9"/>
      <c r="AA78" s="9"/>
      <c r="AB78" s="9"/>
      <c r="AC78" s="9"/>
      <c r="AD78" s="9"/>
      <c r="AE78" s="201"/>
      <c r="AF78" s="201"/>
      <c r="AG78" s="201"/>
      <c r="AH78" s="201"/>
      <c r="AI78" s="201"/>
      <c r="AJ78" s="201"/>
      <c r="AK78" s="201"/>
      <c r="AL78" s="201"/>
      <c r="AM78" s="201"/>
      <c r="AN78" s="201"/>
      <c r="AO78" s="201"/>
      <c r="AP78" s="201"/>
      <c r="AQ78" s="201"/>
      <c r="AR78" s="201"/>
      <c r="AS78" s="201"/>
      <c r="AT78" s="201"/>
      <c r="AU78" s="201"/>
    </row>
    <row r="79" spans="1:47" outlineLevel="1">
      <c r="A79" s="12"/>
      <c r="B79" s="12"/>
      <c r="C79" s="12"/>
      <c r="D79" s="12"/>
      <c r="E79" s="12"/>
      <c r="F79" s="177" t="str">
        <f>Asset5</f>
        <v>SCADA/Network control</v>
      </c>
      <c r="G79" s="460"/>
      <c r="H79" s="461"/>
      <c r="I79" s="451"/>
      <c r="J79" s="451"/>
      <c r="K79" s="451"/>
      <c r="L79" s="451">
        <v>0</v>
      </c>
      <c r="M79" s="200"/>
      <c r="N79" s="199"/>
      <c r="O79" s="199"/>
      <c r="P79" s="199"/>
      <c r="Q79" s="199"/>
      <c r="R79" s="8"/>
      <c r="S79" s="8"/>
      <c r="T79" s="8"/>
      <c r="U79" s="8"/>
      <c r="V79" s="8"/>
      <c r="W79" s="42"/>
      <c r="X79" s="9"/>
      <c r="Y79" s="9"/>
      <c r="Z79" s="9"/>
      <c r="AA79" s="9"/>
      <c r="AB79" s="9"/>
      <c r="AC79" s="9"/>
      <c r="AD79" s="9"/>
      <c r="AE79" s="201"/>
      <c r="AF79" s="201"/>
      <c r="AG79" s="201"/>
      <c r="AH79" s="201"/>
      <c r="AI79" s="201"/>
      <c r="AJ79" s="201"/>
      <c r="AK79" s="201"/>
      <c r="AL79" s="201"/>
      <c r="AM79" s="201"/>
      <c r="AN79" s="201"/>
      <c r="AO79" s="201"/>
      <c r="AP79" s="201"/>
      <c r="AQ79" s="201"/>
      <c r="AR79" s="201"/>
      <c r="AS79" s="201"/>
      <c r="AT79" s="201"/>
      <c r="AU79" s="201"/>
    </row>
    <row r="80" spans="1:47" outlineLevel="1">
      <c r="A80" s="12"/>
      <c r="B80" s="12"/>
      <c r="C80" s="12"/>
      <c r="D80" s="12"/>
      <c r="E80" s="12"/>
      <c r="F80" s="177" t="str">
        <f>Asset6</f>
        <v>Non-network general assets - IT</v>
      </c>
      <c r="G80" s="460">
        <v>0</v>
      </c>
      <c r="H80" s="461">
        <v>0</v>
      </c>
      <c r="I80" s="451">
        <v>0</v>
      </c>
      <c r="J80" s="451">
        <v>0</v>
      </c>
      <c r="K80" s="451">
        <v>0</v>
      </c>
      <c r="L80" s="451">
        <v>1.2100147640625102E-2</v>
      </c>
      <c r="M80" s="200"/>
      <c r="N80" s="199"/>
      <c r="O80" s="199"/>
      <c r="P80" s="199"/>
      <c r="Q80" s="199"/>
      <c r="R80" s="8"/>
      <c r="S80" s="8"/>
      <c r="T80" s="8"/>
      <c r="U80" s="8"/>
      <c r="V80" s="8"/>
      <c r="W80" s="42"/>
      <c r="X80" s="9"/>
      <c r="Y80" s="9"/>
      <c r="Z80" s="9"/>
      <c r="AA80" s="9"/>
      <c r="AB80" s="9"/>
      <c r="AC80" s="9"/>
      <c r="AD80" s="9"/>
      <c r="AE80" s="201"/>
      <c r="AF80" s="201"/>
      <c r="AG80" s="201"/>
      <c r="AH80" s="201"/>
      <c r="AI80" s="201"/>
      <c r="AJ80" s="201"/>
      <c r="AK80" s="201"/>
      <c r="AL80" s="201"/>
      <c r="AM80" s="201"/>
      <c r="AN80" s="201"/>
      <c r="AO80" s="201"/>
      <c r="AP80" s="201"/>
      <c r="AQ80" s="201"/>
      <c r="AR80" s="201"/>
      <c r="AS80" s="201"/>
      <c r="AT80" s="201"/>
      <c r="AU80" s="201"/>
    </row>
    <row r="81" spans="1:47" outlineLevel="1">
      <c r="A81" s="12"/>
      <c r="B81" s="12"/>
      <c r="C81" s="12"/>
      <c r="D81" s="12"/>
      <c r="E81" s="12"/>
      <c r="F81" s="177" t="str">
        <f>Asset7</f>
        <v>Non-network general assets - Other</v>
      </c>
      <c r="G81" s="460">
        <v>0.81355032999999988</v>
      </c>
      <c r="H81" s="461">
        <v>0.11268235000000001</v>
      </c>
      <c r="I81" s="451">
        <v>2.8618610699999998</v>
      </c>
      <c r="J81" s="451">
        <v>0.66887568800000008</v>
      </c>
      <c r="K81" s="451">
        <v>0.54726599999999992</v>
      </c>
      <c r="L81" s="451">
        <v>1.1659833341458314</v>
      </c>
      <c r="M81" s="200"/>
      <c r="N81" s="199"/>
      <c r="O81" s="199"/>
      <c r="P81" s="199"/>
      <c r="Q81" s="199"/>
      <c r="R81" s="8"/>
      <c r="S81" s="8"/>
      <c r="T81" s="8"/>
      <c r="U81" s="8"/>
      <c r="V81" s="8"/>
      <c r="W81" s="42"/>
      <c r="X81" s="9"/>
      <c r="Y81" s="9"/>
      <c r="Z81" s="9"/>
      <c r="AA81" s="9"/>
      <c r="AB81" s="9"/>
      <c r="AC81" s="9"/>
      <c r="AD81" s="9"/>
      <c r="AE81" s="201"/>
      <c r="AF81" s="201"/>
      <c r="AG81" s="201"/>
      <c r="AH81" s="201"/>
      <c r="AI81" s="201"/>
      <c r="AJ81" s="201"/>
      <c r="AK81" s="201"/>
      <c r="AL81" s="201"/>
      <c r="AM81" s="201"/>
      <c r="AN81" s="201"/>
      <c r="AO81" s="201"/>
      <c r="AP81" s="201"/>
      <c r="AQ81" s="201"/>
      <c r="AR81" s="201"/>
      <c r="AS81" s="201"/>
      <c r="AT81" s="201"/>
      <c r="AU81" s="201"/>
    </row>
    <row r="82" spans="1:47" outlineLevel="1">
      <c r="A82" s="12"/>
      <c r="B82" s="12"/>
      <c r="C82" s="12"/>
      <c r="D82" s="12"/>
      <c r="E82" s="12"/>
      <c r="F82" s="177" t="str">
        <f>Asset8</f>
        <v>Equity Raising Costs</v>
      </c>
      <c r="G82" s="167">
        <v>0</v>
      </c>
      <c r="H82" s="66">
        <v>0</v>
      </c>
      <c r="I82" s="66">
        <v>0</v>
      </c>
      <c r="J82" s="66">
        <v>0</v>
      </c>
      <c r="K82" s="451">
        <v>0</v>
      </c>
      <c r="L82" s="451"/>
      <c r="M82" s="200"/>
      <c r="N82" s="199"/>
      <c r="O82" s="199"/>
      <c r="P82" s="199"/>
      <c r="Q82" s="199"/>
      <c r="R82" s="8"/>
      <c r="S82" s="8"/>
      <c r="T82" s="8"/>
      <c r="U82" s="8"/>
      <c r="V82" s="8"/>
      <c r="W82" s="42"/>
      <c r="X82" s="9"/>
      <c r="Y82" s="9"/>
      <c r="Z82" s="9"/>
      <c r="AA82" s="9"/>
      <c r="AB82" s="9"/>
      <c r="AC82" s="9"/>
      <c r="AD82" s="9"/>
      <c r="AE82" s="201"/>
      <c r="AF82" s="201"/>
      <c r="AG82" s="201"/>
      <c r="AH82" s="201"/>
      <c r="AI82" s="201"/>
      <c r="AJ82" s="201"/>
      <c r="AK82" s="201"/>
      <c r="AL82" s="201"/>
      <c r="AM82" s="201"/>
      <c r="AN82" s="201"/>
      <c r="AO82" s="201"/>
      <c r="AP82" s="201"/>
      <c r="AQ82" s="201"/>
      <c r="AR82" s="201"/>
      <c r="AS82" s="201"/>
      <c r="AT82" s="201"/>
      <c r="AU82" s="201"/>
    </row>
    <row r="83" spans="1:47" outlineLevel="1">
      <c r="A83" s="12"/>
      <c r="B83" s="12"/>
      <c r="C83" s="12"/>
      <c r="D83" s="12"/>
      <c r="E83" s="12"/>
      <c r="F83" s="177">
        <f>Asset9</f>
        <v>0</v>
      </c>
      <c r="G83" s="167"/>
      <c r="H83" s="66"/>
      <c r="I83" s="66"/>
      <c r="J83" s="66"/>
      <c r="K83" s="66"/>
      <c r="L83" s="66"/>
      <c r="M83" s="200"/>
      <c r="N83" s="199"/>
      <c r="O83" s="199"/>
      <c r="P83" s="199"/>
      <c r="Q83" s="199"/>
      <c r="R83" s="8"/>
      <c r="S83" s="8"/>
      <c r="T83" s="8"/>
      <c r="U83" s="8"/>
      <c r="V83" s="8"/>
      <c r="W83" s="42"/>
      <c r="X83" s="9"/>
      <c r="Y83" s="9"/>
      <c r="Z83" s="9"/>
      <c r="AA83" s="9"/>
      <c r="AB83" s="9"/>
      <c r="AC83" s="9"/>
      <c r="AD83" s="9"/>
      <c r="AE83" s="201"/>
      <c r="AF83" s="201"/>
      <c r="AG83" s="201"/>
      <c r="AH83" s="201"/>
      <c r="AI83" s="201"/>
      <c r="AJ83" s="201"/>
      <c r="AK83" s="201"/>
      <c r="AL83" s="201"/>
      <c r="AM83" s="201"/>
      <c r="AN83" s="201"/>
      <c r="AO83" s="201"/>
      <c r="AP83" s="201"/>
      <c r="AQ83" s="201"/>
      <c r="AR83" s="201"/>
      <c r="AS83" s="201"/>
      <c r="AT83" s="201"/>
      <c r="AU83" s="201"/>
    </row>
    <row r="84" spans="1:47" outlineLevel="1">
      <c r="A84" s="12"/>
      <c r="B84" s="12"/>
      <c r="C84" s="12"/>
      <c r="D84" s="12"/>
      <c r="E84" s="12"/>
      <c r="F84" s="177">
        <f>Asset10</f>
        <v>0</v>
      </c>
      <c r="G84" s="167"/>
      <c r="H84" s="332"/>
      <c r="I84" s="66"/>
      <c r="J84" s="66"/>
      <c r="K84" s="66"/>
      <c r="L84" s="66"/>
      <c r="M84" s="200"/>
      <c r="N84" s="199"/>
      <c r="O84" s="199"/>
      <c r="P84" s="199"/>
      <c r="Q84" s="199"/>
      <c r="R84" s="8"/>
      <c r="S84" s="8"/>
      <c r="T84" s="8"/>
      <c r="U84" s="8"/>
      <c r="V84" s="8"/>
      <c r="W84" s="42"/>
      <c r="X84" s="9"/>
      <c r="Y84" s="9"/>
      <c r="Z84" s="9"/>
      <c r="AA84" s="9"/>
      <c r="AB84" s="9"/>
      <c r="AC84" s="9"/>
      <c r="AD84" s="9"/>
      <c r="AE84" s="201"/>
      <c r="AF84" s="201"/>
      <c r="AG84" s="201"/>
      <c r="AH84" s="201"/>
      <c r="AI84" s="201"/>
      <c r="AJ84" s="201"/>
      <c r="AK84" s="201"/>
      <c r="AL84" s="201"/>
      <c r="AM84" s="201"/>
      <c r="AN84" s="201"/>
      <c r="AO84" s="201"/>
      <c r="AP84" s="201"/>
      <c r="AQ84" s="201"/>
      <c r="AR84" s="201"/>
      <c r="AS84" s="201"/>
      <c r="AT84" s="201"/>
      <c r="AU84" s="201"/>
    </row>
    <row r="85" spans="1:47" outlineLevel="1">
      <c r="A85" s="12"/>
      <c r="B85" s="12"/>
      <c r="C85" s="12"/>
      <c r="D85" s="12"/>
      <c r="E85" s="12"/>
      <c r="F85" s="177">
        <f>Asset11</f>
        <v>0</v>
      </c>
      <c r="G85" s="167"/>
      <c r="H85" s="332"/>
      <c r="I85" s="66"/>
      <c r="J85" s="66"/>
      <c r="K85" s="66"/>
      <c r="L85" s="66"/>
      <c r="M85" s="200"/>
      <c r="N85" s="199"/>
      <c r="O85" s="199"/>
      <c r="P85" s="199"/>
      <c r="Q85" s="199"/>
      <c r="R85" s="8"/>
      <c r="S85" s="8"/>
      <c r="T85" s="8"/>
      <c r="U85" s="8"/>
      <c r="V85" s="8"/>
      <c r="W85" s="42"/>
      <c r="X85" s="9"/>
      <c r="Y85" s="9"/>
      <c r="Z85" s="9"/>
      <c r="AA85" s="9"/>
      <c r="AB85" s="9"/>
      <c r="AC85" s="9"/>
      <c r="AD85" s="9"/>
      <c r="AE85" s="201"/>
      <c r="AF85" s="201"/>
      <c r="AG85" s="201"/>
      <c r="AH85" s="201"/>
      <c r="AI85" s="201"/>
      <c r="AJ85" s="201"/>
      <c r="AK85" s="201"/>
      <c r="AL85" s="201"/>
      <c r="AM85" s="201"/>
      <c r="AN85" s="201"/>
      <c r="AO85" s="201"/>
      <c r="AP85" s="201"/>
      <c r="AQ85" s="201"/>
      <c r="AR85" s="201"/>
      <c r="AS85" s="201"/>
      <c r="AT85" s="201"/>
      <c r="AU85" s="201"/>
    </row>
    <row r="86" spans="1:47" outlineLevel="1">
      <c r="A86" s="12"/>
      <c r="B86" s="12"/>
      <c r="C86" s="12"/>
      <c r="D86" s="12"/>
      <c r="E86" s="12"/>
      <c r="F86" s="177">
        <f>Asset12</f>
        <v>0</v>
      </c>
      <c r="G86" s="167"/>
      <c r="H86" s="332"/>
      <c r="I86" s="66"/>
      <c r="J86" s="66"/>
      <c r="K86" s="66"/>
      <c r="L86" s="66"/>
      <c r="M86" s="200"/>
      <c r="N86" s="199"/>
      <c r="O86" s="199"/>
      <c r="P86" s="199"/>
      <c r="Q86" s="199"/>
      <c r="R86" s="8"/>
      <c r="S86" s="8"/>
      <c r="T86" s="8"/>
      <c r="U86" s="8"/>
      <c r="V86" s="8"/>
      <c r="W86" s="42"/>
      <c r="X86" s="9"/>
      <c r="Y86" s="9"/>
      <c r="Z86" s="9"/>
      <c r="AA86" s="9"/>
      <c r="AB86" s="9"/>
      <c r="AC86" s="9"/>
      <c r="AD86" s="9"/>
      <c r="AE86" s="201"/>
      <c r="AF86" s="201"/>
      <c r="AG86" s="201"/>
      <c r="AH86" s="201"/>
      <c r="AI86" s="201"/>
      <c r="AJ86" s="201"/>
      <c r="AK86" s="201"/>
      <c r="AL86" s="201"/>
      <c r="AM86" s="201"/>
      <c r="AN86" s="201"/>
      <c r="AO86" s="201"/>
      <c r="AP86" s="201"/>
      <c r="AQ86" s="201"/>
      <c r="AR86" s="201"/>
      <c r="AS86" s="201"/>
      <c r="AT86" s="201"/>
      <c r="AU86" s="201"/>
    </row>
    <row r="87" spans="1:47" outlineLevel="1">
      <c r="A87" s="12"/>
      <c r="B87" s="12"/>
      <c r="C87" s="12"/>
      <c r="D87" s="12"/>
      <c r="E87" s="12"/>
      <c r="F87" s="177">
        <f>Asset13</f>
        <v>0</v>
      </c>
      <c r="G87" s="167"/>
      <c r="H87" s="332"/>
      <c r="I87" s="66"/>
      <c r="J87" s="66"/>
      <c r="K87" s="66"/>
      <c r="L87" s="66"/>
      <c r="M87" s="200"/>
      <c r="N87" s="199"/>
      <c r="O87" s="199"/>
      <c r="P87" s="199"/>
      <c r="Q87" s="199"/>
      <c r="R87" s="8"/>
      <c r="S87" s="8"/>
      <c r="T87" s="8"/>
      <c r="U87" s="8"/>
      <c r="V87" s="8"/>
      <c r="W87" s="42"/>
      <c r="X87" s="9"/>
      <c r="Y87" s="9"/>
      <c r="Z87" s="9"/>
      <c r="AA87" s="9"/>
      <c r="AB87" s="9"/>
      <c r="AC87" s="9"/>
      <c r="AD87" s="9"/>
      <c r="AE87" s="201"/>
      <c r="AF87" s="201"/>
      <c r="AG87" s="201"/>
      <c r="AH87" s="201"/>
      <c r="AI87" s="201"/>
      <c r="AJ87" s="201"/>
      <c r="AK87" s="201"/>
      <c r="AL87" s="201"/>
      <c r="AM87" s="201"/>
      <c r="AN87" s="201"/>
      <c r="AO87" s="201"/>
      <c r="AP87" s="201"/>
      <c r="AQ87" s="201"/>
      <c r="AR87" s="201"/>
      <c r="AS87" s="201"/>
      <c r="AT87" s="201"/>
      <c r="AU87" s="201"/>
    </row>
    <row r="88" spans="1:47" outlineLevel="1">
      <c r="A88" s="12"/>
      <c r="B88" s="12"/>
      <c r="C88" s="12"/>
      <c r="D88" s="12"/>
      <c r="E88" s="12"/>
      <c r="F88" s="177">
        <f>Asset14</f>
        <v>0</v>
      </c>
      <c r="G88" s="167"/>
      <c r="H88" s="332"/>
      <c r="I88" s="66"/>
      <c r="J88" s="66"/>
      <c r="K88" s="66"/>
      <c r="L88" s="66"/>
      <c r="M88" s="200"/>
      <c r="N88" s="199"/>
      <c r="O88" s="199"/>
      <c r="P88" s="199"/>
      <c r="Q88" s="199"/>
      <c r="R88" s="8"/>
      <c r="S88" s="8"/>
      <c r="T88" s="8"/>
      <c r="U88" s="8"/>
      <c r="V88" s="8"/>
      <c r="W88" s="42"/>
      <c r="X88" s="9"/>
      <c r="Y88" s="9"/>
      <c r="Z88" s="9"/>
      <c r="AA88" s="9"/>
      <c r="AB88" s="9"/>
      <c r="AC88" s="9"/>
      <c r="AD88" s="9"/>
      <c r="AE88" s="201"/>
      <c r="AF88" s="201"/>
      <c r="AG88" s="201"/>
      <c r="AH88" s="201"/>
      <c r="AI88" s="201"/>
      <c r="AJ88" s="201"/>
      <c r="AK88" s="201"/>
      <c r="AL88" s="201"/>
      <c r="AM88" s="201"/>
      <c r="AN88" s="201"/>
      <c r="AO88" s="201"/>
      <c r="AP88" s="201"/>
      <c r="AQ88" s="201"/>
      <c r="AR88" s="201"/>
      <c r="AS88" s="201"/>
      <c r="AT88" s="201"/>
      <c r="AU88" s="201"/>
    </row>
    <row r="89" spans="1:47" outlineLevel="1">
      <c r="A89" s="12"/>
      <c r="B89" s="12"/>
      <c r="C89" s="12"/>
      <c r="D89" s="12"/>
      <c r="E89" s="12"/>
      <c r="F89" s="177">
        <f>Asset15</f>
        <v>0</v>
      </c>
      <c r="G89" s="167"/>
      <c r="H89" s="66"/>
      <c r="I89" s="66"/>
      <c r="J89" s="66"/>
      <c r="K89" s="66"/>
      <c r="L89" s="66"/>
      <c r="M89" s="200"/>
      <c r="N89" s="199"/>
      <c r="O89" s="199"/>
      <c r="P89" s="199"/>
      <c r="Q89" s="199"/>
      <c r="R89" s="8"/>
      <c r="S89" s="8"/>
      <c r="T89" s="8"/>
      <c r="U89" s="8"/>
      <c r="V89" s="8"/>
      <c r="W89" s="42"/>
      <c r="X89" s="9"/>
      <c r="Y89" s="9"/>
      <c r="Z89" s="9"/>
      <c r="AA89" s="9"/>
      <c r="AB89" s="9"/>
      <c r="AC89" s="9"/>
      <c r="AD89" s="9"/>
      <c r="AE89" s="201"/>
      <c r="AF89" s="201"/>
      <c r="AG89" s="201"/>
      <c r="AH89" s="201"/>
      <c r="AI89" s="201"/>
      <c r="AJ89" s="201"/>
      <c r="AK89" s="201"/>
      <c r="AL89" s="201"/>
      <c r="AM89" s="201"/>
      <c r="AN89" s="201"/>
      <c r="AO89" s="201"/>
      <c r="AP89" s="201"/>
      <c r="AQ89" s="201"/>
      <c r="AR89" s="201"/>
      <c r="AS89" s="201"/>
      <c r="AT89" s="201"/>
      <c r="AU89" s="201"/>
    </row>
    <row r="90" spans="1:47" outlineLevel="1">
      <c r="A90" s="12"/>
      <c r="B90" s="12"/>
      <c r="C90" s="12"/>
      <c r="D90" s="12"/>
      <c r="E90" s="12"/>
      <c r="F90" s="177">
        <f>Asset16</f>
        <v>0</v>
      </c>
      <c r="G90" s="167"/>
      <c r="H90" s="66"/>
      <c r="I90" s="66"/>
      <c r="J90" s="66"/>
      <c r="K90" s="66"/>
      <c r="L90" s="66"/>
      <c r="M90" s="200"/>
      <c r="N90" s="199"/>
      <c r="O90" s="199"/>
      <c r="P90" s="199"/>
      <c r="Q90" s="199"/>
      <c r="R90" s="8"/>
      <c r="S90" s="8"/>
      <c r="T90" s="8"/>
      <c r="U90" s="8"/>
      <c r="V90" s="8"/>
      <c r="W90" s="42"/>
      <c r="X90" s="9"/>
      <c r="Y90" s="9"/>
      <c r="Z90" s="9"/>
      <c r="AA90" s="9"/>
      <c r="AB90" s="9"/>
      <c r="AC90" s="9"/>
      <c r="AD90" s="9"/>
      <c r="AE90" s="201"/>
      <c r="AF90" s="201"/>
      <c r="AG90" s="201"/>
      <c r="AH90" s="201"/>
      <c r="AI90" s="201"/>
      <c r="AJ90" s="201"/>
      <c r="AK90" s="201"/>
      <c r="AL90" s="201"/>
      <c r="AM90" s="201"/>
      <c r="AN90" s="201"/>
      <c r="AO90" s="201"/>
      <c r="AP90" s="201"/>
      <c r="AQ90" s="201"/>
      <c r="AR90" s="201"/>
      <c r="AS90" s="201"/>
      <c r="AT90" s="201"/>
      <c r="AU90" s="201"/>
    </row>
    <row r="91" spans="1:47" outlineLevel="1">
      <c r="A91" s="12"/>
      <c r="B91" s="12"/>
      <c r="C91" s="12"/>
      <c r="D91" s="12"/>
      <c r="E91" s="12"/>
      <c r="F91" s="177">
        <f>Asset17</f>
        <v>0</v>
      </c>
      <c r="G91" s="167"/>
      <c r="H91" s="66"/>
      <c r="I91" s="66"/>
      <c r="J91" s="66"/>
      <c r="K91" s="66"/>
      <c r="L91" s="66"/>
      <c r="M91" s="200"/>
      <c r="N91" s="199"/>
      <c r="O91" s="199"/>
      <c r="P91" s="199"/>
      <c r="Q91" s="199"/>
      <c r="R91" s="8"/>
      <c r="S91" s="8"/>
      <c r="T91" s="8"/>
      <c r="U91" s="8"/>
      <c r="V91" s="8"/>
      <c r="W91" s="42"/>
      <c r="X91" s="9"/>
      <c r="Y91" s="9"/>
      <c r="Z91" s="9"/>
      <c r="AA91" s="9"/>
      <c r="AB91" s="9"/>
      <c r="AC91" s="9"/>
      <c r="AD91" s="9"/>
      <c r="AE91" s="201"/>
      <c r="AF91" s="201"/>
      <c r="AG91" s="201"/>
      <c r="AH91" s="201"/>
      <c r="AI91" s="201"/>
      <c r="AJ91" s="201"/>
      <c r="AK91" s="201"/>
      <c r="AL91" s="201"/>
      <c r="AM91" s="201"/>
      <c r="AN91" s="201"/>
      <c r="AO91" s="201"/>
      <c r="AP91" s="201"/>
      <c r="AQ91" s="201"/>
      <c r="AR91" s="201"/>
      <c r="AS91" s="201"/>
      <c r="AT91" s="201"/>
      <c r="AU91" s="201"/>
    </row>
    <row r="92" spans="1:47" outlineLevel="1">
      <c r="A92" s="12"/>
      <c r="B92" s="12"/>
      <c r="C92" s="12"/>
      <c r="D92" s="12"/>
      <c r="E92" s="12"/>
      <c r="F92" s="177">
        <f>Asset18</f>
        <v>0</v>
      </c>
      <c r="G92" s="167"/>
      <c r="H92" s="66"/>
      <c r="I92" s="66"/>
      <c r="J92" s="66"/>
      <c r="K92" s="66"/>
      <c r="L92" s="66"/>
      <c r="M92" s="200"/>
      <c r="N92" s="199"/>
      <c r="O92" s="199"/>
      <c r="P92" s="199"/>
      <c r="Q92" s="199"/>
      <c r="R92" s="8"/>
      <c r="S92" s="8"/>
      <c r="T92" s="8"/>
      <c r="U92" s="8"/>
      <c r="V92" s="8"/>
      <c r="W92" s="42"/>
      <c r="X92" s="9"/>
      <c r="Y92" s="9"/>
      <c r="Z92" s="9"/>
      <c r="AA92" s="9"/>
      <c r="AB92" s="9"/>
      <c r="AC92" s="9"/>
      <c r="AD92" s="9"/>
      <c r="AE92" s="201"/>
      <c r="AF92" s="201"/>
      <c r="AG92" s="201"/>
      <c r="AH92" s="201"/>
      <c r="AI92" s="201"/>
      <c r="AJ92" s="201"/>
      <c r="AK92" s="201"/>
      <c r="AL92" s="201"/>
      <c r="AM92" s="201"/>
      <c r="AN92" s="201"/>
      <c r="AO92" s="201"/>
      <c r="AP92" s="201"/>
      <c r="AQ92" s="201"/>
      <c r="AR92" s="201"/>
      <c r="AS92" s="201"/>
      <c r="AT92" s="201"/>
      <c r="AU92" s="201"/>
    </row>
    <row r="93" spans="1:47" outlineLevel="1">
      <c r="A93" s="12"/>
      <c r="B93" s="12"/>
      <c r="C93" s="12"/>
      <c r="D93" s="12"/>
      <c r="E93" s="12"/>
      <c r="F93" s="177">
        <f>Asset19</f>
        <v>0</v>
      </c>
      <c r="G93" s="167"/>
      <c r="H93" s="66"/>
      <c r="I93" s="66"/>
      <c r="J93" s="66"/>
      <c r="K93" s="66"/>
      <c r="L93" s="66"/>
      <c r="M93" s="200"/>
      <c r="N93" s="199"/>
      <c r="O93" s="199"/>
      <c r="P93" s="199"/>
      <c r="Q93" s="199"/>
      <c r="R93" s="8"/>
      <c r="S93" s="8"/>
      <c r="T93" s="8"/>
      <c r="U93" s="8"/>
      <c r="V93" s="8"/>
      <c r="W93" s="42"/>
      <c r="X93" s="9"/>
      <c r="Y93" s="9"/>
      <c r="Z93" s="9"/>
      <c r="AA93" s="9"/>
      <c r="AB93" s="9"/>
      <c r="AC93" s="9"/>
      <c r="AD93" s="9"/>
      <c r="AE93" s="201"/>
      <c r="AF93" s="201"/>
      <c r="AG93" s="201"/>
      <c r="AH93" s="201"/>
      <c r="AI93" s="201"/>
      <c r="AJ93" s="201"/>
      <c r="AK93" s="201"/>
      <c r="AL93" s="201"/>
      <c r="AM93" s="201"/>
      <c r="AN93" s="201"/>
      <c r="AO93" s="201"/>
      <c r="AP93" s="201"/>
      <c r="AQ93" s="201"/>
      <c r="AR93" s="201"/>
      <c r="AS93" s="201"/>
      <c r="AT93" s="201"/>
      <c r="AU93" s="201"/>
    </row>
    <row r="94" spans="1:47" outlineLevel="1">
      <c r="A94" s="12"/>
      <c r="B94" s="12"/>
      <c r="C94" s="12"/>
      <c r="D94" s="12"/>
      <c r="E94" s="12"/>
      <c r="F94" s="304">
        <f>Asset20</f>
        <v>0</v>
      </c>
      <c r="G94" s="303"/>
      <c r="H94" s="66"/>
      <c r="I94" s="66"/>
      <c r="J94" s="66"/>
      <c r="K94" s="66"/>
      <c r="L94" s="66"/>
      <c r="M94" s="200"/>
      <c r="N94" s="199"/>
      <c r="O94" s="199"/>
      <c r="P94" s="199"/>
      <c r="Q94" s="199"/>
      <c r="R94" s="8"/>
      <c r="S94" s="8"/>
      <c r="T94" s="8"/>
      <c r="U94" s="8"/>
      <c r="V94" s="8"/>
      <c r="W94" s="42"/>
      <c r="X94" s="9"/>
      <c r="Y94" s="9"/>
      <c r="Z94" s="9"/>
      <c r="AA94" s="9"/>
      <c r="AB94" s="9"/>
      <c r="AC94" s="9"/>
      <c r="AD94" s="9"/>
      <c r="AE94" s="201"/>
      <c r="AF94" s="201"/>
      <c r="AG94" s="201"/>
      <c r="AH94" s="201"/>
      <c r="AI94" s="201"/>
      <c r="AJ94" s="201"/>
      <c r="AK94" s="201"/>
      <c r="AL94" s="201"/>
      <c r="AM94" s="201"/>
      <c r="AN94" s="201"/>
      <c r="AO94" s="201"/>
      <c r="AP94" s="201"/>
      <c r="AQ94" s="201"/>
      <c r="AR94" s="201"/>
      <c r="AS94" s="201"/>
      <c r="AT94" s="201"/>
      <c r="AU94" s="201"/>
    </row>
    <row r="95" spans="1:47" outlineLevel="1">
      <c r="A95" s="12"/>
      <c r="B95" s="12"/>
      <c r="C95" s="12"/>
      <c r="D95" s="12"/>
      <c r="E95" s="12"/>
      <c r="F95" s="304">
        <f>Asset21</f>
        <v>0</v>
      </c>
      <c r="G95" s="303"/>
      <c r="H95" s="66"/>
      <c r="I95" s="66"/>
      <c r="J95" s="66"/>
      <c r="K95" s="66"/>
      <c r="L95" s="66"/>
      <c r="M95" s="200"/>
      <c r="N95" s="199"/>
      <c r="O95" s="199"/>
      <c r="P95" s="199"/>
      <c r="Q95" s="199"/>
      <c r="R95" s="8"/>
      <c r="S95" s="8"/>
      <c r="T95" s="8"/>
      <c r="U95" s="8"/>
      <c r="V95" s="8"/>
      <c r="W95" s="42"/>
      <c r="X95" s="9"/>
      <c r="Y95" s="9"/>
      <c r="Z95" s="9"/>
      <c r="AA95" s="9"/>
      <c r="AB95" s="9"/>
      <c r="AC95" s="9"/>
      <c r="AD95" s="9"/>
      <c r="AE95" s="201"/>
      <c r="AF95" s="201"/>
      <c r="AG95" s="201"/>
      <c r="AH95" s="201"/>
      <c r="AI95" s="201"/>
      <c r="AJ95" s="201"/>
      <c r="AK95" s="201"/>
      <c r="AL95" s="201"/>
      <c r="AM95" s="201"/>
      <c r="AN95" s="201"/>
      <c r="AO95" s="201"/>
      <c r="AP95" s="201"/>
      <c r="AQ95" s="201"/>
      <c r="AR95" s="201"/>
      <c r="AS95" s="201"/>
      <c r="AT95" s="201"/>
      <c r="AU95" s="201"/>
    </row>
    <row r="96" spans="1:47" outlineLevel="1">
      <c r="A96" s="12"/>
      <c r="B96" s="12"/>
      <c r="C96" s="12"/>
      <c r="D96" s="12"/>
      <c r="E96" s="12"/>
      <c r="F96" s="304">
        <f>Asset22</f>
        <v>0</v>
      </c>
      <c r="G96" s="303"/>
      <c r="H96" s="66"/>
      <c r="I96" s="66"/>
      <c r="J96" s="66"/>
      <c r="K96" s="66"/>
      <c r="L96" s="66"/>
      <c r="M96" s="200"/>
      <c r="N96" s="199"/>
      <c r="O96" s="199"/>
      <c r="P96" s="199"/>
      <c r="Q96" s="199"/>
      <c r="R96" s="8"/>
      <c r="S96" s="8"/>
      <c r="T96" s="8"/>
      <c r="U96" s="8"/>
      <c r="V96" s="8"/>
      <c r="W96" s="42"/>
      <c r="X96" s="9"/>
      <c r="Y96" s="9"/>
      <c r="Z96" s="9"/>
      <c r="AA96" s="9"/>
      <c r="AB96" s="9"/>
      <c r="AC96" s="9"/>
      <c r="AD96" s="9"/>
      <c r="AE96" s="201"/>
      <c r="AF96" s="201"/>
      <c r="AG96" s="201"/>
      <c r="AH96" s="201"/>
      <c r="AI96" s="201"/>
      <c r="AJ96" s="201"/>
      <c r="AK96" s="201"/>
      <c r="AL96" s="201"/>
      <c r="AM96" s="201"/>
      <c r="AN96" s="201"/>
      <c r="AO96" s="201"/>
      <c r="AP96" s="201"/>
      <c r="AQ96" s="201"/>
      <c r="AR96" s="201"/>
      <c r="AS96" s="201"/>
      <c r="AT96" s="201"/>
      <c r="AU96" s="201"/>
    </row>
    <row r="97" spans="1:47" outlineLevel="1">
      <c r="A97" s="12"/>
      <c r="B97" s="12"/>
      <c r="C97" s="12"/>
      <c r="D97" s="12"/>
      <c r="E97" s="12"/>
      <c r="F97" s="304">
        <f>Asset23</f>
        <v>0</v>
      </c>
      <c r="G97" s="303"/>
      <c r="H97" s="66"/>
      <c r="I97" s="66"/>
      <c r="J97" s="66"/>
      <c r="K97" s="66"/>
      <c r="L97" s="66"/>
      <c r="M97" s="200"/>
      <c r="N97" s="199"/>
      <c r="O97" s="199"/>
      <c r="P97" s="199"/>
      <c r="Q97" s="199"/>
      <c r="R97" s="8"/>
      <c r="S97" s="8"/>
      <c r="T97" s="8"/>
      <c r="U97" s="8"/>
      <c r="V97" s="8"/>
      <c r="W97" s="42"/>
      <c r="X97" s="9"/>
      <c r="Y97" s="9"/>
      <c r="Z97" s="9"/>
      <c r="AA97" s="9"/>
      <c r="AB97" s="9"/>
      <c r="AC97" s="9"/>
      <c r="AD97" s="9"/>
      <c r="AE97" s="201"/>
      <c r="AF97" s="201"/>
      <c r="AG97" s="201"/>
      <c r="AH97" s="201"/>
      <c r="AI97" s="201"/>
      <c r="AJ97" s="201"/>
      <c r="AK97" s="201"/>
      <c r="AL97" s="201"/>
      <c r="AM97" s="201"/>
      <c r="AN97" s="201"/>
      <c r="AO97" s="201"/>
      <c r="AP97" s="201"/>
      <c r="AQ97" s="201"/>
      <c r="AR97" s="201"/>
      <c r="AS97" s="201"/>
      <c r="AT97" s="201"/>
      <c r="AU97" s="201"/>
    </row>
    <row r="98" spans="1:47" outlineLevel="1">
      <c r="A98" s="12"/>
      <c r="B98" s="12"/>
      <c r="C98" s="12"/>
      <c r="D98" s="12"/>
      <c r="E98" s="12"/>
      <c r="F98" s="304">
        <f>Asset24</f>
        <v>0</v>
      </c>
      <c r="G98" s="303"/>
      <c r="H98" s="66"/>
      <c r="I98" s="66"/>
      <c r="J98" s="66"/>
      <c r="K98" s="66"/>
      <c r="L98" s="66"/>
      <c r="M98" s="200"/>
      <c r="N98" s="199"/>
      <c r="O98" s="199"/>
      <c r="P98" s="199"/>
      <c r="Q98" s="199"/>
      <c r="R98" s="8"/>
      <c r="S98" s="8"/>
      <c r="T98" s="8"/>
      <c r="U98" s="8"/>
      <c r="V98" s="8"/>
      <c r="W98" s="42"/>
      <c r="X98" s="9"/>
      <c r="Y98" s="9"/>
      <c r="Z98" s="9"/>
      <c r="AA98" s="9"/>
      <c r="AB98" s="9"/>
      <c r="AC98" s="9"/>
      <c r="AD98" s="9"/>
      <c r="AE98" s="201"/>
      <c r="AF98" s="201"/>
      <c r="AG98" s="201"/>
      <c r="AH98" s="201"/>
      <c r="AI98" s="201"/>
      <c r="AJ98" s="201"/>
      <c r="AK98" s="201"/>
      <c r="AL98" s="201"/>
      <c r="AM98" s="201"/>
      <c r="AN98" s="201"/>
      <c r="AO98" s="201"/>
      <c r="AP98" s="201"/>
      <c r="AQ98" s="201"/>
      <c r="AR98" s="201"/>
      <c r="AS98" s="201"/>
      <c r="AT98" s="201"/>
      <c r="AU98" s="201"/>
    </row>
    <row r="99" spans="1:47" outlineLevel="1">
      <c r="A99" s="12"/>
      <c r="B99" s="12"/>
      <c r="C99" s="12"/>
      <c r="D99" s="12"/>
      <c r="E99" s="12"/>
      <c r="F99" s="304">
        <f>Asset25</f>
        <v>0</v>
      </c>
      <c r="G99" s="303"/>
      <c r="H99" s="66"/>
      <c r="I99" s="66"/>
      <c r="J99" s="66"/>
      <c r="K99" s="66"/>
      <c r="L99" s="66"/>
      <c r="M99" s="200"/>
      <c r="N99" s="199"/>
      <c r="O99" s="199"/>
      <c r="P99" s="199"/>
      <c r="Q99" s="199"/>
      <c r="R99" s="8"/>
      <c r="S99" s="8"/>
      <c r="T99" s="8"/>
      <c r="U99" s="8"/>
      <c r="V99" s="8"/>
      <c r="W99" s="42"/>
      <c r="X99" s="9"/>
      <c r="Y99" s="9"/>
      <c r="Z99" s="9"/>
      <c r="AA99" s="9"/>
      <c r="AB99" s="9"/>
      <c r="AC99" s="9"/>
      <c r="AD99" s="9"/>
      <c r="AE99" s="201"/>
      <c r="AF99" s="201"/>
      <c r="AG99" s="201"/>
      <c r="AH99" s="201"/>
      <c r="AI99" s="201"/>
      <c r="AJ99" s="201"/>
      <c r="AK99" s="201"/>
      <c r="AL99" s="201"/>
      <c r="AM99" s="201"/>
      <c r="AN99" s="201"/>
      <c r="AO99" s="201"/>
      <c r="AP99" s="201"/>
      <c r="AQ99" s="201"/>
      <c r="AR99" s="201"/>
      <c r="AS99" s="201"/>
      <c r="AT99" s="201"/>
      <c r="AU99" s="201"/>
    </row>
    <row r="100" spans="1:47" outlineLevel="1">
      <c r="A100" s="12"/>
      <c r="B100" s="12"/>
      <c r="C100" s="12"/>
      <c r="D100" s="12"/>
      <c r="E100" s="12"/>
      <c r="F100" s="304">
        <f>Asset26</f>
        <v>0</v>
      </c>
      <c r="G100" s="303"/>
      <c r="H100" s="66"/>
      <c r="I100" s="66"/>
      <c r="J100" s="66"/>
      <c r="K100" s="66"/>
      <c r="L100" s="66"/>
      <c r="M100" s="200"/>
      <c r="N100" s="199"/>
      <c r="O100" s="199"/>
      <c r="P100" s="199"/>
      <c r="Q100" s="199"/>
      <c r="R100" s="8"/>
      <c r="S100" s="8"/>
      <c r="T100" s="8"/>
      <c r="U100" s="8"/>
      <c r="V100" s="8"/>
      <c r="W100" s="42"/>
      <c r="X100" s="9"/>
      <c r="Y100" s="9"/>
      <c r="Z100" s="9"/>
      <c r="AA100" s="9"/>
      <c r="AB100" s="9"/>
      <c r="AC100" s="9"/>
      <c r="AD100" s="9"/>
      <c r="AE100" s="201"/>
      <c r="AF100" s="201"/>
      <c r="AG100" s="201"/>
      <c r="AH100" s="201"/>
      <c r="AI100" s="201"/>
      <c r="AJ100" s="201"/>
      <c r="AK100" s="201"/>
      <c r="AL100" s="201"/>
      <c r="AM100" s="201"/>
      <c r="AN100" s="201"/>
      <c r="AO100" s="201"/>
      <c r="AP100" s="201"/>
      <c r="AQ100" s="201"/>
      <c r="AR100" s="201"/>
      <c r="AS100" s="201"/>
      <c r="AT100" s="201"/>
      <c r="AU100" s="201"/>
    </row>
    <row r="101" spans="1:47" outlineLevel="1">
      <c r="A101" s="12"/>
      <c r="B101" s="12"/>
      <c r="C101" s="12"/>
      <c r="D101" s="12"/>
      <c r="E101" s="12"/>
      <c r="F101" s="304">
        <f>Asset27</f>
        <v>0</v>
      </c>
      <c r="G101" s="303"/>
      <c r="H101" s="66"/>
      <c r="I101" s="66"/>
      <c r="J101" s="66"/>
      <c r="K101" s="66"/>
      <c r="L101" s="66"/>
      <c r="M101" s="200"/>
      <c r="N101" s="199"/>
      <c r="O101" s="199"/>
      <c r="P101" s="199"/>
      <c r="Q101" s="199"/>
      <c r="R101" s="8"/>
      <c r="S101" s="8"/>
      <c r="T101" s="8"/>
      <c r="U101" s="8"/>
      <c r="V101" s="8"/>
      <c r="W101" s="42"/>
      <c r="X101" s="9"/>
      <c r="Y101" s="9"/>
      <c r="Z101" s="9"/>
      <c r="AA101" s="9"/>
      <c r="AB101" s="9"/>
      <c r="AC101" s="9"/>
      <c r="AD101" s="9"/>
      <c r="AE101" s="201"/>
      <c r="AF101" s="201"/>
      <c r="AG101" s="201"/>
      <c r="AH101" s="201"/>
      <c r="AI101" s="201"/>
      <c r="AJ101" s="201"/>
      <c r="AK101" s="201"/>
      <c r="AL101" s="201"/>
      <c r="AM101" s="201"/>
      <c r="AN101" s="201"/>
      <c r="AO101" s="201"/>
      <c r="AP101" s="201"/>
      <c r="AQ101" s="201"/>
      <c r="AR101" s="201"/>
      <c r="AS101" s="201"/>
      <c r="AT101" s="201"/>
      <c r="AU101" s="201"/>
    </row>
    <row r="102" spans="1:47" outlineLevel="1">
      <c r="A102" s="12"/>
      <c r="B102" s="12"/>
      <c r="C102" s="12"/>
      <c r="D102" s="12"/>
      <c r="E102" s="12"/>
      <c r="F102" s="304">
        <f>Asset28</f>
        <v>0</v>
      </c>
      <c r="G102" s="303"/>
      <c r="H102" s="66"/>
      <c r="I102" s="66"/>
      <c r="J102" s="66"/>
      <c r="K102" s="66"/>
      <c r="L102" s="66"/>
      <c r="M102" s="200"/>
      <c r="N102" s="199"/>
      <c r="O102" s="199"/>
      <c r="P102" s="199"/>
      <c r="Q102" s="199"/>
      <c r="R102" s="8"/>
      <c r="S102" s="8"/>
      <c r="T102" s="8"/>
      <c r="U102" s="8"/>
      <c r="V102" s="8"/>
      <c r="W102" s="42"/>
      <c r="X102" s="9"/>
      <c r="Y102" s="9"/>
      <c r="Z102" s="9"/>
      <c r="AA102" s="9"/>
      <c r="AB102" s="9"/>
      <c r="AC102" s="9"/>
      <c r="AD102" s="9"/>
      <c r="AE102" s="201"/>
      <c r="AF102" s="201"/>
      <c r="AG102" s="201"/>
      <c r="AH102" s="201"/>
      <c r="AI102" s="201"/>
      <c r="AJ102" s="201"/>
      <c r="AK102" s="201"/>
      <c r="AL102" s="201"/>
      <c r="AM102" s="201"/>
      <c r="AN102" s="201"/>
      <c r="AO102" s="201"/>
      <c r="AP102" s="201"/>
      <c r="AQ102" s="201"/>
      <c r="AR102" s="201"/>
      <c r="AS102" s="201"/>
      <c r="AT102" s="201"/>
      <c r="AU102" s="201"/>
    </row>
    <row r="103" spans="1:47" outlineLevel="1">
      <c r="A103" s="12"/>
      <c r="B103" s="12"/>
      <c r="C103" s="12"/>
      <c r="D103" s="12"/>
      <c r="E103" s="12"/>
      <c r="F103" s="304">
        <f>Asset29</f>
        <v>0</v>
      </c>
      <c r="G103" s="303"/>
      <c r="H103" s="66"/>
      <c r="I103" s="66"/>
      <c r="J103" s="66"/>
      <c r="K103" s="66"/>
      <c r="L103" s="66"/>
      <c r="M103" s="200"/>
      <c r="N103" s="199"/>
      <c r="O103" s="199"/>
      <c r="P103" s="199"/>
      <c r="Q103" s="199"/>
      <c r="R103" s="8"/>
      <c r="S103" s="8"/>
      <c r="T103" s="8"/>
      <c r="U103" s="8"/>
      <c r="V103" s="8"/>
      <c r="W103" s="42"/>
      <c r="X103" s="9"/>
      <c r="Y103" s="9"/>
      <c r="Z103" s="9"/>
      <c r="AA103" s="9"/>
      <c r="AB103" s="9"/>
      <c r="AC103" s="9"/>
      <c r="AD103" s="9"/>
      <c r="AE103" s="201"/>
      <c r="AF103" s="201"/>
      <c r="AG103" s="201"/>
      <c r="AH103" s="201"/>
      <c r="AI103" s="201"/>
      <c r="AJ103" s="201"/>
      <c r="AK103" s="201"/>
      <c r="AL103" s="201"/>
      <c r="AM103" s="201"/>
      <c r="AN103" s="201"/>
      <c r="AO103" s="201"/>
      <c r="AP103" s="201"/>
      <c r="AQ103" s="201"/>
      <c r="AR103" s="201"/>
      <c r="AS103" s="201"/>
      <c r="AT103" s="201"/>
      <c r="AU103" s="201"/>
    </row>
    <row r="104" spans="1:47" outlineLevel="1">
      <c r="A104" s="12"/>
      <c r="B104" s="12"/>
      <c r="C104" s="12"/>
      <c r="D104" s="12"/>
      <c r="E104" s="12"/>
      <c r="F104" s="304">
        <f>Asset30</f>
        <v>0</v>
      </c>
      <c r="G104" s="303"/>
      <c r="H104" s="66"/>
      <c r="I104" s="66"/>
      <c r="J104" s="66"/>
      <c r="K104" s="66"/>
      <c r="L104" s="66"/>
      <c r="M104" s="200"/>
      <c r="N104" s="199"/>
      <c r="O104" s="199"/>
      <c r="P104" s="199"/>
      <c r="Q104" s="199"/>
      <c r="R104" s="8"/>
      <c r="S104" s="8"/>
      <c r="T104" s="8"/>
      <c r="U104" s="8"/>
      <c r="V104" s="8"/>
      <c r="W104" s="42"/>
      <c r="X104" s="9"/>
      <c r="Y104" s="9"/>
      <c r="Z104" s="9"/>
      <c r="AA104" s="9"/>
      <c r="AB104" s="9"/>
      <c r="AC104" s="9"/>
      <c r="AD104" s="9"/>
      <c r="AE104" s="201"/>
      <c r="AF104" s="201"/>
      <c r="AG104" s="201"/>
      <c r="AH104" s="201"/>
      <c r="AI104" s="201"/>
      <c r="AJ104" s="201"/>
      <c r="AK104" s="201"/>
      <c r="AL104" s="201"/>
      <c r="AM104" s="201"/>
      <c r="AN104" s="201"/>
      <c r="AO104" s="201"/>
      <c r="AP104" s="201"/>
      <c r="AQ104" s="201"/>
      <c r="AR104" s="201"/>
      <c r="AS104" s="201"/>
      <c r="AT104" s="201"/>
      <c r="AU104" s="201"/>
    </row>
    <row r="105" spans="1:47">
      <c r="A105" s="12"/>
      <c r="B105" s="12"/>
      <c r="C105" s="12"/>
      <c r="D105" s="12"/>
      <c r="E105" s="12"/>
      <c r="F105" s="177" t="s">
        <v>2</v>
      </c>
      <c r="G105" s="309">
        <f t="shared" ref="G105:Q105" si="4">SUM(G75:G104)</f>
        <v>0.81355032999999988</v>
      </c>
      <c r="H105" s="309">
        <f t="shared" si="4"/>
        <v>0.11268235000000001</v>
      </c>
      <c r="I105" s="309">
        <f t="shared" si="4"/>
        <v>2.8618610699999998</v>
      </c>
      <c r="J105" s="309">
        <f t="shared" si="4"/>
        <v>0.66887568800000008</v>
      </c>
      <c r="K105" s="309">
        <f t="shared" si="4"/>
        <v>0.54726599999999992</v>
      </c>
      <c r="L105" s="309">
        <f t="shared" si="4"/>
        <v>1.1780834817864565</v>
      </c>
      <c r="M105" s="309">
        <f t="shared" si="4"/>
        <v>0</v>
      </c>
      <c r="N105" s="309">
        <f t="shared" si="4"/>
        <v>0</v>
      </c>
      <c r="O105" s="309">
        <f t="shared" si="4"/>
        <v>0</v>
      </c>
      <c r="P105" s="309">
        <f t="shared" si="4"/>
        <v>0</v>
      </c>
      <c r="Q105" s="309">
        <f t="shared" si="4"/>
        <v>0</v>
      </c>
      <c r="R105" s="36"/>
      <c r="S105" s="36"/>
      <c r="T105" s="36"/>
      <c r="U105" s="36"/>
      <c r="V105" s="36"/>
      <c r="W105" s="36"/>
      <c r="X105" s="48"/>
      <c r="Y105" s="8"/>
      <c r="Z105" s="8"/>
      <c r="AA105" s="42"/>
      <c r="AB105" s="9"/>
      <c r="AC105" s="9"/>
      <c r="AD105" s="9"/>
      <c r="AE105" s="201"/>
      <c r="AF105" s="201"/>
      <c r="AG105" s="201"/>
      <c r="AH105" s="201"/>
      <c r="AI105" s="201"/>
      <c r="AJ105" s="201"/>
      <c r="AK105" s="201"/>
      <c r="AL105" s="201"/>
      <c r="AM105" s="201"/>
      <c r="AN105" s="201"/>
      <c r="AO105" s="201"/>
      <c r="AP105" s="201"/>
      <c r="AQ105" s="201"/>
      <c r="AR105" s="201"/>
      <c r="AS105" s="201"/>
      <c r="AT105" s="201"/>
      <c r="AU105" s="201"/>
    </row>
    <row r="106" spans="1:47" ht="21" customHeight="1">
      <c r="A106" s="9"/>
      <c r="B106" s="9"/>
      <c r="C106" s="9"/>
      <c r="D106" s="9"/>
      <c r="E106" s="9"/>
      <c r="F106" s="9"/>
      <c r="G106" s="9"/>
      <c r="H106" s="18"/>
      <c r="I106" s="20"/>
      <c r="J106" s="9"/>
      <c r="K106" s="9"/>
      <c r="L106" s="9"/>
      <c r="M106" s="9"/>
      <c r="N106" s="9"/>
      <c r="O106" s="9"/>
      <c r="P106" s="9"/>
      <c r="Q106" s="9"/>
      <c r="R106" s="245">
        <f>SUM(G105:Q105)</f>
        <v>6.1823189197864554</v>
      </c>
      <c r="S106" s="9"/>
      <c r="T106" s="9"/>
      <c r="U106" s="9"/>
      <c r="V106" s="9"/>
      <c r="W106" s="9"/>
      <c r="X106" s="9"/>
      <c r="Y106" s="9"/>
      <c r="Z106" s="9"/>
      <c r="AA106" s="19"/>
      <c r="AB106" s="9"/>
      <c r="AC106" s="9"/>
      <c r="AD106" s="9"/>
      <c r="AE106" s="201"/>
      <c r="AF106" s="201"/>
      <c r="AG106" s="201"/>
      <c r="AH106" s="201"/>
      <c r="AI106" s="201"/>
      <c r="AJ106" s="201"/>
      <c r="AK106" s="201"/>
      <c r="AL106" s="201"/>
      <c r="AM106" s="201"/>
      <c r="AN106" s="201"/>
      <c r="AO106" s="201"/>
      <c r="AP106" s="201"/>
      <c r="AQ106" s="201"/>
      <c r="AR106" s="201"/>
      <c r="AS106" s="201"/>
      <c r="AT106" s="201"/>
      <c r="AU106" s="201"/>
    </row>
    <row r="107" spans="1:47" ht="13.5" customHeight="1">
      <c r="A107" s="78"/>
      <c r="B107" s="78"/>
      <c r="C107" s="78"/>
      <c r="D107" s="78"/>
      <c r="E107" s="78"/>
      <c r="F107" s="530" t="s">
        <v>116</v>
      </c>
      <c r="G107" s="530"/>
      <c r="H107" s="160"/>
      <c r="I107" s="160"/>
      <c r="J107" s="160"/>
      <c r="K107" s="81"/>
      <c r="L107" s="81"/>
      <c r="M107" s="79"/>
      <c r="N107" s="79"/>
      <c r="O107" s="79"/>
      <c r="P107" s="79"/>
      <c r="Q107" s="79"/>
      <c r="R107" s="79"/>
      <c r="S107" s="79"/>
      <c r="T107" s="79"/>
      <c r="U107" s="79"/>
      <c r="V107" s="79"/>
      <c r="W107" s="79"/>
      <c r="X107" s="8"/>
      <c r="Y107" s="8"/>
      <c r="Z107" s="8"/>
      <c r="AA107" s="8"/>
      <c r="AB107" s="42"/>
      <c r="AC107" s="9"/>
      <c r="AD107" s="9"/>
      <c r="AE107" s="201"/>
      <c r="AF107" s="201"/>
      <c r="AG107" s="201"/>
      <c r="AH107" s="201"/>
      <c r="AI107" s="201"/>
      <c r="AJ107" s="201"/>
      <c r="AK107" s="201"/>
      <c r="AL107" s="201"/>
      <c r="AM107" s="201"/>
      <c r="AN107" s="201"/>
      <c r="AO107" s="201"/>
      <c r="AP107" s="201"/>
      <c r="AQ107" s="201"/>
      <c r="AR107" s="201"/>
      <c r="AS107" s="201"/>
      <c r="AT107" s="201"/>
      <c r="AU107" s="201"/>
    </row>
    <row r="108" spans="1:47">
      <c r="A108" s="12"/>
      <c r="B108" s="12"/>
      <c r="C108" s="12"/>
      <c r="D108" s="12"/>
      <c r="E108" s="12"/>
      <c r="F108" s="37" t="s">
        <v>1</v>
      </c>
      <c r="G108" s="244">
        <f>G74</f>
        <v>2010</v>
      </c>
      <c r="H108" s="244">
        <f t="shared" ref="H108:Q108" si="5">H74</f>
        <v>2011</v>
      </c>
      <c r="I108" s="244">
        <f t="shared" si="5"/>
        <v>2012</v>
      </c>
      <c r="J108" s="244">
        <f t="shared" si="5"/>
        <v>2013</v>
      </c>
      <c r="K108" s="244">
        <f t="shared" si="5"/>
        <v>2014</v>
      </c>
      <c r="L108" s="244">
        <f t="shared" si="5"/>
        <v>2015</v>
      </c>
      <c r="M108" s="244">
        <f t="shared" si="5"/>
        <v>2016</v>
      </c>
      <c r="N108" s="244">
        <f t="shared" si="5"/>
        <v>2017</v>
      </c>
      <c r="O108" s="244">
        <f t="shared" si="5"/>
        <v>2018</v>
      </c>
      <c r="P108" s="244">
        <f t="shared" si="5"/>
        <v>2019</v>
      </c>
      <c r="Q108" s="244">
        <f t="shared" si="5"/>
        <v>2020</v>
      </c>
      <c r="R108" s="8"/>
      <c r="S108" s="8"/>
      <c r="T108" s="8"/>
      <c r="U108" s="8"/>
      <c r="V108" s="8"/>
      <c r="W108" s="42"/>
      <c r="X108" s="9"/>
      <c r="Y108" s="9"/>
      <c r="Z108" s="9"/>
      <c r="AA108" s="9"/>
      <c r="AB108" s="9"/>
      <c r="AC108" s="9"/>
      <c r="AD108" s="9"/>
      <c r="AE108" s="201"/>
      <c r="AF108" s="201"/>
      <c r="AG108" s="201"/>
      <c r="AH108" s="201"/>
      <c r="AI108" s="201"/>
      <c r="AJ108" s="201"/>
      <c r="AK108" s="201"/>
      <c r="AL108" s="201"/>
      <c r="AM108" s="201"/>
      <c r="AN108" s="201"/>
      <c r="AO108" s="201"/>
      <c r="AP108" s="201"/>
      <c r="AQ108" s="201"/>
      <c r="AR108" s="201"/>
      <c r="AS108" s="201"/>
      <c r="AT108" s="201"/>
      <c r="AU108" s="201"/>
    </row>
    <row r="109" spans="1:47" outlineLevel="1">
      <c r="A109" s="12"/>
      <c r="B109" s="12"/>
      <c r="C109" s="12"/>
      <c r="D109" s="12"/>
      <c r="E109" s="12"/>
      <c r="F109" s="177" t="str">
        <f>Asset1</f>
        <v>Subtransmission</v>
      </c>
      <c r="G109" s="167">
        <v>0</v>
      </c>
      <c r="H109" s="332">
        <v>0</v>
      </c>
      <c r="I109" s="65">
        <v>0</v>
      </c>
      <c r="J109" s="65">
        <v>0</v>
      </c>
      <c r="K109" s="451">
        <v>0</v>
      </c>
      <c r="L109" s="451"/>
      <c r="M109" s="196"/>
      <c r="N109" s="197"/>
      <c r="O109" s="197"/>
      <c r="P109" s="197"/>
      <c r="Q109" s="197"/>
      <c r="R109" s="8"/>
      <c r="S109" s="8"/>
      <c r="T109" s="8"/>
      <c r="U109" s="8"/>
      <c r="V109" s="8"/>
      <c r="W109" s="42"/>
      <c r="X109" s="9"/>
      <c r="Y109" s="9"/>
      <c r="Z109" s="9"/>
      <c r="AA109" s="9"/>
      <c r="AB109" s="9"/>
      <c r="AC109" s="9"/>
      <c r="AD109" s="9"/>
      <c r="AE109" s="201"/>
      <c r="AF109" s="201"/>
      <c r="AG109" s="201"/>
      <c r="AH109" s="201"/>
      <c r="AI109" s="201"/>
      <c r="AJ109" s="201"/>
      <c r="AK109" s="201"/>
      <c r="AL109" s="201"/>
      <c r="AM109" s="201"/>
      <c r="AN109" s="201"/>
      <c r="AO109" s="201"/>
      <c r="AP109" s="201"/>
      <c r="AQ109" s="201"/>
      <c r="AR109" s="201"/>
      <c r="AS109" s="201"/>
      <c r="AT109" s="201"/>
      <c r="AU109" s="201"/>
    </row>
    <row r="110" spans="1:47" outlineLevel="1">
      <c r="A110" s="12"/>
      <c r="B110" s="12"/>
      <c r="C110" s="12"/>
      <c r="D110" s="12"/>
      <c r="E110" s="12"/>
      <c r="F110" s="177" t="str">
        <f>Asset2</f>
        <v>Distribution system assets</v>
      </c>
      <c r="G110" s="167">
        <v>32.713460590000004</v>
      </c>
      <c r="H110" s="332">
        <v>29.614305869999999</v>
      </c>
      <c r="I110" s="66">
        <v>24.698322760000003</v>
      </c>
      <c r="J110" s="66">
        <v>22.796053150000002</v>
      </c>
      <c r="K110" s="451">
        <v>44.588195179126274</v>
      </c>
      <c r="L110" s="451">
        <v>36.283072508676049</v>
      </c>
      <c r="M110" s="200"/>
      <c r="N110" s="199"/>
      <c r="O110" s="199"/>
      <c r="P110" s="199"/>
      <c r="Q110" s="199"/>
      <c r="R110" s="8"/>
      <c r="S110" s="8"/>
      <c r="T110" s="8"/>
      <c r="U110" s="8"/>
      <c r="V110" s="8"/>
      <c r="W110" s="42"/>
      <c r="X110" s="9"/>
      <c r="Y110" s="9"/>
      <c r="Z110" s="9"/>
      <c r="AA110" s="9"/>
      <c r="AB110" s="9"/>
      <c r="AC110" s="9"/>
      <c r="AD110" s="9"/>
      <c r="AE110" s="201"/>
      <c r="AF110" s="201"/>
      <c r="AG110" s="201"/>
      <c r="AH110" s="201"/>
      <c r="AI110" s="201"/>
      <c r="AJ110" s="201"/>
      <c r="AK110" s="201"/>
      <c r="AL110" s="201"/>
      <c r="AM110" s="201"/>
      <c r="AN110" s="201"/>
      <c r="AO110" s="201"/>
      <c r="AP110" s="201"/>
      <c r="AQ110" s="201"/>
      <c r="AR110" s="201"/>
      <c r="AS110" s="201"/>
      <c r="AT110" s="201"/>
      <c r="AU110" s="201"/>
    </row>
    <row r="111" spans="1:47" outlineLevel="1">
      <c r="A111" s="12"/>
      <c r="B111" s="12"/>
      <c r="C111" s="12"/>
      <c r="D111" s="12"/>
      <c r="E111" s="12"/>
      <c r="F111" s="177" t="str">
        <f>Asset3</f>
        <v>Standard metering</v>
      </c>
      <c r="G111" s="167">
        <v>0</v>
      </c>
      <c r="H111" s="332">
        <v>0</v>
      </c>
      <c r="I111" s="66">
        <v>0</v>
      </c>
      <c r="J111" s="66">
        <v>0</v>
      </c>
      <c r="K111" s="451">
        <v>0</v>
      </c>
      <c r="L111" s="451"/>
      <c r="M111" s="200"/>
      <c r="N111" s="199"/>
      <c r="O111" s="199"/>
      <c r="P111" s="199"/>
      <c r="Q111" s="199"/>
      <c r="R111" s="8"/>
      <c r="S111" s="8"/>
      <c r="T111" s="8"/>
      <c r="U111" s="8"/>
      <c r="V111" s="8"/>
      <c r="W111" s="42"/>
      <c r="X111" s="9"/>
      <c r="Y111" s="9"/>
      <c r="Z111" s="9"/>
      <c r="AA111" s="9"/>
      <c r="AB111" s="9"/>
      <c r="AC111" s="9"/>
      <c r="AD111" s="9"/>
      <c r="AE111" s="201"/>
      <c r="AF111" s="201"/>
      <c r="AG111" s="201"/>
      <c r="AH111" s="201"/>
      <c r="AI111" s="201"/>
      <c r="AJ111" s="201"/>
      <c r="AK111" s="201"/>
      <c r="AL111" s="201"/>
      <c r="AM111" s="201"/>
      <c r="AN111" s="201"/>
      <c r="AO111" s="201"/>
      <c r="AP111" s="201"/>
      <c r="AQ111" s="201"/>
      <c r="AR111" s="201"/>
      <c r="AS111" s="201"/>
      <c r="AT111" s="201"/>
      <c r="AU111" s="201"/>
    </row>
    <row r="112" spans="1:47" outlineLevel="1">
      <c r="A112" s="12"/>
      <c r="B112" s="12"/>
      <c r="C112" s="12"/>
      <c r="D112" s="12"/>
      <c r="E112" s="12"/>
      <c r="F112" s="177" t="str">
        <f>Asset4</f>
        <v>Public lighting</v>
      </c>
      <c r="G112" s="167">
        <v>0</v>
      </c>
      <c r="H112" s="332">
        <v>0</v>
      </c>
      <c r="I112" s="66">
        <v>0</v>
      </c>
      <c r="J112" s="66">
        <v>0</v>
      </c>
      <c r="K112" s="451">
        <v>0</v>
      </c>
      <c r="L112" s="451"/>
      <c r="M112" s="200"/>
      <c r="N112" s="199"/>
      <c r="O112" s="199"/>
      <c r="P112" s="199"/>
      <c r="Q112" s="199"/>
      <c r="R112" s="8"/>
      <c r="S112" s="8"/>
      <c r="T112" s="8"/>
      <c r="U112" s="8"/>
      <c r="V112" s="8"/>
      <c r="W112" s="42"/>
      <c r="X112" s="9"/>
      <c r="Y112" s="9"/>
      <c r="Z112" s="9"/>
      <c r="AA112" s="9"/>
      <c r="AB112" s="9"/>
      <c r="AC112" s="9"/>
      <c r="AD112" s="9"/>
      <c r="AE112" s="201"/>
      <c r="AF112" s="201"/>
      <c r="AG112" s="201"/>
      <c r="AH112" s="201"/>
      <c r="AI112" s="201"/>
      <c r="AJ112" s="201"/>
      <c r="AK112" s="201"/>
      <c r="AL112" s="201"/>
      <c r="AM112" s="201"/>
      <c r="AN112" s="201"/>
      <c r="AO112" s="201"/>
      <c r="AP112" s="201"/>
      <c r="AQ112" s="201"/>
      <c r="AR112" s="201"/>
      <c r="AS112" s="201"/>
      <c r="AT112" s="201"/>
      <c r="AU112" s="201"/>
    </row>
    <row r="113" spans="1:47" outlineLevel="1">
      <c r="A113" s="12"/>
      <c r="B113" s="12"/>
      <c r="C113" s="12"/>
      <c r="D113" s="12"/>
      <c r="E113" s="12"/>
      <c r="F113" s="177" t="str">
        <f>Asset5</f>
        <v>SCADA/Network control</v>
      </c>
      <c r="G113" s="167">
        <v>0</v>
      </c>
      <c r="H113" s="332">
        <v>0</v>
      </c>
      <c r="I113" s="66">
        <v>0</v>
      </c>
      <c r="J113" s="66">
        <v>0</v>
      </c>
      <c r="K113" s="451">
        <v>0</v>
      </c>
      <c r="L113" s="451"/>
      <c r="M113" s="200"/>
      <c r="N113" s="199"/>
      <c r="O113" s="199"/>
      <c r="P113" s="199"/>
      <c r="Q113" s="199"/>
      <c r="R113" s="8"/>
      <c r="S113" s="8"/>
      <c r="T113" s="8"/>
      <c r="U113" s="8"/>
      <c r="V113" s="8"/>
      <c r="W113" s="42"/>
      <c r="X113" s="9"/>
      <c r="Y113" s="9"/>
      <c r="Z113" s="9"/>
      <c r="AA113" s="9"/>
      <c r="AB113" s="9"/>
      <c r="AC113" s="9"/>
      <c r="AD113" s="9"/>
      <c r="AE113" s="201"/>
      <c r="AF113" s="201"/>
      <c r="AG113" s="201"/>
      <c r="AH113" s="201"/>
      <c r="AI113" s="201"/>
      <c r="AJ113" s="201"/>
      <c r="AK113" s="201"/>
      <c r="AL113" s="201"/>
      <c r="AM113" s="201"/>
      <c r="AN113" s="201"/>
      <c r="AO113" s="201"/>
      <c r="AP113" s="201"/>
      <c r="AQ113" s="201"/>
      <c r="AR113" s="201"/>
      <c r="AS113" s="201"/>
      <c r="AT113" s="201"/>
      <c r="AU113" s="201"/>
    </row>
    <row r="114" spans="1:47" outlineLevel="1">
      <c r="A114" s="12"/>
      <c r="B114" s="12"/>
      <c r="C114" s="12"/>
      <c r="D114" s="12"/>
      <c r="E114" s="12"/>
      <c r="F114" s="177" t="str">
        <f>Asset6</f>
        <v>Non-network general assets - IT</v>
      </c>
      <c r="G114" s="167">
        <v>0</v>
      </c>
      <c r="H114" s="332">
        <v>0</v>
      </c>
      <c r="I114" s="66">
        <v>0</v>
      </c>
      <c r="J114" s="66">
        <v>0</v>
      </c>
      <c r="K114" s="451">
        <v>0</v>
      </c>
      <c r="L114" s="451"/>
      <c r="M114" s="200"/>
      <c r="N114" s="199"/>
      <c r="O114" s="199"/>
      <c r="P114" s="199"/>
      <c r="Q114" s="199"/>
      <c r="R114" s="8"/>
      <c r="S114" s="8"/>
      <c r="T114" s="8"/>
      <c r="U114" s="8"/>
      <c r="V114" s="8"/>
      <c r="W114" s="42"/>
      <c r="X114" s="9"/>
      <c r="Y114" s="9"/>
      <c r="Z114" s="9"/>
      <c r="AA114" s="9"/>
      <c r="AB114" s="9"/>
      <c r="AC114" s="9"/>
      <c r="AD114" s="9"/>
      <c r="AE114" s="201"/>
      <c r="AF114" s="201"/>
      <c r="AG114" s="201"/>
      <c r="AH114" s="201"/>
      <c r="AI114" s="201"/>
      <c r="AJ114" s="201"/>
      <c r="AK114" s="201"/>
      <c r="AL114" s="201"/>
      <c r="AM114" s="201"/>
      <c r="AN114" s="201"/>
      <c r="AO114" s="201"/>
      <c r="AP114" s="201"/>
      <c r="AQ114" s="201"/>
      <c r="AR114" s="201"/>
      <c r="AS114" s="201"/>
      <c r="AT114" s="201"/>
      <c r="AU114" s="201"/>
    </row>
    <row r="115" spans="1:47" outlineLevel="1">
      <c r="A115" s="12"/>
      <c r="B115" s="12"/>
      <c r="C115" s="12"/>
      <c r="D115" s="12"/>
      <c r="E115" s="12"/>
      <c r="F115" s="177" t="str">
        <f>Asset7</f>
        <v>Non-network general assets - Other</v>
      </c>
      <c r="G115" s="167">
        <v>0</v>
      </c>
      <c r="H115" s="332">
        <v>0</v>
      </c>
      <c r="I115" s="66">
        <v>0</v>
      </c>
      <c r="J115" s="66">
        <v>0</v>
      </c>
      <c r="K115" s="451">
        <v>0</v>
      </c>
      <c r="L115" s="451"/>
      <c r="M115" s="200"/>
      <c r="N115" s="199"/>
      <c r="O115" s="199"/>
      <c r="P115" s="199"/>
      <c r="Q115" s="199"/>
      <c r="R115" s="8"/>
      <c r="S115" s="8"/>
      <c r="T115" s="8"/>
      <c r="U115" s="8"/>
      <c r="V115" s="8"/>
      <c r="W115" s="42"/>
      <c r="X115" s="9"/>
      <c r="Y115" s="9"/>
      <c r="Z115" s="9"/>
      <c r="AA115" s="9"/>
      <c r="AB115" s="9"/>
      <c r="AC115" s="9"/>
      <c r="AD115" s="9"/>
      <c r="AE115" s="201"/>
      <c r="AF115" s="201"/>
      <c r="AG115" s="201"/>
      <c r="AH115" s="201"/>
      <c r="AI115" s="201"/>
      <c r="AJ115" s="201"/>
      <c r="AK115" s="201"/>
      <c r="AL115" s="201"/>
      <c r="AM115" s="201"/>
      <c r="AN115" s="201"/>
      <c r="AO115" s="201"/>
      <c r="AP115" s="201"/>
      <c r="AQ115" s="201"/>
      <c r="AR115" s="201"/>
      <c r="AS115" s="201"/>
      <c r="AT115" s="201"/>
      <c r="AU115" s="201"/>
    </row>
    <row r="116" spans="1:47" outlineLevel="1">
      <c r="A116" s="12"/>
      <c r="B116" s="12"/>
      <c r="C116" s="12"/>
      <c r="D116" s="12"/>
      <c r="E116" s="12"/>
      <c r="F116" s="177" t="str">
        <f>Asset8</f>
        <v>Equity Raising Costs</v>
      </c>
      <c r="G116" s="167">
        <v>0</v>
      </c>
      <c r="H116" s="66">
        <v>0</v>
      </c>
      <c r="I116" s="66">
        <v>0</v>
      </c>
      <c r="J116" s="66">
        <v>0</v>
      </c>
      <c r="K116" s="451">
        <v>0</v>
      </c>
      <c r="L116" s="451"/>
      <c r="M116" s="200"/>
      <c r="N116" s="199"/>
      <c r="O116" s="199"/>
      <c r="P116" s="199"/>
      <c r="Q116" s="199"/>
      <c r="R116" s="8"/>
      <c r="S116" s="8"/>
      <c r="T116" s="8"/>
      <c r="U116" s="8"/>
      <c r="V116" s="8"/>
      <c r="W116" s="42"/>
      <c r="X116" s="9"/>
      <c r="Y116" s="9"/>
      <c r="Z116" s="9"/>
      <c r="AA116" s="9"/>
      <c r="AB116" s="9"/>
      <c r="AC116" s="9"/>
      <c r="AD116" s="9"/>
      <c r="AE116" s="201"/>
      <c r="AF116" s="201"/>
      <c r="AG116" s="201"/>
      <c r="AH116" s="201"/>
      <c r="AI116" s="201"/>
      <c r="AJ116" s="201"/>
      <c r="AK116" s="201"/>
      <c r="AL116" s="201"/>
      <c r="AM116" s="201"/>
      <c r="AN116" s="201"/>
      <c r="AO116" s="201"/>
      <c r="AP116" s="201"/>
      <c r="AQ116" s="201"/>
      <c r="AR116" s="201"/>
      <c r="AS116" s="201"/>
      <c r="AT116" s="201"/>
      <c r="AU116" s="201"/>
    </row>
    <row r="117" spans="1:47" outlineLevel="1">
      <c r="A117" s="12"/>
      <c r="B117" s="12"/>
      <c r="C117" s="12"/>
      <c r="D117" s="12"/>
      <c r="E117" s="12"/>
      <c r="F117" s="177">
        <f>Asset9</f>
        <v>0</v>
      </c>
      <c r="G117" s="167"/>
      <c r="H117" s="66"/>
      <c r="I117" s="66"/>
      <c r="J117" s="66"/>
      <c r="K117" s="66"/>
      <c r="L117" s="66"/>
      <c r="M117" s="200"/>
      <c r="N117" s="199"/>
      <c r="O117" s="199"/>
      <c r="P117" s="199"/>
      <c r="Q117" s="199"/>
      <c r="R117" s="8"/>
      <c r="S117" s="8"/>
      <c r="T117" s="8"/>
      <c r="U117" s="8"/>
      <c r="V117" s="8"/>
      <c r="W117" s="42"/>
      <c r="X117" s="9"/>
      <c r="Y117" s="9"/>
      <c r="Z117" s="9"/>
      <c r="AA117" s="9"/>
      <c r="AB117" s="9"/>
      <c r="AC117" s="9"/>
      <c r="AD117" s="9"/>
      <c r="AE117" s="201"/>
      <c r="AF117" s="201"/>
      <c r="AG117" s="201"/>
      <c r="AH117" s="201"/>
      <c r="AI117" s="201"/>
      <c r="AJ117" s="201"/>
      <c r="AK117" s="201"/>
      <c r="AL117" s="201"/>
      <c r="AM117" s="201"/>
      <c r="AN117" s="201"/>
      <c r="AO117" s="201"/>
      <c r="AP117" s="201"/>
      <c r="AQ117" s="201"/>
      <c r="AR117" s="201"/>
      <c r="AS117" s="201"/>
      <c r="AT117" s="201"/>
      <c r="AU117" s="201"/>
    </row>
    <row r="118" spans="1:47" outlineLevel="1">
      <c r="A118" s="12"/>
      <c r="B118" s="12"/>
      <c r="C118" s="12"/>
      <c r="D118" s="12"/>
      <c r="E118" s="12"/>
      <c r="F118" s="177">
        <f>Asset10</f>
        <v>0</v>
      </c>
      <c r="G118" s="167"/>
      <c r="H118" s="332"/>
      <c r="I118" s="66"/>
      <c r="J118" s="66"/>
      <c r="K118" s="66"/>
      <c r="L118" s="66"/>
      <c r="M118" s="200"/>
      <c r="N118" s="199"/>
      <c r="O118" s="199"/>
      <c r="P118" s="199"/>
      <c r="Q118" s="199"/>
      <c r="R118" s="8"/>
      <c r="S118" s="8"/>
      <c r="T118" s="8"/>
      <c r="U118" s="8"/>
      <c r="V118" s="8"/>
      <c r="W118" s="42"/>
      <c r="X118" s="9"/>
      <c r="Y118" s="9"/>
      <c r="Z118" s="9"/>
      <c r="AA118" s="9"/>
      <c r="AB118" s="9"/>
      <c r="AC118" s="9"/>
      <c r="AD118" s="9"/>
      <c r="AE118" s="201"/>
      <c r="AF118" s="201"/>
      <c r="AG118" s="201"/>
      <c r="AH118" s="201"/>
      <c r="AI118" s="201"/>
      <c r="AJ118" s="201"/>
      <c r="AK118" s="201"/>
      <c r="AL118" s="201"/>
      <c r="AM118" s="201"/>
      <c r="AN118" s="201"/>
      <c r="AO118" s="201"/>
      <c r="AP118" s="201"/>
      <c r="AQ118" s="201"/>
      <c r="AR118" s="201"/>
      <c r="AS118" s="201"/>
      <c r="AT118" s="201"/>
      <c r="AU118" s="201"/>
    </row>
    <row r="119" spans="1:47" outlineLevel="1">
      <c r="A119" s="12"/>
      <c r="B119" s="12"/>
      <c r="C119" s="12"/>
      <c r="D119" s="12"/>
      <c r="E119" s="12"/>
      <c r="F119" s="177">
        <f>Asset11</f>
        <v>0</v>
      </c>
      <c r="G119" s="167"/>
      <c r="H119" s="332"/>
      <c r="I119" s="66"/>
      <c r="J119" s="66"/>
      <c r="K119" s="66"/>
      <c r="L119" s="66"/>
      <c r="M119" s="200"/>
      <c r="N119" s="199"/>
      <c r="O119" s="199"/>
      <c r="P119" s="199"/>
      <c r="Q119" s="199"/>
      <c r="R119" s="8"/>
      <c r="S119" s="8"/>
      <c r="T119" s="8"/>
      <c r="U119" s="8"/>
      <c r="V119" s="8"/>
      <c r="W119" s="42"/>
      <c r="X119" s="9"/>
      <c r="Y119" s="9"/>
      <c r="Z119" s="9"/>
      <c r="AA119" s="9"/>
      <c r="AB119" s="9"/>
      <c r="AC119" s="9"/>
      <c r="AD119" s="9"/>
      <c r="AE119" s="201"/>
      <c r="AF119" s="201"/>
      <c r="AG119" s="201"/>
      <c r="AH119" s="201"/>
      <c r="AI119" s="201"/>
      <c r="AJ119" s="201"/>
      <c r="AK119" s="201"/>
      <c r="AL119" s="201"/>
      <c r="AM119" s="201"/>
      <c r="AN119" s="201"/>
      <c r="AO119" s="201"/>
      <c r="AP119" s="201"/>
      <c r="AQ119" s="201"/>
      <c r="AR119" s="201"/>
      <c r="AS119" s="201"/>
      <c r="AT119" s="201"/>
      <c r="AU119" s="201"/>
    </row>
    <row r="120" spans="1:47" outlineLevel="1">
      <c r="A120" s="12"/>
      <c r="B120" s="12"/>
      <c r="C120" s="12"/>
      <c r="D120" s="12"/>
      <c r="E120" s="12"/>
      <c r="F120" s="177">
        <f>Asset12</f>
        <v>0</v>
      </c>
      <c r="G120" s="167"/>
      <c r="H120" s="332"/>
      <c r="I120" s="66"/>
      <c r="J120" s="66"/>
      <c r="K120" s="66"/>
      <c r="L120" s="66"/>
      <c r="M120" s="200"/>
      <c r="N120" s="199"/>
      <c r="O120" s="199"/>
      <c r="P120" s="199"/>
      <c r="Q120" s="199"/>
      <c r="R120" s="8"/>
      <c r="S120" s="8"/>
      <c r="T120" s="8"/>
      <c r="U120" s="8"/>
      <c r="V120" s="8"/>
      <c r="W120" s="42"/>
      <c r="X120" s="9"/>
      <c r="Y120" s="9"/>
      <c r="Z120" s="9"/>
      <c r="AA120" s="9"/>
      <c r="AB120" s="9"/>
      <c r="AC120" s="9"/>
      <c r="AD120" s="9"/>
      <c r="AE120" s="201"/>
      <c r="AF120" s="201"/>
      <c r="AG120" s="201"/>
      <c r="AH120" s="201"/>
      <c r="AI120" s="201"/>
      <c r="AJ120" s="201"/>
      <c r="AK120" s="201"/>
      <c r="AL120" s="201"/>
      <c r="AM120" s="201"/>
      <c r="AN120" s="201"/>
      <c r="AO120" s="201"/>
      <c r="AP120" s="201"/>
      <c r="AQ120" s="201"/>
      <c r="AR120" s="201"/>
      <c r="AS120" s="201"/>
      <c r="AT120" s="201"/>
      <c r="AU120" s="201"/>
    </row>
    <row r="121" spans="1:47" outlineLevel="1">
      <c r="A121" s="12"/>
      <c r="B121" s="12"/>
      <c r="C121" s="12"/>
      <c r="D121" s="12"/>
      <c r="E121" s="12"/>
      <c r="F121" s="177">
        <f>Asset13</f>
        <v>0</v>
      </c>
      <c r="G121" s="167"/>
      <c r="H121" s="332"/>
      <c r="I121" s="66"/>
      <c r="J121" s="66"/>
      <c r="K121" s="66"/>
      <c r="L121" s="66"/>
      <c r="M121" s="200"/>
      <c r="N121" s="199"/>
      <c r="O121" s="199"/>
      <c r="P121" s="199"/>
      <c r="Q121" s="199"/>
      <c r="R121" s="8"/>
      <c r="S121" s="8"/>
      <c r="T121" s="8"/>
      <c r="U121" s="8"/>
      <c r="V121" s="8"/>
      <c r="W121" s="42"/>
      <c r="X121" s="9"/>
      <c r="Y121" s="9"/>
      <c r="Z121" s="9"/>
      <c r="AA121" s="9"/>
      <c r="AB121" s="9"/>
      <c r="AC121" s="9"/>
      <c r="AD121" s="9"/>
      <c r="AE121" s="201"/>
      <c r="AF121" s="201"/>
      <c r="AG121" s="201"/>
      <c r="AH121" s="201"/>
      <c r="AI121" s="201"/>
      <c r="AJ121" s="201"/>
      <c r="AK121" s="201"/>
      <c r="AL121" s="201"/>
      <c r="AM121" s="201"/>
      <c r="AN121" s="201"/>
      <c r="AO121" s="201"/>
      <c r="AP121" s="201"/>
      <c r="AQ121" s="201"/>
      <c r="AR121" s="201"/>
      <c r="AS121" s="201"/>
      <c r="AT121" s="201"/>
      <c r="AU121" s="201"/>
    </row>
    <row r="122" spans="1:47" outlineLevel="1">
      <c r="A122" s="12"/>
      <c r="B122" s="12"/>
      <c r="C122" s="12"/>
      <c r="D122" s="12"/>
      <c r="E122" s="12"/>
      <c r="F122" s="177">
        <f>Asset14</f>
        <v>0</v>
      </c>
      <c r="G122" s="167"/>
      <c r="H122" s="332"/>
      <c r="I122" s="66"/>
      <c r="J122" s="66"/>
      <c r="K122" s="66"/>
      <c r="L122" s="66"/>
      <c r="M122" s="200"/>
      <c r="N122" s="199"/>
      <c r="O122" s="199"/>
      <c r="P122" s="199"/>
      <c r="Q122" s="199"/>
      <c r="R122" s="8"/>
      <c r="S122" s="8"/>
      <c r="T122" s="8"/>
      <c r="U122" s="8"/>
      <c r="V122" s="8"/>
      <c r="W122" s="42"/>
      <c r="X122" s="9"/>
      <c r="Y122" s="9"/>
      <c r="Z122" s="9"/>
      <c r="AA122" s="9"/>
      <c r="AB122" s="9"/>
      <c r="AC122" s="9"/>
      <c r="AD122" s="9"/>
      <c r="AE122" s="201"/>
      <c r="AF122" s="201"/>
      <c r="AG122" s="201"/>
      <c r="AH122" s="201"/>
      <c r="AI122" s="201"/>
      <c r="AJ122" s="201"/>
      <c r="AK122" s="201"/>
      <c r="AL122" s="201"/>
      <c r="AM122" s="201"/>
      <c r="AN122" s="201"/>
      <c r="AO122" s="201"/>
      <c r="AP122" s="201"/>
      <c r="AQ122" s="201"/>
      <c r="AR122" s="201"/>
      <c r="AS122" s="201"/>
      <c r="AT122" s="201"/>
      <c r="AU122" s="201"/>
    </row>
    <row r="123" spans="1:47" outlineLevel="1">
      <c r="A123" s="12"/>
      <c r="B123" s="12"/>
      <c r="C123" s="12"/>
      <c r="D123" s="12"/>
      <c r="E123" s="12"/>
      <c r="F123" s="177">
        <f>Asset15</f>
        <v>0</v>
      </c>
      <c r="G123" s="167"/>
      <c r="H123" s="66"/>
      <c r="I123" s="66"/>
      <c r="J123" s="66"/>
      <c r="K123" s="66"/>
      <c r="L123" s="66"/>
      <c r="M123" s="200"/>
      <c r="N123" s="199"/>
      <c r="O123" s="199"/>
      <c r="P123" s="199"/>
      <c r="Q123" s="199"/>
      <c r="R123" s="8"/>
      <c r="S123" s="8"/>
      <c r="T123" s="8"/>
      <c r="U123" s="8"/>
      <c r="V123" s="8"/>
      <c r="W123" s="42"/>
      <c r="X123" s="9"/>
      <c r="Y123" s="9"/>
      <c r="Z123" s="9"/>
      <c r="AA123" s="9"/>
      <c r="AB123" s="9"/>
      <c r="AC123" s="9"/>
      <c r="AD123" s="9"/>
      <c r="AE123" s="201"/>
      <c r="AF123" s="201"/>
      <c r="AG123" s="201"/>
      <c r="AH123" s="201"/>
      <c r="AI123" s="201"/>
      <c r="AJ123" s="201"/>
      <c r="AK123" s="201"/>
      <c r="AL123" s="201"/>
      <c r="AM123" s="201"/>
      <c r="AN123" s="201"/>
      <c r="AO123" s="201"/>
      <c r="AP123" s="201"/>
      <c r="AQ123" s="201"/>
      <c r="AR123" s="201"/>
      <c r="AS123" s="201"/>
      <c r="AT123" s="201"/>
      <c r="AU123" s="201"/>
    </row>
    <row r="124" spans="1:47" outlineLevel="1">
      <c r="A124" s="12"/>
      <c r="B124" s="12"/>
      <c r="C124" s="12"/>
      <c r="D124" s="12"/>
      <c r="E124" s="12"/>
      <c r="F124" s="177">
        <f>Asset16</f>
        <v>0</v>
      </c>
      <c r="G124" s="167"/>
      <c r="H124" s="66"/>
      <c r="I124" s="66"/>
      <c r="J124" s="66"/>
      <c r="K124" s="66"/>
      <c r="L124" s="66"/>
      <c r="M124" s="200"/>
      <c r="N124" s="199"/>
      <c r="O124" s="199"/>
      <c r="P124" s="199"/>
      <c r="Q124" s="199"/>
      <c r="R124" s="8"/>
      <c r="S124" s="8"/>
      <c r="T124" s="8"/>
      <c r="U124" s="8"/>
      <c r="V124" s="8"/>
      <c r="W124" s="42"/>
      <c r="X124" s="9"/>
      <c r="Y124" s="9"/>
      <c r="Z124" s="9"/>
      <c r="AA124" s="9"/>
      <c r="AB124" s="9"/>
      <c r="AC124" s="9"/>
      <c r="AD124" s="9"/>
      <c r="AE124" s="201"/>
      <c r="AF124" s="201"/>
      <c r="AG124" s="201"/>
      <c r="AH124" s="201"/>
      <c r="AI124" s="201"/>
      <c r="AJ124" s="201"/>
      <c r="AK124" s="201"/>
      <c r="AL124" s="201"/>
      <c r="AM124" s="201"/>
      <c r="AN124" s="201"/>
      <c r="AO124" s="201"/>
      <c r="AP124" s="201"/>
      <c r="AQ124" s="201"/>
      <c r="AR124" s="201"/>
      <c r="AS124" s="201"/>
      <c r="AT124" s="201"/>
      <c r="AU124" s="201"/>
    </row>
    <row r="125" spans="1:47" outlineLevel="1">
      <c r="A125" s="12"/>
      <c r="B125" s="12"/>
      <c r="C125" s="12"/>
      <c r="D125" s="12"/>
      <c r="E125" s="12"/>
      <c r="F125" s="177">
        <f>Asset17</f>
        <v>0</v>
      </c>
      <c r="G125" s="167"/>
      <c r="H125" s="66"/>
      <c r="I125" s="66"/>
      <c r="J125" s="66"/>
      <c r="K125" s="66"/>
      <c r="L125" s="66"/>
      <c r="M125" s="200"/>
      <c r="N125" s="199"/>
      <c r="O125" s="199"/>
      <c r="P125" s="199"/>
      <c r="Q125" s="199"/>
      <c r="R125" s="8"/>
      <c r="S125" s="8"/>
      <c r="T125" s="8"/>
      <c r="U125" s="8"/>
      <c r="V125" s="8"/>
      <c r="W125" s="42"/>
      <c r="X125" s="9"/>
      <c r="Y125" s="9"/>
      <c r="Z125" s="9"/>
      <c r="AA125" s="9"/>
      <c r="AB125" s="9"/>
      <c r="AC125" s="9"/>
      <c r="AD125" s="9"/>
      <c r="AE125" s="201"/>
      <c r="AF125" s="201"/>
      <c r="AG125" s="201"/>
      <c r="AH125" s="201"/>
      <c r="AI125" s="201"/>
      <c r="AJ125" s="201"/>
      <c r="AK125" s="201"/>
      <c r="AL125" s="201"/>
      <c r="AM125" s="201"/>
      <c r="AN125" s="201"/>
      <c r="AO125" s="201"/>
      <c r="AP125" s="201"/>
      <c r="AQ125" s="201"/>
      <c r="AR125" s="201"/>
      <c r="AS125" s="201"/>
      <c r="AT125" s="201"/>
      <c r="AU125" s="201"/>
    </row>
    <row r="126" spans="1:47" outlineLevel="1">
      <c r="A126" s="12"/>
      <c r="B126" s="12"/>
      <c r="C126" s="12"/>
      <c r="D126" s="12"/>
      <c r="E126" s="12"/>
      <c r="F126" s="177">
        <f>Asset18</f>
        <v>0</v>
      </c>
      <c r="G126" s="167"/>
      <c r="H126" s="66"/>
      <c r="I126" s="66"/>
      <c r="J126" s="66"/>
      <c r="K126" s="66"/>
      <c r="L126" s="66"/>
      <c r="M126" s="200"/>
      <c r="N126" s="199"/>
      <c r="O126" s="199"/>
      <c r="P126" s="199"/>
      <c r="Q126" s="199"/>
      <c r="R126" s="8"/>
      <c r="S126" s="8"/>
      <c r="T126" s="8"/>
      <c r="U126" s="8"/>
      <c r="V126" s="8"/>
      <c r="W126" s="42"/>
      <c r="X126" s="9"/>
      <c r="Y126" s="9"/>
      <c r="Z126" s="9"/>
      <c r="AA126" s="9"/>
      <c r="AB126" s="9"/>
      <c r="AC126" s="9"/>
      <c r="AD126" s="9"/>
      <c r="AE126" s="201"/>
      <c r="AF126" s="201"/>
      <c r="AG126" s="201"/>
      <c r="AH126" s="201"/>
      <c r="AI126" s="201"/>
      <c r="AJ126" s="201"/>
      <c r="AK126" s="201"/>
      <c r="AL126" s="201"/>
      <c r="AM126" s="201"/>
      <c r="AN126" s="201"/>
      <c r="AO126" s="201"/>
      <c r="AP126" s="201"/>
      <c r="AQ126" s="201"/>
      <c r="AR126" s="201"/>
      <c r="AS126" s="201"/>
      <c r="AT126" s="201"/>
      <c r="AU126" s="201"/>
    </row>
    <row r="127" spans="1:47" outlineLevel="1">
      <c r="A127" s="12"/>
      <c r="B127" s="12"/>
      <c r="C127" s="12"/>
      <c r="D127" s="12"/>
      <c r="E127" s="12"/>
      <c r="F127" s="177">
        <f>Asset19</f>
        <v>0</v>
      </c>
      <c r="G127" s="167"/>
      <c r="H127" s="66"/>
      <c r="I127" s="66"/>
      <c r="J127" s="66"/>
      <c r="K127" s="66"/>
      <c r="L127" s="66"/>
      <c r="M127" s="200"/>
      <c r="N127" s="199"/>
      <c r="O127" s="199"/>
      <c r="P127" s="199"/>
      <c r="Q127" s="199"/>
      <c r="R127" s="8"/>
      <c r="S127" s="8"/>
      <c r="T127" s="8"/>
      <c r="U127" s="8"/>
      <c r="V127" s="8"/>
      <c r="W127" s="42"/>
      <c r="X127" s="9"/>
      <c r="Y127" s="9"/>
      <c r="Z127" s="9"/>
      <c r="AA127" s="9"/>
      <c r="AB127" s="9"/>
      <c r="AC127" s="9"/>
      <c r="AD127" s="9"/>
      <c r="AE127" s="201"/>
      <c r="AF127" s="201"/>
      <c r="AG127" s="201"/>
      <c r="AH127" s="201"/>
      <c r="AI127" s="201"/>
      <c r="AJ127" s="201"/>
      <c r="AK127" s="201"/>
      <c r="AL127" s="201"/>
      <c r="AM127" s="201"/>
      <c r="AN127" s="201"/>
      <c r="AO127" s="201"/>
      <c r="AP127" s="201"/>
      <c r="AQ127" s="201"/>
      <c r="AR127" s="201"/>
      <c r="AS127" s="201"/>
      <c r="AT127" s="201"/>
      <c r="AU127" s="201"/>
    </row>
    <row r="128" spans="1:47" outlineLevel="1">
      <c r="A128" s="12"/>
      <c r="B128" s="12"/>
      <c r="C128" s="12"/>
      <c r="D128" s="12"/>
      <c r="E128" s="12"/>
      <c r="F128" s="304">
        <f>Asset20</f>
        <v>0</v>
      </c>
      <c r="G128" s="303"/>
      <c r="H128" s="66"/>
      <c r="I128" s="66"/>
      <c r="J128" s="66"/>
      <c r="K128" s="66"/>
      <c r="L128" s="66"/>
      <c r="M128" s="200"/>
      <c r="N128" s="199"/>
      <c r="O128" s="199"/>
      <c r="P128" s="199"/>
      <c r="Q128" s="199"/>
      <c r="R128" s="8"/>
      <c r="S128" s="8"/>
      <c r="T128" s="8"/>
      <c r="U128" s="8"/>
      <c r="V128" s="8"/>
      <c r="W128" s="42"/>
      <c r="X128" s="9"/>
      <c r="Y128" s="9"/>
      <c r="Z128" s="9"/>
      <c r="AA128" s="9"/>
      <c r="AB128" s="9"/>
      <c r="AC128" s="9"/>
      <c r="AD128" s="9"/>
      <c r="AE128" s="201"/>
      <c r="AF128" s="201"/>
      <c r="AG128" s="201"/>
      <c r="AH128" s="201"/>
      <c r="AI128" s="201"/>
      <c r="AJ128" s="201"/>
      <c r="AK128" s="201"/>
      <c r="AL128" s="201"/>
      <c r="AM128" s="201"/>
      <c r="AN128" s="201"/>
      <c r="AO128" s="201"/>
      <c r="AP128" s="201"/>
      <c r="AQ128" s="201"/>
      <c r="AR128" s="201"/>
      <c r="AS128" s="201"/>
      <c r="AT128" s="201"/>
      <c r="AU128" s="201"/>
    </row>
    <row r="129" spans="1:47" outlineLevel="1">
      <c r="A129" s="12"/>
      <c r="B129" s="12"/>
      <c r="C129" s="12"/>
      <c r="D129" s="12"/>
      <c r="E129" s="12"/>
      <c r="F129" s="304">
        <f>Asset21</f>
        <v>0</v>
      </c>
      <c r="G129" s="303"/>
      <c r="H129" s="66"/>
      <c r="I129" s="66"/>
      <c r="J129" s="66"/>
      <c r="K129" s="66"/>
      <c r="L129" s="66"/>
      <c r="M129" s="200"/>
      <c r="N129" s="199"/>
      <c r="O129" s="199"/>
      <c r="P129" s="199"/>
      <c r="Q129" s="199"/>
      <c r="R129" s="8"/>
      <c r="S129" s="8"/>
      <c r="T129" s="8"/>
      <c r="U129" s="8"/>
      <c r="V129" s="8"/>
      <c r="W129" s="42"/>
      <c r="X129" s="9"/>
      <c r="Y129" s="9"/>
      <c r="Z129" s="9"/>
      <c r="AA129" s="9"/>
      <c r="AB129" s="9"/>
      <c r="AC129" s="9"/>
      <c r="AD129" s="9"/>
      <c r="AE129" s="201"/>
      <c r="AF129" s="201"/>
      <c r="AG129" s="201"/>
      <c r="AH129" s="201"/>
      <c r="AI129" s="201"/>
      <c r="AJ129" s="201"/>
      <c r="AK129" s="201"/>
      <c r="AL129" s="201"/>
      <c r="AM129" s="201"/>
      <c r="AN129" s="201"/>
      <c r="AO129" s="201"/>
      <c r="AP129" s="201"/>
      <c r="AQ129" s="201"/>
      <c r="AR129" s="201"/>
      <c r="AS129" s="201"/>
      <c r="AT129" s="201"/>
      <c r="AU129" s="201"/>
    </row>
    <row r="130" spans="1:47" outlineLevel="1">
      <c r="A130" s="12"/>
      <c r="B130" s="12"/>
      <c r="C130" s="12"/>
      <c r="D130" s="12"/>
      <c r="E130" s="12"/>
      <c r="F130" s="304">
        <f>Asset22</f>
        <v>0</v>
      </c>
      <c r="G130" s="303"/>
      <c r="H130" s="66"/>
      <c r="I130" s="66"/>
      <c r="J130" s="66"/>
      <c r="K130" s="66"/>
      <c r="L130" s="66"/>
      <c r="M130" s="200"/>
      <c r="N130" s="199"/>
      <c r="O130" s="199"/>
      <c r="P130" s="199"/>
      <c r="Q130" s="199"/>
      <c r="R130" s="8"/>
      <c r="S130" s="8"/>
      <c r="T130" s="8"/>
      <c r="U130" s="8"/>
      <c r="V130" s="8"/>
      <c r="W130" s="42"/>
      <c r="X130" s="9"/>
      <c r="Y130" s="9"/>
      <c r="Z130" s="9"/>
      <c r="AA130" s="9"/>
      <c r="AB130" s="9"/>
      <c r="AC130" s="9"/>
      <c r="AD130" s="9"/>
      <c r="AE130" s="201"/>
      <c r="AF130" s="201"/>
      <c r="AG130" s="201"/>
      <c r="AH130" s="201"/>
      <c r="AI130" s="201"/>
      <c r="AJ130" s="201"/>
      <c r="AK130" s="201"/>
      <c r="AL130" s="201"/>
      <c r="AM130" s="201"/>
      <c r="AN130" s="201"/>
      <c r="AO130" s="201"/>
      <c r="AP130" s="201"/>
      <c r="AQ130" s="201"/>
      <c r="AR130" s="201"/>
      <c r="AS130" s="201"/>
      <c r="AT130" s="201"/>
      <c r="AU130" s="201"/>
    </row>
    <row r="131" spans="1:47" outlineLevel="1">
      <c r="A131" s="12"/>
      <c r="B131" s="12"/>
      <c r="C131" s="12"/>
      <c r="D131" s="12"/>
      <c r="E131" s="12"/>
      <c r="F131" s="304">
        <f>Asset23</f>
        <v>0</v>
      </c>
      <c r="G131" s="303"/>
      <c r="H131" s="66"/>
      <c r="I131" s="66"/>
      <c r="J131" s="66"/>
      <c r="K131" s="66"/>
      <c r="L131" s="66"/>
      <c r="M131" s="200"/>
      <c r="N131" s="199"/>
      <c r="O131" s="199"/>
      <c r="P131" s="199"/>
      <c r="Q131" s="199"/>
      <c r="R131" s="8"/>
      <c r="S131" s="8"/>
      <c r="T131" s="8"/>
      <c r="U131" s="8"/>
      <c r="V131" s="8"/>
      <c r="W131" s="42"/>
      <c r="X131" s="9"/>
      <c r="Y131" s="9"/>
      <c r="Z131" s="9"/>
      <c r="AA131" s="9"/>
      <c r="AB131" s="9"/>
      <c r="AC131" s="9"/>
      <c r="AD131" s="9"/>
      <c r="AE131" s="201"/>
      <c r="AF131" s="201"/>
      <c r="AG131" s="201"/>
      <c r="AH131" s="201"/>
      <c r="AI131" s="201"/>
      <c r="AJ131" s="201"/>
      <c r="AK131" s="201"/>
      <c r="AL131" s="201"/>
      <c r="AM131" s="201"/>
      <c r="AN131" s="201"/>
      <c r="AO131" s="201"/>
      <c r="AP131" s="201"/>
      <c r="AQ131" s="201"/>
      <c r="AR131" s="201"/>
      <c r="AS131" s="201"/>
      <c r="AT131" s="201"/>
      <c r="AU131" s="201"/>
    </row>
    <row r="132" spans="1:47" outlineLevel="1">
      <c r="A132" s="12"/>
      <c r="B132" s="12"/>
      <c r="C132" s="12"/>
      <c r="D132" s="12"/>
      <c r="E132" s="12"/>
      <c r="F132" s="304">
        <f>Asset24</f>
        <v>0</v>
      </c>
      <c r="G132" s="303"/>
      <c r="H132" s="66"/>
      <c r="I132" s="66"/>
      <c r="J132" s="66"/>
      <c r="K132" s="66"/>
      <c r="L132" s="66"/>
      <c r="M132" s="200"/>
      <c r="N132" s="199"/>
      <c r="O132" s="199"/>
      <c r="P132" s="199"/>
      <c r="Q132" s="199"/>
      <c r="R132" s="8"/>
      <c r="S132" s="8"/>
      <c r="T132" s="8"/>
      <c r="U132" s="8"/>
      <c r="V132" s="8"/>
      <c r="W132" s="42"/>
      <c r="X132" s="9"/>
      <c r="Y132" s="9"/>
      <c r="Z132" s="9"/>
      <c r="AA132" s="9"/>
      <c r="AB132" s="9"/>
      <c r="AC132" s="9"/>
      <c r="AD132" s="9"/>
      <c r="AE132" s="201"/>
      <c r="AF132" s="201"/>
      <c r="AG132" s="201"/>
      <c r="AH132" s="201"/>
      <c r="AI132" s="201"/>
      <c r="AJ132" s="201"/>
      <c r="AK132" s="201"/>
      <c r="AL132" s="201"/>
      <c r="AM132" s="201"/>
      <c r="AN132" s="201"/>
      <c r="AO132" s="201"/>
      <c r="AP132" s="201"/>
      <c r="AQ132" s="201"/>
      <c r="AR132" s="201"/>
      <c r="AS132" s="201"/>
      <c r="AT132" s="201"/>
      <c r="AU132" s="201"/>
    </row>
    <row r="133" spans="1:47" outlineLevel="1">
      <c r="A133" s="12"/>
      <c r="B133" s="12"/>
      <c r="C133" s="12"/>
      <c r="D133" s="12"/>
      <c r="E133" s="12"/>
      <c r="F133" s="304">
        <f>Asset25</f>
        <v>0</v>
      </c>
      <c r="G133" s="303"/>
      <c r="H133" s="66"/>
      <c r="I133" s="66"/>
      <c r="J133" s="66"/>
      <c r="K133" s="66"/>
      <c r="L133" s="66"/>
      <c r="M133" s="200"/>
      <c r="N133" s="199"/>
      <c r="O133" s="199"/>
      <c r="P133" s="199"/>
      <c r="Q133" s="199"/>
      <c r="R133" s="8"/>
      <c r="S133" s="8"/>
      <c r="T133" s="8"/>
      <c r="U133" s="8"/>
      <c r="V133" s="8"/>
      <c r="W133" s="42"/>
      <c r="X133" s="9"/>
      <c r="Y133" s="9"/>
      <c r="Z133" s="9"/>
      <c r="AA133" s="9"/>
      <c r="AB133" s="9"/>
      <c r="AC133" s="9"/>
      <c r="AD133" s="9"/>
      <c r="AE133" s="201"/>
      <c r="AF133" s="201"/>
      <c r="AG133" s="201"/>
      <c r="AH133" s="201"/>
      <c r="AI133" s="201"/>
      <c r="AJ133" s="201"/>
      <c r="AK133" s="201"/>
      <c r="AL133" s="201"/>
      <c r="AM133" s="201"/>
      <c r="AN133" s="201"/>
      <c r="AO133" s="201"/>
      <c r="AP133" s="201"/>
      <c r="AQ133" s="201"/>
      <c r="AR133" s="201"/>
      <c r="AS133" s="201"/>
      <c r="AT133" s="201"/>
      <c r="AU133" s="201"/>
    </row>
    <row r="134" spans="1:47" outlineLevel="1">
      <c r="A134" s="12"/>
      <c r="B134" s="12"/>
      <c r="C134" s="12"/>
      <c r="D134" s="12"/>
      <c r="E134" s="12"/>
      <c r="F134" s="304">
        <f>Asset26</f>
        <v>0</v>
      </c>
      <c r="G134" s="303"/>
      <c r="H134" s="66"/>
      <c r="I134" s="66"/>
      <c r="J134" s="66"/>
      <c r="K134" s="66"/>
      <c r="L134" s="66"/>
      <c r="M134" s="200"/>
      <c r="N134" s="199"/>
      <c r="O134" s="199"/>
      <c r="P134" s="199"/>
      <c r="Q134" s="199"/>
      <c r="R134" s="8"/>
      <c r="S134" s="8"/>
      <c r="T134" s="8"/>
      <c r="U134" s="8"/>
      <c r="V134" s="8"/>
      <c r="W134" s="42"/>
      <c r="X134" s="9"/>
      <c r="Y134" s="9"/>
      <c r="Z134" s="9"/>
      <c r="AA134" s="9"/>
      <c r="AB134" s="9"/>
      <c r="AC134" s="9"/>
      <c r="AD134" s="9"/>
      <c r="AE134" s="201"/>
      <c r="AF134" s="201"/>
      <c r="AG134" s="201"/>
      <c r="AH134" s="201"/>
      <c r="AI134" s="201"/>
      <c r="AJ134" s="201"/>
      <c r="AK134" s="201"/>
      <c r="AL134" s="201"/>
      <c r="AM134" s="201"/>
      <c r="AN134" s="201"/>
      <c r="AO134" s="201"/>
      <c r="AP134" s="201"/>
      <c r="AQ134" s="201"/>
      <c r="AR134" s="201"/>
      <c r="AS134" s="201"/>
      <c r="AT134" s="201"/>
      <c r="AU134" s="201"/>
    </row>
    <row r="135" spans="1:47" outlineLevel="1">
      <c r="A135" s="12"/>
      <c r="B135" s="12"/>
      <c r="C135" s="12"/>
      <c r="D135" s="12"/>
      <c r="E135" s="12"/>
      <c r="F135" s="304">
        <f>Asset27</f>
        <v>0</v>
      </c>
      <c r="G135" s="303"/>
      <c r="H135" s="66"/>
      <c r="I135" s="66"/>
      <c r="J135" s="66"/>
      <c r="K135" s="66"/>
      <c r="L135" s="66"/>
      <c r="M135" s="200"/>
      <c r="N135" s="199"/>
      <c r="O135" s="199"/>
      <c r="P135" s="199"/>
      <c r="Q135" s="199"/>
      <c r="R135" s="8"/>
      <c r="S135" s="8"/>
      <c r="T135" s="8"/>
      <c r="U135" s="8"/>
      <c r="V135" s="8"/>
      <c r="W135" s="42"/>
      <c r="X135" s="9"/>
      <c r="Y135" s="9"/>
      <c r="Z135" s="9"/>
      <c r="AA135" s="9"/>
      <c r="AB135" s="9"/>
      <c r="AC135" s="9"/>
      <c r="AD135" s="9"/>
      <c r="AE135" s="201"/>
      <c r="AF135" s="201"/>
      <c r="AG135" s="201"/>
      <c r="AH135" s="201"/>
      <c r="AI135" s="201"/>
      <c r="AJ135" s="201"/>
      <c r="AK135" s="201"/>
      <c r="AL135" s="201"/>
      <c r="AM135" s="201"/>
      <c r="AN135" s="201"/>
      <c r="AO135" s="201"/>
      <c r="AP135" s="201"/>
      <c r="AQ135" s="201"/>
      <c r="AR135" s="201"/>
      <c r="AS135" s="201"/>
      <c r="AT135" s="201"/>
      <c r="AU135" s="201"/>
    </row>
    <row r="136" spans="1:47" outlineLevel="1">
      <c r="A136" s="12"/>
      <c r="B136" s="12"/>
      <c r="C136" s="12"/>
      <c r="D136" s="12"/>
      <c r="E136" s="12"/>
      <c r="F136" s="304">
        <f>Asset28</f>
        <v>0</v>
      </c>
      <c r="G136" s="303"/>
      <c r="H136" s="66"/>
      <c r="I136" s="66"/>
      <c r="J136" s="66"/>
      <c r="K136" s="66"/>
      <c r="L136" s="66"/>
      <c r="M136" s="200"/>
      <c r="N136" s="199"/>
      <c r="O136" s="199"/>
      <c r="P136" s="199"/>
      <c r="Q136" s="199"/>
      <c r="R136" s="8"/>
      <c r="S136" s="8"/>
      <c r="T136" s="8"/>
      <c r="U136" s="8"/>
      <c r="V136" s="8"/>
      <c r="W136" s="42"/>
      <c r="X136" s="9"/>
      <c r="Y136" s="9"/>
      <c r="Z136" s="9"/>
      <c r="AA136" s="9"/>
      <c r="AB136" s="9"/>
      <c r="AC136" s="9"/>
      <c r="AD136" s="9"/>
      <c r="AE136" s="201"/>
      <c r="AF136" s="201"/>
      <c r="AG136" s="201"/>
      <c r="AH136" s="201"/>
      <c r="AI136" s="201"/>
      <c r="AJ136" s="201"/>
      <c r="AK136" s="201"/>
      <c r="AL136" s="201"/>
      <c r="AM136" s="201"/>
      <c r="AN136" s="201"/>
      <c r="AO136" s="201"/>
      <c r="AP136" s="201"/>
      <c r="AQ136" s="201"/>
      <c r="AR136" s="201"/>
      <c r="AS136" s="201"/>
      <c r="AT136" s="201"/>
      <c r="AU136" s="201"/>
    </row>
    <row r="137" spans="1:47" outlineLevel="1">
      <c r="A137" s="12"/>
      <c r="B137" s="12"/>
      <c r="C137" s="12"/>
      <c r="D137" s="12"/>
      <c r="E137" s="12"/>
      <c r="F137" s="304">
        <f>Asset29</f>
        <v>0</v>
      </c>
      <c r="G137" s="303"/>
      <c r="H137" s="66"/>
      <c r="I137" s="66"/>
      <c r="J137" s="66"/>
      <c r="K137" s="66"/>
      <c r="L137" s="66"/>
      <c r="M137" s="200"/>
      <c r="N137" s="199"/>
      <c r="O137" s="199"/>
      <c r="P137" s="199"/>
      <c r="Q137" s="199"/>
      <c r="R137" s="8"/>
      <c r="S137" s="8"/>
      <c r="T137" s="8"/>
      <c r="U137" s="8"/>
      <c r="V137" s="8"/>
      <c r="W137" s="42"/>
      <c r="X137" s="9"/>
      <c r="Y137" s="9"/>
      <c r="Z137" s="9"/>
      <c r="AA137" s="9"/>
      <c r="AB137" s="9"/>
      <c r="AC137" s="9"/>
      <c r="AD137" s="9"/>
      <c r="AE137" s="201"/>
      <c r="AF137" s="201"/>
      <c r="AG137" s="201"/>
      <c r="AH137" s="201"/>
      <c r="AI137" s="201"/>
      <c r="AJ137" s="201"/>
      <c r="AK137" s="201"/>
      <c r="AL137" s="201"/>
      <c r="AM137" s="201"/>
      <c r="AN137" s="201"/>
      <c r="AO137" s="201"/>
      <c r="AP137" s="201"/>
      <c r="AQ137" s="201"/>
      <c r="AR137" s="201"/>
      <c r="AS137" s="201"/>
      <c r="AT137" s="201"/>
      <c r="AU137" s="201"/>
    </row>
    <row r="138" spans="1:47" outlineLevel="1">
      <c r="A138" s="12"/>
      <c r="B138" s="12"/>
      <c r="C138" s="12"/>
      <c r="D138" s="12"/>
      <c r="E138" s="12"/>
      <c r="F138" s="304">
        <f>Asset30</f>
        <v>0</v>
      </c>
      <c r="G138" s="303"/>
      <c r="H138" s="66"/>
      <c r="I138" s="66"/>
      <c r="J138" s="66"/>
      <c r="K138" s="66"/>
      <c r="L138" s="66"/>
      <c r="M138" s="200"/>
      <c r="N138" s="199"/>
      <c r="O138" s="199"/>
      <c r="P138" s="199"/>
      <c r="Q138" s="199"/>
      <c r="R138" s="8"/>
      <c r="S138" s="8"/>
      <c r="T138" s="8"/>
      <c r="U138" s="8"/>
      <c r="V138" s="8"/>
      <c r="W138" s="42"/>
      <c r="X138" s="9"/>
      <c r="Y138" s="9"/>
      <c r="Z138" s="9"/>
      <c r="AA138" s="9"/>
      <c r="AB138" s="9"/>
      <c r="AC138" s="9"/>
      <c r="AD138" s="9"/>
      <c r="AE138" s="201"/>
      <c r="AF138" s="201"/>
      <c r="AG138" s="201"/>
      <c r="AH138" s="201"/>
      <c r="AI138" s="201"/>
      <c r="AJ138" s="201"/>
      <c r="AK138" s="201"/>
      <c r="AL138" s="201"/>
      <c r="AM138" s="201"/>
      <c r="AN138" s="201"/>
      <c r="AO138" s="201"/>
      <c r="AP138" s="201"/>
      <c r="AQ138" s="201"/>
      <c r="AR138" s="201"/>
      <c r="AS138" s="201"/>
      <c r="AT138" s="201"/>
      <c r="AU138" s="201"/>
    </row>
    <row r="139" spans="1:47">
      <c r="A139" s="12"/>
      <c r="B139" s="12"/>
      <c r="C139" s="12"/>
      <c r="D139" s="12"/>
      <c r="E139" s="12"/>
      <c r="F139" s="177" t="s">
        <v>2</v>
      </c>
      <c r="G139" s="309">
        <f t="shared" ref="G139:Q139" si="6">SUM(G109:G138)</f>
        <v>32.713460590000004</v>
      </c>
      <c r="H139" s="309">
        <f t="shared" si="6"/>
        <v>29.614305869999999</v>
      </c>
      <c r="I139" s="309">
        <f t="shared" si="6"/>
        <v>24.698322760000003</v>
      </c>
      <c r="J139" s="309">
        <f t="shared" si="6"/>
        <v>22.796053150000002</v>
      </c>
      <c r="K139" s="309">
        <f t="shared" si="6"/>
        <v>44.588195179126274</v>
      </c>
      <c r="L139" s="309">
        <f t="shared" si="6"/>
        <v>36.283072508676049</v>
      </c>
      <c r="M139" s="309">
        <f t="shared" si="6"/>
        <v>0</v>
      </c>
      <c r="N139" s="309">
        <f t="shared" si="6"/>
        <v>0</v>
      </c>
      <c r="O139" s="309">
        <f t="shared" si="6"/>
        <v>0</v>
      </c>
      <c r="P139" s="309">
        <f t="shared" si="6"/>
        <v>0</v>
      </c>
      <c r="Q139" s="309">
        <f t="shared" si="6"/>
        <v>0</v>
      </c>
      <c r="R139" s="36"/>
      <c r="S139" s="36"/>
      <c r="T139" s="36"/>
      <c r="U139" s="36"/>
      <c r="V139" s="36"/>
      <c r="W139" s="36"/>
      <c r="X139" s="48"/>
      <c r="Y139" s="8"/>
      <c r="Z139" s="8"/>
      <c r="AA139" s="42"/>
      <c r="AB139" s="9"/>
      <c r="AC139" s="9"/>
      <c r="AD139" s="9"/>
      <c r="AE139" s="201"/>
      <c r="AF139" s="201"/>
      <c r="AG139" s="201"/>
      <c r="AH139" s="201"/>
      <c r="AI139" s="201"/>
      <c r="AJ139" s="201"/>
      <c r="AK139" s="201"/>
      <c r="AL139" s="201"/>
      <c r="AM139" s="201"/>
      <c r="AN139" s="201"/>
      <c r="AO139" s="201"/>
      <c r="AP139" s="201"/>
      <c r="AQ139" s="201"/>
      <c r="AR139" s="201"/>
      <c r="AS139" s="201"/>
      <c r="AT139" s="201"/>
      <c r="AU139" s="201"/>
    </row>
    <row r="140" spans="1:47" ht="21" customHeight="1">
      <c r="A140" s="9"/>
      <c r="B140" s="9"/>
      <c r="C140" s="9"/>
      <c r="D140" s="9"/>
      <c r="E140" s="9"/>
      <c r="F140" s="9"/>
      <c r="G140" s="452"/>
      <c r="H140" s="452"/>
      <c r="I140" s="452"/>
      <c r="J140" s="452"/>
      <c r="K140" s="452"/>
      <c r="L140" s="452"/>
      <c r="M140" s="9"/>
      <c r="N140" s="9"/>
      <c r="O140" s="9"/>
      <c r="P140" s="9"/>
      <c r="Q140" s="9"/>
      <c r="R140" s="245">
        <f>SUM(G139:Q139)</f>
        <v>190.69341005780234</v>
      </c>
      <c r="S140" s="9"/>
      <c r="T140" s="9"/>
      <c r="U140" s="9"/>
      <c r="V140" s="9"/>
      <c r="W140" s="9"/>
      <c r="X140" s="9"/>
      <c r="Y140" s="9"/>
      <c r="Z140" s="9"/>
      <c r="AA140" s="19"/>
      <c r="AB140" s="9"/>
      <c r="AC140" s="9"/>
      <c r="AD140" s="9"/>
      <c r="AE140" s="201"/>
      <c r="AF140" s="201"/>
      <c r="AG140" s="201"/>
      <c r="AH140" s="201"/>
      <c r="AI140" s="201"/>
      <c r="AJ140" s="201"/>
      <c r="AK140" s="201"/>
      <c r="AL140" s="201"/>
      <c r="AM140" s="201"/>
      <c r="AN140" s="201"/>
      <c r="AO140" s="201"/>
      <c r="AP140" s="201"/>
      <c r="AQ140" s="201"/>
      <c r="AR140" s="201"/>
      <c r="AS140" s="201"/>
      <c r="AT140" s="201"/>
      <c r="AU140" s="201"/>
    </row>
    <row r="141" spans="1:47" ht="13.5" customHeight="1">
      <c r="A141" s="78"/>
      <c r="B141" s="78"/>
      <c r="C141" s="78"/>
      <c r="D141" s="78"/>
      <c r="E141" s="78"/>
      <c r="F141" s="530" t="str">
        <f>"Actual Net Capital Expenditure – As Incurred ($m Real "&amp;X7-1&amp;")"</f>
        <v>Actual Net Capital Expenditure – As Incurred ($m Real 2010)</v>
      </c>
      <c r="G141" s="530"/>
      <c r="H141" s="530"/>
      <c r="I141" s="160"/>
      <c r="J141" s="160"/>
      <c r="K141" s="81"/>
      <c r="L141" s="81"/>
      <c r="M141" s="79"/>
      <c r="N141" s="79"/>
      <c r="O141" s="79"/>
      <c r="P141" s="79"/>
      <c r="Q141" s="79"/>
      <c r="R141" s="79"/>
      <c r="S141" s="79"/>
      <c r="T141" s="79"/>
      <c r="U141" s="79"/>
      <c r="V141" s="79"/>
      <c r="W141" s="79"/>
      <c r="X141" s="8"/>
      <c r="Y141" s="8"/>
      <c r="Z141" s="8"/>
      <c r="AA141" s="8"/>
      <c r="AB141" s="42"/>
      <c r="AC141" s="9"/>
      <c r="AD141" s="9"/>
      <c r="AE141" s="201"/>
      <c r="AF141" s="201"/>
      <c r="AG141" s="201"/>
      <c r="AH141" s="201"/>
      <c r="AI141" s="201"/>
      <c r="AJ141" s="201"/>
      <c r="AK141" s="201"/>
      <c r="AL141" s="201"/>
      <c r="AM141" s="201"/>
      <c r="AN141" s="201"/>
      <c r="AO141" s="201"/>
      <c r="AP141" s="201"/>
      <c r="AQ141" s="201"/>
      <c r="AR141" s="201"/>
      <c r="AS141" s="201"/>
      <c r="AT141" s="201"/>
      <c r="AU141" s="201"/>
    </row>
    <row r="142" spans="1:47">
      <c r="A142" s="12"/>
      <c r="B142" s="12"/>
      <c r="C142" s="12"/>
      <c r="D142" s="12"/>
      <c r="E142" s="12"/>
      <c r="F142" s="37" t="s">
        <v>1</v>
      </c>
      <c r="G142" s="244">
        <f t="shared" ref="G142:Q142" si="7">G40</f>
        <v>2010</v>
      </c>
      <c r="H142" s="244">
        <f t="shared" si="7"/>
        <v>2011</v>
      </c>
      <c r="I142" s="244">
        <f t="shared" si="7"/>
        <v>2012</v>
      </c>
      <c r="J142" s="244">
        <f t="shared" si="7"/>
        <v>2013</v>
      </c>
      <c r="K142" s="244">
        <f t="shared" si="7"/>
        <v>2014</v>
      </c>
      <c r="L142" s="244">
        <f t="shared" si="7"/>
        <v>2015</v>
      </c>
      <c r="M142" s="244">
        <f t="shared" si="7"/>
        <v>2016</v>
      </c>
      <c r="N142" s="244">
        <f t="shared" si="7"/>
        <v>2017</v>
      </c>
      <c r="O142" s="244">
        <f t="shared" si="7"/>
        <v>2018</v>
      </c>
      <c r="P142" s="244">
        <f t="shared" si="7"/>
        <v>2019</v>
      </c>
      <c r="Q142" s="244">
        <f t="shared" si="7"/>
        <v>2020</v>
      </c>
      <c r="R142" s="8"/>
      <c r="S142" s="8"/>
      <c r="T142" s="8"/>
      <c r="U142" s="8"/>
      <c r="V142" s="8"/>
      <c r="W142" s="42"/>
      <c r="X142" s="9"/>
      <c r="Y142" s="9"/>
      <c r="Z142" s="9"/>
      <c r="AA142" s="9"/>
      <c r="AB142" s="9"/>
      <c r="AC142" s="9"/>
      <c r="AD142" s="9"/>
      <c r="AE142" s="201"/>
      <c r="AF142" s="201"/>
      <c r="AG142" s="201"/>
      <c r="AH142" s="201"/>
      <c r="AI142" s="201"/>
      <c r="AJ142" s="201"/>
      <c r="AK142" s="201"/>
      <c r="AL142" s="201"/>
      <c r="AM142" s="201"/>
      <c r="AN142" s="201"/>
      <c r="AO142" s="201"/>
      <c r="AP142" s="201"/>
      <c r="AQ142" s="201"/>
      <c r="AR142" s="201"/>
      <c r="AS142" s="201"/>
      <c r="AT142" s="201"/>
      <c r="AU142" s="201"/>
    </row>
    <row r="143" spans="1:47" outlineLevel="1">
      <c r="A143" s="12"/>
      <c r="B143" s="12"/>
      <c r="C143" s="12"/>
      <c r="D143" s="12"/>
      <c r="E143" s="12"/>
      <c r="F143" s="177" t="str">
        <f>Asset1</f>
        <v>Subtransmission</v>
      </c>
      <c r="G143" s="174">
        <f t="shared" ref="G143:Q143" si="8">(G41-G75-G109)/H$314</f>
        <v>25.126956947635545</v>
      </c>
      <c r="H143" s="175">
        <f t="shared" si="8"/>
        <v>21.618758808313785</v>
      </c>
      <c r="I143" s="175">
        <f t="shared" si="8"/>
        <v>41.415329827529128</v>
      </c>
      <c r="J143" s="175">
        <f t="shared" si="8"/>
        <v>58.784441654482563</v>
      </c>
      <c r="K143" s="175">
        <f t="shared" si="8"/>
        <v>56.921645754623455</v>
      </c>
      <c r="L143" s="175">
        <f t="shared" si="8"/>
        <v>55.457351495318512</v>
      </c>
      <c r="M143" s="175">
        <f t="shared" si="8"/>
        <v>0</v>
      </c>
      <c r="N143" s="175">
        <f t="shared" si="8"/>
        <v>0</v>
      </c>
      <c r="O143" s="175">
        <f t="shared" si="8"/>
        <v>0</v>
      </c>
      <c r="P143" s="175">
        <f t="shared" si="8"/>
        <v>0</v>
      </c>
      <c r="Q143" s="175">
        <f t="shared" si="8"/>
        <v>0</v>
      </c>
      <c r="R143" s="8"/>
      <c r="S143" s="8"/>
      <c r="T143" s="8"/>
      <c r="U143" s="8"/>
      <c r="V143" s="8"/>
      <c r="W143" s="42"/>
      <c r="X143" s="9"/>
      <c r="Y143" s="9"/>
      <c r="Z143" s="9"/>
      <c r="AA143" s="9"/>
      <c r="AB143" s="9"/>
      <c r="AC143" s="9"/>
      <c r="AD143" s="9"/>
      <c r="AE143" s="201"/>
      <c r="AF143" s="201"/>
      <c r="AG143" s="201"/>
      <c r="AH143" s="201"/>
      <c r="AI143" s="201"/>
      <c r="AJ143" s="201"/>
      <c r="AK143" s="201"/>
      <c r="AL143" s="201"/>
      <c r="AM143" s="201"/>
      <c r="AN143" s="201"/>
      <c r="AO143" s="201"/>
      <c r="AP143" s="201"/>
      <c r="AQ143" s="201"/>
      <c r="AR143" s="201"/>
      <c r="AS143" s="201"/>
      <c r="AT143" s="201"/>
      <c r="AU143" s="201"/>
    </row>
    <row r="144" spans="1:47" outlineLevel="1">
      <c r="A144" s="12"/>
      <c r="B144" s="12"/>
      <c r="C144" s="12"/>
      <c r="D144" s="12"/>
      <c r="E144" s="12"/>
      <c r="F144" s="177" t="str">
        <f>Asset2</f>
        <v>Distribution system assets</v>
      </c>
      <c r="G144" s="176">
        <f t="shared" ref="G144:Q144" si="9">(G42-G76-G110)/H$314</f>
        <v>171.28113622238632</v>
      </c>
      <c r="H144" s="177">
        <f t="shared" si="9"/>
        <v>179.59802700128603</v>
      </c>
      <c r="I144" s="177">
        <f t="shared" si="9"/>
        <v>192.05522880291321</v>
      </c>
      <c r="J144" s="177">
        <f t="shared" si="9"/>
        <v>222.41888547240089</v>
      </c>
      <c r="K144" s="177">
        <f t="shared" si="9"/>
        <v>254.14503827795434</v>
      </c>
      <c r="L144" s="177">
        <f t="shared" si="9"/>
        <v>231.13698357950713</v>
      </c>
      <c r="M144" s="177">
        <f t="shared" si="9"/>
        <v>0</v>
      </c>
      <c r="N144" s="177">
        <f t="shared" si="9"/>
        <v>0</v>
      </c>
      <c r="O144" s="177">
        <f t="shared" si="9"/>
        <v>0</v>
      </c>
      <c r="P144" s="177">
        <f t="shared" si="9"/>
        <v>0</v>
      </c>
      <c r="Q144" s="177">
        <f t="shared" si="9"/>
        <v>0</v>
      </c>
      <c r="R144" s="8"/>
      <c r="S144" s="8"/>
      <c r="T144" s="8"/>
      <c r="U144" s="8"/>
      <c r="V144" s="8"/>
      <c r="W144" s="42"/>
      <c r="X144" s="9"/>
      <c r="Y144" s="9"/>
      <c r="Z144" s="9"/>
      <c r="AA144" s="9"/>
      <c r="AB144" s="9"/>
      <c r="AC144" s="9"/>
      <c r="AD144" s="9"/>
      <c r="AE144" s="201"/>
      <c r="AF144" s="201"/>
      <c r="AG144" s="201"/>
      <c r="AH144" s="201"/>
      <c r="AI144" s="201"/>
      <c r="AJ144" s="201"/>
      <c r="AK144" s="201"/>
      <c r="AL144" s="201"/>
      <c r="AM144" s="201"/>
      <c r="AN144" s="201"/>
      <c r="AO144" s="201"/>
      <c r="AP144" s="201"/>
      <c r="AQ144" s="201"/>
      <c r="AR144" s="201"/>
      <c r="AS144" s="201"/>
      <c r="AT144" s="201"/>
      <c r="AU144" s="201"/>
    </row>
    <row r="145" spans="1:47" outlineLevel="1">
      <c r="A145" s="12"/>
      <c r="B145" s="12"/>
      <c r="C145" s="12"/>
      <c r="D145" s="12"/>
      <c r="E145" s="12"/>
      <c r="F145" s="177" t="str">
        <f>Asset3</f>
        <v>Standard metering</v>
      </c>
      <c r="G145" s="176">
        <f t="shared" ref="G145:Q145" si="10">(G43-G77-G111)/H$314</f>
        <v>0</v>
      </c>
      <c r="H145" s="177">
        <f t="shared" si="10"/>
        <v>0</v>
      </c>
      <c r="I145" s="177">
        <f t="shared" si="10"/>
        <v>0</v>
      </c>
      <c r="J145" s="177">
        <f t="shared" si="10"/>
        <v>0</v>
      </c>
      <c r="K145" s="177">
        <f t="shared" si="10"/>
        <v>0</v>
      </c>
      <c r="L145" s="177">
        <f t="shared" si="10"/>
        <v>0</v>
      </c>
      <c r="M145" s="177">
        <f t="shared" si="10"/>
        <v>0</v>
      </c>
      <c r="N145" s="177">
        <f t="shared" si="10"/>
        <v>0</v>
      </c>
      <c r="O145" s="177">
        <f t="shared" si="10"/>
        <v>0</v>
      </c>
      <c r="P145" s="177">
        <f t="shared" si="10"/>
        <v>0</v>
      </c>
      <c r="Q145" s="177">
        <f t="shared" si="10"/>
        <v>0</v>
      </c>
      <c r="R145" s="8"/>
      <c r="S145" s="8"/>
      <c r="T145" s="8"/>
      <c r="U145" s="8"/>
      <c r="V145" s="8"/>
      <c r="W145" s="42"/>
      <c r="X145" s="9"/>
      <c r="Y145" s="9"/>
      <c r="Z145" s="9"/>
      <c r="AA145" s="9"/>
      <c r="AB145" s="9"/>
      <c r="AC145" s="9"/>
      <c r="AD145" s="9"/>
      <c r="AE145" s="201"/>
      <c r="AF145" s="201"/>
      <c r="AG145" s="201"/>
      <c r="AH145" s="201"/>
      <c r="AI145" s="201"/>
      <c r="AJ145" s="201"/>
      <c r="AK145" s="201"/>
      <c r="AL145" s="201"/>
      <c r="AM145" s="201"/>
      <c r="AN145" s="201"/>
      <c r="AO145" s="201"/>
      <c r="AP145" s="201"/>
      <c r="AQ145" s="201"/>
      <c r="AR145" s="201"/>
      <c r="AS145" s="201"/>
      <c r="AT145" s="201"/>
      <c r="AU145" s="201"/>
    </row>
    <row r="146" spans="1:47" outlineLevel="1">
      <c r="A146" s="12"/>
      <c r="B146" s="12"/>
      <c r="C146" s="12"/>
      <c r="D146" s="12"/>
      <c r="E146" s="12"/>
      <c r="F146" s="177" t="str">
        <f>Asset4</f>
        <v>Public lighting</v>
      </c>
      <c r="G146" s="176">
        <f t="shared" ref="G146:Q146" si="11">(G44-G78-G112)/H$314</f>
        <v>0</v>
      </c>
      <c r="H146" s="177">
        <f t="shared" si="11"/>
        <v>0</v>
      </c>
      <c r="I146" s="177">
        <f t="shared" si="11"/>
        <v>0</v>
      </c>
      <c r="J146" s="177">
        <f t="shared" si="11"/>
        <v>0</v>
      </c>
      <c r="K146" s="177">
        <f t="shared" si="11"/>
        <v>0</v>
      </c>
      <c r="L146" s="177">
        <f t="shared" si="11"/>
        <v>0</v>
      </c>
      <c r="M146" s="177">
        <f t="shared" si="11"/>
        <v>0</v>
      </c>
      <c r="N146" s="177">
        <f t="shared" si="11"/>
        <v>0</v>
      </c>
      <c r="O146" s="177">
        <f t="shared" si="11"/>
        <v>0</v>
      </c>
      <c r="P146" s="177">
        <f t="shared" si="11"/>
        <v>0</v>
      </c>
      <c r="Q146" s="177">
        <f t="shared" si="11"/>
        <v>0</v>
      </c>
      <c r="R146" s="8"/>
      <c r="S146" s="8"/>
      <c r="T146" s="8"/>
      <c r="U146" s="8"/>
      <c r="V146" s="8"/>
      <c r="W146" s="42"/>
      <c r="X146" s="9"/>
      <c r="Y146" s="9"/>
      <c r="Z146" s="9"/>
      <c r="AA146" s="9"/>
      <c r="AB146" s="9"/>
      <c r="AC146" s="9"/>
      <c r="AD146" s="9"/>
      <c r="AE146" s="201"/>
      <c r="AF146" s="201"/>
      <c r="AG146" s="201"/>
      <c r="AH146" s="201"/>
      <c r="AI146" s="201"/>
      <c r="AJ146" s="201"/>
      <c r="AK146" s="201"/>
      <c r="AL146" s="201"/>
      <c r="AM146" s="201"/>
      <c r="AN146" s="201"/>
      <c r="AO146" s="201"/>
      <c r="AP146" s="201"/>
      <c r="AQ146" s="201"/>
      <c r="AR146" s="201"/>
      <c r="AS146" s="201"/>
      <c r="AT146" s="201"/>
      <c r="AU146" s="201"/>
    </row>
    <row r="147" spans="1:47" outlineLevel="1">
      <c r="A147" s="12"/>
      <c r="B147" s="12"/>
      <c r="C147" s="12"/>
      <c r="D147" s="12"/>
      <c r="E147" s="12"/>
      <c r="F147" s="177" t="str">
        <f>Asset5</f>
        <v>SCADA/Network control</v>
      </c>
      <c r="G147" s="176">
        <f t="shared" ref="G147:Q147" si="12">(G45-G79-G113)/H$314</f>
        <v>3.0959421498995483</v>
      </c>
      <c r="H147" s="177">
        <f t="shared" si="12"/>
        <v>1.234530573850507</v>
      </c>
      <c r="I147" s="177">
        <f t="shared" si="12"/>
        <v>5.5574968290616171</v>
      </c>
      <c r="J147" s="177">
        <f t="shared" si="12"/>
        <v>1.7736386403189979</v>
      </c>
      <c r="K147" s="177">
        <f t="shared" si="12"/>
        <v>0.66367770058824349</v>
      </c>
      <c r="L147" s="177">
        <f t="shared" si="12"/>
        <v>2.5682263049943446</v>
      </c>
      <c r="M147" s="177">
        <f t="shared" si="12"/>
        <v>0</v>
      </c>
      <c r="N147" s="177">
        <f t="shared" si="12"/>
        <v>0</v>
      </c>
      <c r="O147" s="177">
        <f t="shared" si="12"/>
        <v>0</v>
      </c>
      <c r="P147" s="177">
        <f t="shared" si="12"/>
        <v>0</v>
      </c>
      <c r="Q147" s="177">
        <f t="shared" si="12"/>
        <v>0</v>
      </c>
      <c r="R147" s="8"/>
      <c r="S147" s="8"/>
      <c r="T147" s="8"/>
      <c r="U147" s="8"/>
      <c r="V147" s="8"/>
      <c r="W147" s="42"/>
      <c r="X147" s="9"/>
      <c r="Y147" s="9"/>
      <c r="Z147" s="9"/>
      <c r="AA147" s="9"/>
      <c r="AB147" s="9"/>
      <c r="AC147" s="9"/>
      <c r="AD147" s="9"/>
      <c r="AE147" s="201"/>
      <c r="AF147" s="201"/>
      <c r="AG147" s="201"/>
      <c r="AH147" s="201"/>
      <c r="AI147" s="201"/>
      <c r="AJ147" s="201"/>
      <c r="AK147" s="201"/>
      <c r="AL147" s="201"/>
      <c r="AM147" s="201"/>
      <c r="AN147" s="201"/>
      <c r="AO147" s="201"/>
      <c r="AP147" s="201"/>
      <c r="AQ147" s="201"/>
      <c r="AR147" s="201"/>
      <c r="AS147" s="201"/>
      <c r="AT147" s="201"/>
      <c r="AU147" s="201"/>
    </row>
    <row r="148" spans="1:47" outlineLevel="1">
      <c r="A148" s="12"/>
      <c r="B148" s="12"/>
      <c r="C148" s="12"/>
      <c r="D148" s="12"/>
      <c r="E148" s="12"/>
      <c r="F148" s="177" t="str">
        <f>Asset6</f>
        <v>Non-network general assets - IT</v>
      </c>
      <c r="G148" s="176">
        <f t="shared" ref="G148:Q148" si="13">(G46-G80-G114)/H$314</f>
        <v>35.090722072477305</v>
      </c>
      <c r="H148" s="177">
        <f t="shared" si="13"/>
        <v>45.354884071754668</v>
      </c>
      <c r="I148" s="177">
        <f t="shared" si="13"/>
        <v>42.776053834919516</v>
      </c>
      <c r="J148" s="177">
        <f t="shared" si="13"/>
        <v>46.259021947784689</v>
      </c>
      <c r="K148" s="177">
        <f t="shared" si="13"/>
        <v>29.784433489677799</v>
      </c>
      <c r="L148" s="177">
        <f t="shared" si="13"/>
        <v>17.169346852856155</v>
      </c>
      <c r="M148" s="177">
        <f t="shared" si="13"/>
        <v>0</v>
      </c>
      <c r="N148" s="177">
        <f t="shared" si="13"/>
        <v>0</v>
      </c>
      <c r="O148" s="177">
        <f t="shared" si="13"/>
        <v>0</v>
      </c>
      <c r="P148" s="177">
        <f t="shared" si="13"/>
        <v>0</v>
      </c>
      <c r="Q148" s="177">
        <f t="shared" si="13"/>
        <v>0</v>
      </c>
      <c r="R148" s="8"/>
      <c r="S148" s="8"/>
      <c r="T148" s="8"/>
      <c r="U148" s="8"/>
      <c r="V148" s="8"/>
      <c r="W148" s="42"/>
      <c r="X148" s="9"/>
      <c r="Y148" s="9"/>
      <c r="Z148" s="9"/>
      <c r="AA148" s="9"/>
      <c r="AB148" s="9"/>
      <c r="AC148" s="9"/>
      <c r="AD148" s="9"/>
      <c r="AE148" s="201"/>
      <c r="AF148" s="201"/>
      <c r="AG148" s="201"/>
      <c r="AH148" s="201"/>
      <c r="AI148" s="201"/>
      <c r="AJ148" s="201"/>
      <c r="AK148" s="201"/>
      <c r="AL148" s="201"/>
      <c r="AM148" s="201"/>
      <c r="AN148" s="201"/>
      <c r="AO148" s="201"/>
      <c r="AP148" s="201"/>
      <c r="AQ148" s="201"/>
      <c r="AR148" s="201"/>
      <c r="AS148" s="201"/>
      <c r="AT148" s="201"/>
      <c r="AU148" s="201"/>
    </row>
    <row r="149" spans="1:47" outlineLevel="1">
      <c r="A149" s="12"/>
      <c r="B149" s="12"/>
      <c r="C149" s="12"/>
      <c r="D149" s="12"/>
      <c r="E149" s="12"/>
      <c r="F149" s="177" t="str">
        <f>Asset7</f>
        <v>Non-network general assets - Other</v>
      </c>
      <c r="G149" s="176">
        <f t="shared" ref="G149:Q149" si="14">(G47-G81-G115)/H$314</f>
        <v>3.3639845689372425</v>
      </c>
      <c r="H149" s="177">
        <f t="shared" si="14"/>
        <v>4.7806172417737107</v>
      </c>
      <c r="I149" s="177">
        <f t="shared" si="14"/>
        <v>3.4706282366843131</v>
      </c>
      <c r="J149" s="177">
        <f t="shared" si="14"/>
        <v>5.0598901897362136</v>
      </c>
      <c r="K149" s="177">
        <f t="shared" si="14"/>
        <v>3.979964237836632</v>
      </c>
      <c r="L149" s="177">
        <f t="shared" si="14"/>
        <v>2.1282647275763584</v>
      </c>
      <c r="M149" s="177">
        <f t="shared" si="14"/>
        <v>0</v>
      </c>
      <c r="N149" s="177">
        <f t="shared" si="14"/>
        <v>0</v>
      </c>
      <c r="O149" s="177">
        <f t="shared" si="14"/>
        <v>0</v>
      </c>
      <c r="P149" s="177">
        <f t="shared" si="14"/>
        <v>0</v>
      </c>
      <c r="Q149" s="177">
        <f t="shared" si="14"/>
        <v>0</v>
      </c>
      <c r="R149" s="8"/>
      <c r="S149" s="8"/>
      <c r="T149" s="8"/>
      <c r="U149" s="8"/>
      <c r="V149" s="8"/>
      <c r="W149" s="42"/>
      <c r="X149" s="9"/>
      <c r="Y149" s="9"/>
      <c r="Z149" s="9"/>
      <c r="AA149" s="9"/>
      <c r="AB149" s="9"/>
      <c r="AC149" s="9"/>
      <c r="AD149" s="9"/>
      <c r="AE149" s="201"/>
      <c r="AF149" s="201"/>
      <c r="AG149" s="201"/>
      <c r="AH149" s="201"/>
      <c r="AI149" s="201"/>
      <c r="AJ149" s="201"/>
      <c r="AK149" s="201"/>
      <c r="AL149" s="201"/>
      <c r="AM149" s="201"/>
      <c r="AN149" s="201"/>
      <c r="AO149" s="201"/>
      <c r="AP149" s="201"/>
      <c r="AQ149" s="201"/>
      <c r="AR149" s="201"/>
      <c r="AS149" s="201"/>
      <c r="AT149" s="201"/>
      <c r="AU149" s="201"/>
    </row>
    <row r="150" spans="1:47" outlineLevel="1">
      <c r="A150" s="12"/>
      <c r="B150" s="12"/>
      <c r="C150" s="12"/>
      <c r="D150" s="12"/>
      <c r="E150" s="12"/>
      <c r="F150" s="177" t="str">
        <f>Asset8</f>
        <v>Equity Raising Costs</v>
      </c>
      <c r="G150" s="176">
        <f t="shared" ref="G150:Q150" si="15">(G48-G82-G116)/H$314</f>
        <v>0</v>
      </c>
      <c r="H150" s="177">
        <f t="shared" si="15"/>
        <v>1.4428919516944863</v>
      </c>
      <c r="I150" s="177">
        <f t="shared" si="15"/>
        <v>0</v>
      </c>
      <c r="J150" s="177">
        <f t="shared" si="15"/>
        <v>0</v>
      </c>
      <c r="K150" s="177">
        <f t="shared" si="15"/>
        <v>0</v>
      </c>
      <c r="L150" s="177">
        <f t="shared" si="15"/>
        <v>0</v>
      </c>
      <c r="M150" s="177">
        <f t="shared" si="15"/>
        <v>0</v>
      </c>
      <c r="N150" s="177">
        <f t="shared" si="15"/>
        <v>0</v>
      </c>
      <c r="O150" s="177">
        <f t="shared" si="15"/>
        <v>0</v>
      </c>
      <c r="P150" s="177">
        <f t="shared" si="15"/>
        <v>0</v>
      </c>
      <c r="Q150" s="177">
        <f t="shared" si="15"/>
        <v>0</v>
      </c>
      <c r="R150" s="8"/>
      <c r="S150" s="8"/>
      <c r="T150" s="8"/>
      <c r="U150" s="8"/>
      <c r="V150" s="8"/>
      <c r="W150" s="42"/>
      <c r="X150" s="9"/>
      <c r="Y150" s="9"/>
      <c r="Z150" s="9"/>
      <c r="AA150" s="9"/>
      <c r="AB150" s="9"/>
      <c r="AC150" s="9"/>
      <c r="AD150" s="9"/>
      <c r="AE150" s="201"/>
      <c r="AF150" s="201"/>
      <c r="AG150" s="201"/>
      <c r="AH150" s="201"/>
      <c r="AI150" s="201"/>
      <c r="AJ150" s="201"/>
      <c r="AK150" s="201"/>
      <c r="AL150" s="201"/>
      <c r="AM150" s="201"/>
      <c r="AN150" s="201"/>
      <c r="AO150" s="201"/>
      <c r="AP150" s="201"/>
      <c r="AQ150" s="201"/>
      <c r="AR150" s="201"/>
      <c r="AS150" s="201"/>
      <c r="AT150" s="201"/>
      <c r="AU150" s="201"/>
    </row>
    <row r="151" spans="1:47" outlineLevel="1">
      <c r="A151" s="12"/>
      <c r="B151" s="12"/>
      <c r="C151" s="12"/>
      <c r="D151" s="12"/>
      <c r="E151" s="12"/>
      <c r="F151" s="177">
        <f>Asset9</f>
        <v>0</v>
      </c>
      <c r="G151" s="176">
        <f t="shared" ref="G151:Q151" si="16">(G49-G83-G117)/H$314</f>
        <v>0</v>
      </c>
      <c r="H151" s="177">
        <f t="shared" si="16"/>
        <v>0</v>
      </c>
      <c r="I151" s="177">
        <f t="shared" si="16"/>
        <v>0</v>
      </c>
      <c r="J151" s="177">
        <f t="shared" si="16"/>
        <v>0</v>
      </c>
      <c r="K151" s="177">
        <f t="shared" si="16"/>
        <v>0</v>
      </c>
      <c r="L151" s="177">
        <f t="shared" si="16"/>
        <v>0</v>
      </c>
      <c r="M151" s="177">
        <f t="shared" si="16"/>
        <v>0</v>
      </c>
      <c r="N151" s="177">
        <f t="shared" si="16"/>
        <v>0</v>
      </c>
      <c r="O151" s="177">
        <f t="shared" si="16"/>
        <v>0</v>
      </c>
      <c r="P151" s="177">
        <f t="shared" si="16"/>
        <v>0</v>
      </c>
      <c r="Q151" s="177">
        <f t="shared" si="16"/>
        <v>0</v>
      </c>
      <c r="R151" s="8"/>
      <c r="S151" s="8"/>
      <c r="T151" s="8"/>
      <c r="U151" s="8"/>
      <c r="V151" s="8"/>
      <c r="W151" s="42"/>
      <c r="X151" s="9"/>
      <c r="Y151" s="9"/>
      <c r="Z151" s="9"/>
      <c r="AA151" s="9"/>
      <c r="AB151" s="9"/>
      <c r="AC151" s="9"/>
      <c r="AD151" s="9"/>
      <c r="AE151" s="201"/>
      <c r="AF151" s="201"/>
      <c r="AG151" s="201"/>
      <c r="AH151" s="201"/>
      <c r="AI151" s="201"/>
      <c r="AJ151" s="201"/>
      <c r="AK151" s="201"/>
      <c r="AL151" s="201"/>
      <c r="AM151" s="201"/>
      <c r="AN151" s="201"/>
      <c r="AO151" s="201"/>
      <c r="AP151" s="201"/>
      <c r="AQ151" s="201"/>
      <c r="AR151" s="201"/>
      <c r="AS151" s="201"/>
      <c r="AT151" s="201"/>
      <c r="AU151" s="201"/>
    </row>
    <row r="152" spans="1:47" outlineLevel="1">
      <c r="A152" s="12"/>
      <c r="B152" s="12"/>
      <c r="C152" s="12"/>
      <c r="D152" s="12"/>
      <c r="E152" s="12"/>
      <c r="F152" s="177">
        <f>Asset10</f>
        <v>0</v>
      </c>
      <c r="G152" s="176">
        <f t="shared" ref="G152:Q152" si="17">(G50-G84-G118)/H$314</f>
        <v>0</v>
      </c>
      <c r="H152" s="177">
        <f t="shared" si="17"/>
        <v>0</v>
      </c>
      <c r="I152" s="177">
        <f t="shared" si="17"/>
        <v>0</v>
      </c>
      <c r="J152" s="177">
        <f t="shared" si="17"/>
        <v>0</v>
      </c>
      <c r="K152" s="177">
        <f t="shared" si="17"/>
        <v>0</v>
      </c>
      <c r="L152" s="177">
        <f t="shared" si="17"/>
        <v>0</v>
      </c>
      <c r="M152" s="177">
        <f t="shared" si="17"/>
        <v>0</v>
      </c>
      <c r="N152" s="177">
        <f t="shared" si="17"/>
        <v>0</v>
      </c>
      <c r="O152" s="177">
        <f t="shared" si="17"/>
        <v>0</v>
      </c>
      <c r="P152" s="177">
        <f t="shared" si="17"/>
        <v>0</v>
      </c>
      <c r="Q152" s="177">
        <f t="shared" si="17"/>
        <v>0</v>
      </c>
      <c r="R152" s="8"/>
      <c r="S152" s="8"/>
      <c r="T152" s="8"/>
      <c r="U152" s="8"/>
      <c r="V152" s="8"/>
      <c r="W152" s="42"/>
      <c r="X152" s="9"/>
      <c r="Y152" s="9"/>
      <c r="Z152" s="9"/>
      <c r="AA152" s="9"/>
      <c r="AB152" s="9"/>
      <c r="AC152" s="9"/>
      <c r="AD152" s="9"/>
      <c r="AE152" s="201"/>
      <c r="AF152" s="201"/>
      <c r="AG152" s="201"/>
      <c r="AH152" s="201"/>
      <c r="AI152" s="201"/>
      <c r="AJ152" s="201"/>
      <c r="AK152" s="201"/>
      <c r="AL152" s="201"/>
      <c r="AM152" s="201"/>
      <c r="AN152" s="201"/>
      <c r="AO152" s="201"/>
      <c r="AP152" s="201"/>
      <c r="AQ152" s="201"/>
      <c r="AR152" s="201"/>
      <c r="AS152" s="201"/>
      <c r="AT152" s="201"/>
      <c r="AU152" s="201"/>
    </row>
    <row r="153" spans="1:47" outlineLevel="1">
      <c r="A153" s="12"/>
      <c r="B153" s="12"/>
      <c r="C153" s="12"/>
      <c r="D153" s="12"/>
      <c r="E153" s="12"/>
      <c r="F153" s="177">
        <f>Asset11</f>
        <v>0</v>
      </c>
      <c r="G153" s="176">
        <f t="shared" ref="G153:Q153" si="18">(G51-G85-G119)/H$314</f>
        <v>0</v>
      </c>
      <c r="H153" s="177">
        <f t="shared" si="18"/>
        <v>0</v>
      </c>
      <c r="I153" s="177">
        <f t="shared" si="18"/>
        <v>0</v>
      </c>
      <c r="J153" s="177">
        <f t="shared" si="18"/>
        <v>0</v>
      </c>
      <c r="K153" s="177">
        <f t="shared" si="18"/>
        <v>0</v>
      </c>
      <c r="L153" s="177">
        <f t="shared" si="18"/>
        <v>0</v>
      </c>
      <c r="M153" s="177">
        <f t="shared" si="18"/>
        <v>0</v>
      </c>
      <c r="N153" s="177">
        <f t="shared" si="18"/>
        <v>0</v>
      </c>
      <c r="O153" s="177">
        <f t="shared" si="18"/>
        <v>0</v>
      </c>
      <c r="P153" s="177">
        <f t="shared" si="18"/>
        <v>0</v>
      </c>
      <c r="Q153" s="177">
        <f t="shared" si="18"/>
        <v>0</v>
      </c>
      <c r="R153" s="8"/>
      <c r="S153" s="8"/>
      <c r="T153" s="8"/>
      <c r="U153" s="8"/>
      <c r="V153" s="8"/>
      <c r="W153" s="42"/>
      <c r="X153" s="9"/>
      <c r="Y153" s="9"/>
      <c r="Z153" s="9"/>
      <c r="AA153" s="9"/>
      <c r="AB153" s="9"/>
      <c r="AC153" s="9"/>
      <c r="AD153" s="9"/>
      <c r="AE153" s="201"/>
      <c r="AF153" s="201"/>
      <c r="AG153" s="201"/>
      <c r="AH153" s="201"/>
      <c r="AI153" s="201"/>
      <c r="AJ153" s="201"/>
      <c r="AK153" s="201"/>
      <c r="AL153" s="201"/>
      <c r="AM153" s="201"/>
      <c r="AN153" s="201"/>
      <c r="AO153" s="201"/>
      <c r="AP153" s="201"/>
      <c r="AQ153" s="201"/>
      <c r="AR153" s="201"/>
      <c r="AS153" s="201"/>
      <c r="AT153" s="201"/>
      <c r="AU153" s="201"/>
    </row>
    <row r="154" spans="1:47" outlineLevel="1">
      <c r="A154" s="12"/>
      <c r="B154" s="12"/>
      <c r="C154" s="12"/>
      <c r="D154" s="12"/>
      <c r="E154" s="12"/>
      <c r="F154" s="177">
        <f>Asset12</f>
        <v>0</v>
      </c>
      <c r="G154" s="176">
        <f t="shared" ref="G154:Q154" si="19">(G52-G86-G120)/H$314</f>
        <v>0</v>
      </c>
      <c r="H154" s="177">
        <f t="shared" si="19"/>
        <v>0</v>
      </c>
      <c r="I154" s="177">
        <f t="shared" si="19"/>
        <v>0</v>
      </c>
      <c r="J154" s="177">
        <f t="shared" si="19"/>
        <v>0</v>
      </c>
      <c r="K154" s="177">
        <f t="shared" si="19"/>
        <v>0</v>
      </c>
      <c r="L154" s="177">
        <f t="shared" si="19"/>
        <v>0</v>
      </c>
      <c r="M154" s="177">
        <f t="shared" si="19"/>
        <v>0</v>
      </c>
      <c r="N154" s="177">
        <f t="shared" si="19"/>
        <v>0</v>
      </c>
      <c r="O154" s="177">
        <f t="shared" si="19"/>
        <v>0</v>
      </c>
      <c r="P154" s="177">
        <f t="shared" si="19"/>
        <v>0</v>
      </c>
      <c r="Q154" s="177">
        <f t="shared" si="19"/>
        <v>0</v>
      </c>
      <c r="R154" s="8"/>
      <c r="S154" s="8"/>
      <c r="T154" s="8"/>
      <c r="U154" s="8"/>
      <c r="V154" s="8"/>
      <c r="W154" s="42"/>
      <c r="X154" s="9"/>
      <c r="Y154" s="9"/>
      <c r="Z154" s="9"/>
      <c r="AA154" s="9"/>
      <c r="AB154" s="9"/>
      <c r="AC154" s="9"/>
      <c r="AD154" s="9"/>
      <c r="AE154" s="201"/>
      <c r="AF154" s="201"/>
      <c r="AG154" s="201"/>
      <c r="AH154" s="201"/>
      <c r="AI154" s="201"/>
      <c r="AJ154" s="201"/>
      <c r="AK154" s="201"/>
      <c r="AL154" s="201"/>
      <c r="AM154" s="201"/>
      <c r="AN154" s="201"/>
      <c r="AO154" s="201"/>
      <c r="AP154" s="201"/>
      <c r="AQ154" s="201"/>
      <c r="AR154" s="201"/>
      <c r="AS154" s="201"/>
      <c r="AT154" s="201"/>
      <c r="AU154" s="201"/>
    </row>
    <row r="155" spans="1:47" outlineLevel="1">
      <c r="A155" s="12"/>
      <c r="B155" s="12"/>
      <c r="C155" s="12"/>
      <c r="D155" s="12"/>
      <c r="E155" s="12"/>
      <c r="F155" s="177">
        <f>Asset13</f>
        <v>0</v>
      </c>
      <c r="G155" s="176">
        <f t="shared" ref="G155:Q155" si="20">(G53-G87-G121)/H$314</f>
        <v>0</v>
      </c>
      <c r="H155" s="177">
        <f t="shared" si="20"/>
        <v>0</v>
      </c>
      <c r="I155" s="177">
        <f t="shared" si="20"/>
        <v>0</v>
      </c>
      <c r="J155" s="177">
        <f t="shared" si="20"/>
        <v>0</v>
      </c>
      <c r="K155" s="177">
        <f t="shared" si="20"/>
        <v>0</v>
      </c>
      <c r="L155" s="177">
        <f t="shared" si="20"/>
        <v>0</v>
      </c>
      <c r="M155" s="177">
        <f t="shared" si="20"/>
        <v>0</v>
      </c>
      <c r="N155" s="177">
        <f t="shared" si="20"/>
        <v>0</v>
      </c>
      <c r="O155" s="177">
        <f t="shared" si="20"/>
        <v>0</v>
      </c>
      <c r="P155" s="177">
        <f t="shared" si="20"/>
        <v>0</v>
      </c>
      <c r="Q155" s="177">
        <f t="shared" si="20"/>
        <v>0</v>
      </c>
      <c r="R155" s="8"/>
      <c r="S155" s="8"/>
      <c r="T155" s="8"/>
      <c r="U155" s="8"/>
      <c r="V155" s="8"/>
      <c r="W155" s="42"/>
      <c r="X155" s="9"/>
      <c r="Y155" s="9"/>
      <c r="Z155" s="9"/>
      <c r="AA155" s="9"/>
      <c r="AB155" s="9"/>
      <c r="AC155" s="9"/>
      <c r="AD155" s="9"/>
      <c r="AE155" s="201"/>
      <c r="AF155" s="201"/>
      <c r="AG155" s="201"/>
      <c r="AH155" s="201"/>
      <c r="AI155" s="201"/>
      <c r="AJ155" s="201"/>
      <c r="AK155" s="201"/>
      <c r="AL155" s="201"/>
      <c r="AM155" s="201"/>
      <c r="AN155" s="201"/>
      <c r="AO155" s="201"/>
      <c r="AP155" s="201"/>
      <c r="AQ155" s="201"/>
      <c r="AR155" s="201"/>
      <c r="AS155" s="201"/>
      <c r="AT155" s="201"/>
      <c r="AU155" s="201"/>
    </row>
    <row r="156" spans="1:47" outlineLevel="1">
      <c r="A156" s="12"/>
      <c r="B156" s="12"/>
      <c r="C156" s="12"/>
      <c r="D156" s="12"/>
      <c r="E156" s="12"/>
      <c r="F156" s="177">
        <f>Asset14</f>
        <v>0</v>
      </c>
      <c r="G156" s="176">
        <f t="shared" ref="G156:Q156" si="21">(G54-G88-G122)/H$314</f>
        <v>0</v>
      </c>
      <c r="H156" s="177">
        <f t="shared" si="21"/>
        <v>0</v>
      </c>
      <c r="I156" s="177">
        <f t="shared" si="21"/>
        <v>0</v>
      </c>
      <c r="J156" s="177">
        <f t="shared" si="21"/>
        <v>0</v>
      </c>
      <c r="K156" s="177">
        <f t="shared" si="21"/>
        <v>0</v>
      </c>
      <c r="L156" s="177">
        <f t="shared" si="21"/>
        <v>0</v>
      </c>
      <c r="M156" s="177">
        <f t="shared" si="21"/>
        <v>0</v>
      </c>
      <c r="N156" s="177">
        <f t="shared" si="21"/>
        <v>0</v>
      </c>
      <c r="O156" s="177">
        <f t="shared" si="21"/>
        <v>0</v>
      </c>
      <c r="P156" s="177">
        <f t="shared" si="21"/>
        <v>0</v>
      </c>
      <c r="Q156" s="177">
        <f t="shared" si="21"/>
        <v>0</v>
      </c>
      <c r="R156" s="8"/>
      <c r="S156" s="8"/>
      <c r="T156" s="8"/>
      <c r="U156" s="8"/>
      <c r="V156" s="8"/>
      <c r="W156" s="42"/>
      <c r="X156" s="9"/>
      <c r="Y156" s="9"/>
      <c r="Z156" s="9"/>
      <c r="AA156" s="9"/>
      <c r="AB156" s="9"/>
      <c r="AC156" s="9"/>
      <c r="AD156" s="9"/>
      <c r="AE156" s="201"/>
      <c r="AF156" s="201"/>
      <c r="AG156" s="201"/>
      <c r="AH156" s="201"/>
      <c r="AI156" s="201"/>
      <c r="AJ156" s="201"/>
      <c r="AK156" s="201"/>
      <c r="AL156" s="201"/>
      <c r="AM156" s="201"/>
      <c r="AN156" s="201"/>
      <c r="AO156" s="201"/>
      <c r="AP156" s="201"/>
      <c r="AQ156" s="201"/>
      <c r="AR156" s="201"/>
      <c r="AS156" s="201"/>
      <c r="AT156" s="201"/>
      <c r="AU156" s="201"/>
    </row>
    <row r="157" spans="1:47" outlineLevel="1">
      <c r="A157" s="12"/>
      <c r="B157" s="12"/>
      <c r="C157" s="12"/>
      <c r="D157" s="12"/>
      <c r="E157" s="12"/>
      <c r="F157" s="177">
        <f>Asset15</f>
        <v>0</v>
      </c>
      <c r="G157" s="176">
        <f t="shared" ref="G157:Q157" si="22">(G55-G89-G123)/H$314</f>
        <v>0</v>
      </c>
      <c r="H157" s="177">
        <f t="shared" si="22"/>
        <v>0</v>
      </c>
      <c r="I157" s="177">
        <f t="shared" si="22"/>
        <v>0</v>
      </c>
      <c r="J157" s="177">
        <f t="shared" si="22"/>
        <v>0</v>
      </c>
      <c r="K157" s="177">
        <f t="shared" si="22"/>
        <v>0</v>
      </c>
      <c r="L157" s="177">
        <f t="shared" si="22"/>
        <v>0</v>
      </c>
      <c r="M157" s="177">
        <f t="shared" si="22"/>
        <v>0</v>
      </c>
      <c r="N157" s="177">
        <f t="shared" si="22"/>
        <v>0</v>
      </c>
      <c r="O157" s="177">
        <f t="shared" si="22"/>
        <v>0</v>
      </c>
      <c r="P157" s="177">
        <f t="shared" si="22"/>
        <v>0</v>
      </c>
      <c r="Q157" s="177">
        <f t="shared" si="22"/>
        <v>0</v>
      </c>
      <c r="R157" s="8"/>
      <c r="S157" s="8"/>
      <c r="T157" s="8"/>
      <c r="U157" s="8"/>
      <c r="V157" s="8"/>
      <c r="W157" s="42"/>
      <c r="X157" s="9"/>
      <c r="Y157" s="9"/>
      <c r="Z157" s="9"/>
      <c r="AA157" s="9"/>
      <c r="AB157" s="9"/>
      <c r="AC157" s="9"/>
      <c r="AD157" s="9"/>
      <c r="AE157" s="201"/>
      <c r="AF157" s="201"/>
      <c r="AG157" s="201"/>
      <c r="AH157" s="201"/>
      <c r="AI157" s="201"/>
      <c r="AJ157" s="201"/>
      <c r="AK157" s="201"/>
      <c r="AL157" s="201"/>
      <c r="AM157" s="201"/>
      <c r="AN157" s="201"/>
      <c r="AO157" s="201"/>
      <c r="AP157" s="201"/>
      <c r="AQ157" s="201"/>
      <c r="AR157" s="201"/>
      <c r="AS157" s="201"/>
      <c r="AT157" s="201"/>
      <c r="AU157" s="201"/>
    </row>
    <row r="158" spans="1:47" outlineLevel="1">
      <c r="A158" s="12"/>
      <c r="B158" s="12"/>
      <c r="C158" s="12"/>
      <c r="D158" s="12"/>
      <c r="E158" s="12"/>
      <c r="F158" s="177">
        <f>Asset16</f>
        <v>0</v>
      </c>
      <c r="G158" s="176">
        <f t="shared" ref="G158:Q158" si="23">(G56-G90-G124)/H$314</f>
        <v>0</v>
      </c>
      <c r="H158" s="177">
        <f t="shared" si="23"/>
        <v>0</v>
      </c>
      <c r="I158" s="177">
        <f t="shared" si="23"/>
        <v>0</v>
      </c>
      <c r="J158" s="177">
        <f t="shared" si="23"/>
        <v>0</v>
      </c>
      <c r="K158" s="177">
        <f t="shared" si="23"/>
        <v>0</v>
      </c>
      <c r="L158" s="177">
        <f t="shared" si="23"/>
        <v>0</v>
      </c>
      <c r="M158" s="177">
        <f t="shared" si="23"/>
        <v>0</v>
      </c>
      <c r="N158" s="177">
        <f t="shared" si="23"/>
        <v>0</v>
      </c>
      <c r="O158" s="177">
        <f t="shared" si="23"/>
        <v>0</v>
      </c>
      <c r="P158" s="177">
        <f t="shared" si="23"/>
        <v>0</v>
      </c>
      <c r="Q158" s="177">
        <f t="shared" si="23"/>
        <v>0</v>
      </c>
      <c r="R158" s="8"/>
      <c r="S158" s="8"/>
      <c r="T158" s="8"/>
      <c r="U158" s="8"/>
      <c r="V158" s="8"/>
      <c r="W158" s="42"/>
      <c r="X158" s="9"/>
      <c r="Y158" s="9"/>
      <c r="Z158" s="9"/>
      <c r="AA158" s="9"/>
      <c r="AB158" s="9"/>
      <c r="AC158" s="9"/>
      <c r="AD158" s="9"/>
      <c r="AE158" s="201"/>
      <c r="AF158" s="201"/>
      <c r="AG158" s="201"/>
      <c r="AH158" s="201"/>
      <c r="AI158" s="201"/>
      <c r="AJ158" s="201"/>
      <c r="AK158" s="201"/>
      <c r="AL158" s="201"/>
      <c r="AM158" s="201"/>
      <c r="AN158" s="201"/>
      <c r="AO158" s="201"/>
      <c r="AP158" s="201"/>
      <c r="AQ158" s="201"/>
      <c r="AR158" s="201"/>
      <c r="AS158" s="201"/>
      <c r="AT158" s="201"/>
      <c r="AU158" s="201"/>
    </row>
    <row r="159" spans="1:47" outlineLevel="1">
      <c r="A159" s="12"/>
      <c r="B159" s="12"/>
      <c r="C159" s="12"/>
      <c r="D159" s="12"/>
      <c r="E159" s="12"/>
      <c r="F159" s="177">
        <f>Asset17</f>
        <v>0</v>
      </c>
      <c r="G159" s="176">
        <f t="shared" ref="G159:Q159" si="24">(G57-G91-G125)/H$314</f>
        <v>0</v>
      </c>
      <c r="H159" s="177">
        <f t="shared" si="24"/>
        <v>0</v>
      </c>
      <c r="I159" s="177">
        <f t="shared" si="24"/>
        <v>0</v>
      </c>
      <c r="J159" s="177">
        <f t="shared" si="24"/>
        <v>0</v>
      </c>
      <c r="K159" s="177">
        <f t="shared" si="24"/>
        <v>0</v>
      </c>
      <c r="L159" s="177">
        <f t="shared" si="24"/>
        <v>0</v>
      </c>
      <c r="M159" s="177">
        <f t="shared" si="24"/>
        <v>0</v>
      </c>
      <c r="N159" s="177">
        <f t="shared" si="24"/>
        <v>0</v>
      </c>
      <c r="O159" s="177">
        <f t="shared" si="24"/>
        <v>0</v>
      </c>
      <c r="P159" s="177">
        <f t="shared" si="24"/>
        <v>0</v>
      </c>
      <c r="Q159" s="177">
        <f t="shared" si="24"/>
        <v>0</v>
      </c>
      <c r="R159" s="8"/>
      <c r="S159" s="8"/>
      <c r="T159" s="8"/>
      <c r="U159" s="8"/>
      <c r="V159" s="8"/>
      <c r="W159" s="42"/>
      <c r="X159" s="9"/>
      <c r="Y159" s="9"/>
      <c r="Z159" s="9"/>
      <c r="AA159" s="9"/>
      <c r="AB159" s="9"/>
      <c r="AC159" s="9"/>
      <c r="AD159" s="9"/>
      <c r="AE159" s="201"/>
      <c r="AF159" s="201"/>
      <c r="AG159" s="201"/>
      <c r="AH159" s="201"/>
      <c r="AI159" s="201"/>
      <c r="AJ159" s="201"/>
      <c r="AK159" s="201"/>
      <c r="AL159" s="201"/>
      <c r="AM159" s="201"/>
      <c r="AN159" s="201"/>
      <c r="AO159" s="201"/>
      <c r="AP159" s="201"/>
      <c r="AQ159" s="201"/>
      <c r="AR159" s="201"/>
      <c r="AS159" s="201"/>
      <c r="AT159" s="201"/>
      <c r="AU159" s="201"/>
    </row>
    <row r="160" spans="1:47" outlineLevel="1">
      <c r="A160" s="12"/>
      <c r="B160" s="12"/>
      <c r="C160" s="12"/>
      <c r="D160" s="12"/>
      <c r="E160" s="12"/>
      <c r="F160" s="177">
        <f>Asset18</f>
        <v>0</v>
      </c>
      <c r="G160" s="176">
        <f t="shared" ref="G160:Q160" si="25">(G58-G92-G126)/H$314</f>
        <v>0</v>
      </c>
      <c r="H160" s="177">
        <f t="shared" si="25"/>
        <v>0</v>
      </c>
      <c r="I160" s="177">
        <f t="shared" si="25"/>
        <v>0</v>
      </c>
      <c r="J160" s="177">
        <f t="shared" si="25"/>
        <v>0</v>
      </c>
      <c r="K160" s="177">
        <f t="shared" si="25"/>
        <v>0</v>
      </c>
      <c r="L160" s="177">
        <f t="shared" si="25"/>
        <v>0</v>
      </c>
      <c r="M160" s="177">
        <f t="shared" si="25"/>
        <v>0</v>
      </c>
      <c r="N160" s="177">
        <f t="shared" si="25"/>
        <v>0</v>
      </c>
      <c r="O160" s="177">
        <f t="shared" si="25"/>
        <v>0</v>
      </c>
      <c r="P160" s="177">
        <f t="shared" si="25"/>
        <v>0</v>
      </c>
      <c r="Q160" s="177">
        <f t="shared" si="25"/>
        <v>0</v>
      </c>
      <c r="R160" s="8"/>
      <c r="S160" s="8"/>
      <c r="T160" s="8"/>
      <c r="U160" s="8"/>
      <c r="V160" s="8"/>
      <c r="W160" s="42"/>
      <c r="X160" s="9"/>
      <c r="Y160" s="9"/>
      <c r="Z160" s="9"/>
      <c r="AA160" s="9"/>
      <c r="AB160" s="9"/>
      <c r="AC160" s="9"/>
      <c r="AD160" s="9"/>
      <c r="AE160" s="201"/>
      <c r="AF160" s="201"/>
      <c r="AG160" s="201"/>
      <c r="AH160" s="201"/>
      <c r="AI160" s="201"/>
      <c r="AJ160" s="201"/>
      <c r="AK160" s="201"/>
      <c r="AL160" s="201"/>
      <c r="AM160" s="201"/>
      <c r="AN160" s="201"/>
      <c r="AO160" s="201"/>
      <c r="AP160" s="201"/>
      <c r="AQ160" s="201"/>
      <c r="AR160" s="201"/>
      <c r="AS160" s="201"/>
      <c r="AT160" s="201"/>
      <c r="AU160" s="201"/>
    </row>
    <row r="161" spans="1:47" outlineLevel="1">
      <c r="A161" s="12"/>
      <c r="B161" s="12"/>
      <c r="C161" s="12"/>
      <c r="D161" s="12"/>
      <c r="E161" s="12"/>
      <c r="F161" s="177">
        <f>Asset19</f>
        <v>0</v>
      </c>
      <c r="G161" s="176">
        <f t="shared" ref="G161:Q161" si="26">(G59-G93-G127)/H$314</f>
        <v>0</v>
      </c>
      <c r="H161" s="177">
        <f t="shared" si="26"/>
        <v>0</v>
      </c>
      <c r="I161" s="177">
        <f t="shared" si="26"/>
        <v>0</v>
      </c>
      <c r="J161" s="177">
        <f t="shared" si="26"/>
        <v>0</v>
      </c>
      <c r="K161" s="177">
        <f t="shared" si="26"/>
        <v>0</v>
      </c>
      <c r="L161" s="177">
        <f t="shared" si="26"/>
        <v>0</v>
      </c>
      <c r="M161" s="177">
        <f t="shared" si="26"/>
        <v>0</v>
      </c>
      <c r="N161" s="177">
        <f t="shared" si="26"/>
        <v>0</v>
      </c>
      <c r="O161" s="177">
        <f t="shared" si="26"/>
        <v>0</v>
      </c>
      <c r="P161" s="177">
        <f t="shared" si="26"/>
        <v>0</v>
      </c>
      <c r="Q161" s="177">
        <f t="shared" si="26"/>
        <v>0</v>
      </c>
      <c r="R161" s="8"/>
      <c r="S161" s="8"/>
      <c r="T161" s="8"/>
      <c r="U161" s="8"/>
      <c r="V161" s="8"/>
      <c r="W161" s="42"/>
      <c r="X161" s="9"/>
      <c r="Y161" s="9"/>
      <c r="Z161" s="9"/>
      <c r="AA161" s="9"/>
      <c r="AB161" s="9"/>
      <c r="AC161" s="9"/>
      <c r="AD161" s="9"/>
      <c r="AE161" s="201"/>
      <c r="AF161" s="201"/>
      <c r="AG161" s="201"/>
      <c r="AH161" s="201"/>
      <c r="AI161" s="201"/>
      <c r="AJ161" s="201"/>
      <c r="AK161" s="201"/>
      <c r="AL161" s="201"/>
      <c r="AM161" s="201"/>
      <c r="AN161" s="201"/>
      <c r="AO161" s="201"/>
      <c r="AP161" s="201"/>
      <c r="AQ161" s="201"/>
      <c r="AR161" s="201"/>
      <c r="AS161" s="201"/>
      <c r="AT161" s="201"/>
      <c r="AU161" s="201"/>
    </row>
    <row r="162" spans="1:47" outlineLevel="1">
      <c r="A162" s="12"/>
      <c r="B162" s="12"/>
      <c r="C162" s="12"/>
      <c r="D162" s="12"/>
      <c r="E162" s="12"/>
      <c r="F162" s="304">
        <f>Asset20</f>
        <v>0</v>
      </c>
      <c r="G162" s="176">
        <f t="shared" ref="G162:Q162" si="27">(G60-G94-G128)/H$314</f>
        <v>0</v>
      </c>
      <c r="H162" s="177">
        <f t="shared" si="27"/>
        <v>0</v>
      </c>
      <c r="I162" s="177">
        <f t="shared" si="27"/>
        <v>0</v>
      </c>
      <c r="J162" s="177">
        <f t="shared" si="27"/>
        <v>0</v>
      </c>
      <c r="K162" s="177">
        <f t="shared" si="27"/>
        <v>0</v>
      </c>
      <c r="L162" s="177">
        <f t="shared" si="27"/>
        <v>0</v>
      </c>
      <c r="M162" s="177">
        <f t="shared" si="27"/>
        <v>0</v>
      </c>
      <c r="N162" s="177">
        <f t="shared" si="27"/>
        <v>0</v>
      </c>
      <c r="O162" s="177">
        <f t="shared" si="27"/>
        <v>0</v>
      </c>
      <c r="P162" s="177">
        <f t="shared" si="27"/>
        <v>0</v>
      </c>
      <c r="Q162" s="177">
        <f t="shared" si="27"/>
        <v>0</v>
      </c>
      <c r="R162" s="8"/>
      <c r="S162" s="8"/>
      <c r="T162" s="8"/>
      <c r="U162" s="8"/>
      <c r="V162" s="8"/>
      <c r="W162" s="42"/>
      <c r="X162" s="9"/>
      <c r="Y162" s="9"/>
      <c r="Z162" s="9"/>
      <c r="AA162" s="9"/>
      <c r="AB162" s="9"/>
      <c r="AC162" s="9"/>
      <c r="AD162" s="9"/>
      <c r="AE162" s="201"/>
      <c r="AF162" s="201"/>
      <c r="AG162" s="201"/>
      <c r="AH162" s="201"/>
      <c r="AI162" s="201"/>
      <c r="AJ162" s="201"/>
      <c r="AK162" s="201"/>
      <c r="AL162" s="201"/>
      <c r="AM162" s="201"/>
      <c r="AN162" s="201"/>
      <c r="AO162" s="201"/>
      <c r="AP162" s="201"/>
      <c r="AQ162" s="201"/>
      <c r="AR162" s="201"/>
      <c r="AS162" s="201"/>
      <c r="AT162" s="201"/>
      <c r="AU162" s="201"/>
    </row>
    <row r="163" spans="1:47" outlineLevel="1">
      <c r="A163" s="12"/>
      <c r="B163" s="12"/>
      <c r="C163" s="12"/>
      <c r="D163" s="12"/>
      <c r="E163" s="12"/>
      <c r="F163" s="304">
        <f>Asset21</f>
        <v>0</v>
      </c>
      <c r="G163" s="176">
        <f t="shared" ref="G163:Q163" si="28">(G61-G95-G129)/H$314</f>
        <v>0</v>
      </c>
      <c r="H163" s="177">
        <f t="shared" si="28"/>
        <v>0</v>
      </c>
      <c r="I163" s="177">
        <f t="shared" si="28"/>
        <v>0</v>
      </c>
      <c r="J163" s="177">
        <f t="shared" si="28"/>
        <v>0</v>
      </c>
      <c r="K163" s="177">
        <f t="shared" si="28"/>
        <v>0</v>
      </c>
      <c r="L163" s="177">
        <f t="shared" si="28"/>
        <v>0</v>
      </c>
      <c r="M163" s="177">
        <f t="shared" si="28"/>
        <v>0</v>
      </c>
      <c r="N163" s="177">
        <f t="shared" si="28"/>
        <v>0</v>
      </c>
      <c r="O163" s="177">
        <f t="shared" si="28"/>
        <v>0</v>
      </c>
      <c r="P163" s="177">
        <f t="shared" si="28"/>
        <v>0</v>
      </c>
      <c r="Q163" s="177">
        <f t="shared" si="28"/>
        <v>0</v>
      </c>
      <c r="R163" s="8"/>
      <c r="S163" s="8"/>
      <c r="T163" s="8"/>
      <c r="U163" s="8"/>
      <c r="V163" s="8"/>
      <c r="W163" s="42"/>
      <c r="X163" s="9"/>
      <c r="Y163" s="9"/>
      <c r="Z163" s="9"/>
      <c r="AA163" s="9"/>
      <c r="AB163" s="9"/>
      <c r="AC163" s="9"/>
      <c r="AD163" s="9"/>
      <c r="AE163" s="201"/>
      <c r="AF163" s="201"/>
      <c r="AG163" s="201"/>
      <c r="AH163" s="201"/>
      <c r="AI163" s="201"/>
      <c r="AJ163" s="201"/>
      <c r="AK163" s="201"/>
      <c r="AL163" s="201"/>
      <c r="AM163" s="201"/>
      <c r="AN163" s="201"/>
      <c r="AO163" s="201"/>
      <c r="AP163" s="201"/>
      <c r="AQ163" s="201"/>
      <c r="AR163" s="201"/>
      <c r="AS163" s="201"/>
      <c r="AT163" s="201"/>
      <c r="AU163" s="201"/>
    </row>
    <row r="164" spans="1:47" outlineLevel="1">
      <c r="A164" s="12"/>
      <c r="B164" s="12"/>
      <c r="C164" s="12"/>
      <c r="D164" s="12"/>
      <c r="E164" s="12"/>
      <c r="F164" s="304">
        <f>Asset22</f>
        <v>0</v>
      </c>
      <c r="G164" s="176">
        <f t="shared" ref="G164:Q164" si="29">(G62-G96-G130)/H$314</f>
        <v>0</v>
      </c>
      <c r="H164" s="177">
        <f t="shared" si="29"/>
        <v>0</v>
      </c>
      <c r="I164" s="177">
        <f t="shared" si="29"/>
        <v>0</v>
      </c>
      <c r="J164" s="177">
        <f t="shared" si="29"/>
        <v>0</v>
      </c>
      <c r="K164" s="177">
        <f t="shared" si="29"/>
        <v>0</v>
      </c>
      <c r="L164" s="177">
        <f t="shared" si="29"/>
        <v>0</v>
      </c>
      <c r="M164" s="177">
        <f t="shared" si="29"/>
        <v>0</v>
      </c>
      <c r="N164" s="177">
        <f t="shared" si="29"/>
        <v>0</v>
      </c>
      <c r="O164" s="177">
        <f t="shared" si="29"/>
        <v>0</v>
      </c>
      <c r="P164" s="177">
        <f t="shared" si="29"/>
        <v>0</v>
      </c>
      <c r="Q164" s="177">
        <f t="shared" si="29"/>
        <v>0</v>
      </c>
      <c r="R164" s="8"/>
      <c r="S164" s="8"/>
      <c r="T164" s="8"/>
      <c r="U164" s="8"/>
      <c r="V164" s="8"/>
      <c r="W164" s="42"/>
      <c r="X164" s="9"/>
      <c r="Y164" s="9"/>
      <c r="Z164" s="9"/>
      <c r="AA164" s="9"/>
      <c r="AB164" s="9"/>
      <c r="AC164" s="9"/>
      <c r="AD164" s="9"/>
      <c r="AE164" s="201"/>
      <c r="AF164" s="201"/>
      <c r="AG164" s="201"/>
      <c r="AH164" s="201"/>
      <c r="AI164" s="201"/>
      <c r="AJ164" s="201"/>
      <c r="AK164" s="201"/>
      <c r="AL164" s="201"/>
      <c r="AM164" s="201"/>
      <c r="AN164" s="201"/>
      <c r="AO164" s="201"/>
      <c r="AP164" s="201"/>
      <c r="AQ164" s="201"/>
      <c r="AR164" s="201"/>
      <c r="AS164" s="201"/>
      <c r="AT164" s="201"/>
      <c r="AU164" s="201"/>
    </row>
    <row r="165" spans="1:47" outlineLevel="1">
      <c r="A165" s="12"/>
      <c r="B165" s="12"/>
      <c r="C165" s="12"/>
      <c r="D165" s="12"/>
      <c r="E165" s="12"/>
      <c r="F165" s="304">
        <f>Asset23</f>
        <v>0</v>
      </c>
      <c r="G165" s="176">
        <f t="shared" ref="G165:Q165" si="30">(G63-G97-G131)/H$314</f>
        <v>0</v>
      </c>
      <c r="H165" s="177">
        <f t="shared" si="30"/>
        <v>0</v>
      </c>
      <c r="I165" s="177">
        <f t="shared" si="30"/>
        <v>0</v>
      </c>
      <c r="J165" s="177">
        <f t="shared" si="30"/>
        <v>0</v>
      </c>
      <c r="K165" s="177">
        <f t="shared" si="30"/>
        <v>0</v>
      </c>
      <c r="L165" s="177">
        <f t="shared" si="30"/>
        <v>0</v>
      </c>
      <c r="M165" s="177">
        <f t="shared" si="30"/>
        <v>0</v>
      </c>
      <c r="N165" s="177">
        <f t="shared" si="30"/>
        <v>0</v>
      </c>
      <c r="O165" s="177">
        <f t="shared" si="30"/>
        <v>0</v>
      </c>
      <c r="P165" s="177">
        <f t="shared" si="30"/>
        <v>0</v>
      </c>
      <c r="Q165" s="177">
        <f t="shared" si="30"/>
        <v>0</v>
      </c>
      <c r="R165" s="8"/>
      <c r="S165" s="8"/>
      <c r="T165" s="8"/>
      <c r="U165" s="8"/>
      <c r="V165" s="8"/>
      <c r="W165" s="42"/>
      <c r="X165" s="9"/>
      <c r="Y165" s="9"/>
      <c r="Z165" s="9"/>
      <c r="AA165" s="9"/>
      <c r="AB165" s="9"/>
      <c r="AC165" s="9"/>
      <c r="AD165" s="9"/>
      <c r="AE165" s="201"/>
      <c r="AF165" s="201"/>
      <c r="AG165" s="201"/>
      <c r="AH165" s="201"/>
      <c r="AI165" s="201"/>
      <c r="AJ165" s="201"/>
      <c r="AK165" s="201"/>
      <c r="AL165" s="201"/>
      <c r="AM165" s="201"/>
      <c r="AN165" s="201"/>
      <c r="AO165" s="201"/>
      <c r="AP165" s="201"/>
      <c r="AQ165" s="201"/>
      <c r="AR165" s="201"/>
      <c r="AS165" s="201"/>
      <c r="AT165" s="201"/>
      <c r="AU165" s="201"/>
    </row>
    <row r="166" spans="1:47" outlineLevel="1">
      <c r="A166" s="12"/>
      <c r="B166" s="12"/>
      <c r="C166" s="12"/>
      <c r="D166" s="12"/>
      <c r="E166" s="12"/>
      <c r="F166" s="304">
        <f>Asset24</f>
        <v>0</v>
      </c>
      <c r="G166" s="176">
        <f t="shared" ref="G166:Q166" si="31">(G64-G98-G132)/H$314</f>
        <v>0</v>
      </c>
      <c r="H166" s="177">
        <f t="shared" si="31"/>
        <v>0</v>
      </c>
      <c r="I166" s="177">
        <f t="shared" si="31"/>
        <v>0</v>
      </c>
      <c r="J166" s="177">
        <f t="shared" si="31"/>
        <v>0</v>
      </c>
      <c r="K166" s="177">
        <f t="shared" si="31"/>
        <v>0</v>
      </c>
      <c r="L166" s="177">
        <f t="shared" si="31"/>
        <v>0</v>
      </c>
      <c r="M166" s="177">
        <f t="shared" si="31"/>
        <v>0</v>
      </c>
      <c r="N166" s="177">
        <f t="shared" si="31"/>
        <v>0</v>
      </c>
      <c r="O166" s="177">
        <f t="shared" si="31"/>
        <v>0</v>
      </c>
      <c r="P166" s="177">
        <f t="shared" si="31"/>
        <v>0</v>
      </c>
      <c r="Q166" s="177">
        <f t="shared" si="31"/>
        <v>0</v>
      </c>
      <c r="R166" s="8"/>
      <c r="S166" s="8"/>
      <c r="T166" s="8"/>
      <c r="U166" s="8"/>
      <c r="V166" s="8"/>
      <c r="W166" s="42"/>
      <c r="X166" s="9"/>
      <c r="Y166" s="9"/>
      <c r="Z166" s="9"/>
      <c r="AA166" s="9"/>
      <c r="AB166" s="9"/>
      <c r="AC166" s="9"/>
      <c r="AD166" s="9"/>
      <c r="AE166" s="201"/>
      <c r="AF166" s="201"/>
      <c r="AG166" s="201"/>
      <c r="AH166" s="201"/>
      <c r="AI166" s="201"/>
      <c r="AJ166" s="201"/>
      <c r="AK166" s="201"/>
      <c r="AL166" s="201"/>
      <c r="AM166" s="201"/>
      <c r="AN166" s="201"/>
      <c r="AO166" s="201"/>
      <c r="AP166" s="201"/>
      <c r="AQ166" s="201"/>
      <c r="AR166" s="201"/>
      <c r="AS166" s="201"/>
      <c r="AT166" s="201"/>
      <c r="AU166" s="201"/>
    </row>
    <row r="167" spans="1:47" outlineLevel="1">
      <c r="A167" s="12"/>
      <c r="B167" s="12"/>
      <c r="C167" s="12"/>
      <c r="D167" s="12"/>
      <c r="E167" s="12"/>
      <c r="F167" s="304">
        <f>Asset25</f>
        <v>0</v>
      </c>
      <c r="G167" s="176">
        <f t="shared" ref="G167:Q167" si="32">(G65-G99-G133)/H$314</f>
        <v>0</v>
      </c>
      <c r="H167" s="177">
        <f t="shared" si="32"/>
        <v>0</v>
      </c>
      <c r="I167" s="177">
        <f t="shared" si="32"/>
        <v>0</v>
      </c>
      <c r="J167" s="177">
        <f t="shared" si="32"/>
        <v>0</v>
      </c>
      <c r="K167" s="177">
        <f t="shared" si="32"/>
        <v>0</v>
      </c>
      <c r="L167" s="177">
        <f t="shared" si="32"/>
        <v>0</v>
      </c>
      <c r="M167" s="177">
        <f t="shared" si="32"/>
        <v>0</v>
      </c>
      <c r="N167" s="177">
        <f t="shared" si="32"/>
        <v>0</v>
      </c>
      <c r="O167" s="177">
        <f t="shared" si="32"/>
        <v>0</v>
      </c>
      <c r="P167" s="177">
        <f t="shared" si="32"/>
        <v>0</v>
      </c>
      <c r="Q167" s="177">
        <f t="shared" si="32"/>
        <v>0</v>
      </c>
      <c r="R167" s="8"/>
      <c r="S167" s="8"/>
      <c r="T167" s="8"/>
      <c r="U167" s="8"/>
      <c r="V167" s="8"/>
      <c r="W167" s="42"/>
      <c r="X167" s="9"/>
      <c r="Y167" s="9"/>
      <c r="Z167" s="9"/>
      <c r="AA167" s="9"/>
      <c r="AB167" s="9"/>
      <c r="AC167" s="9"/>
      <c r="AD167" s="9"/>
      <c r="AE167" s="201"/>
      <c r="AF167" s="201"/>
      <c r="AG167" s="201"/>
      <c r="AH167" s="201"/>
      <c r="AI167" s="201"/>
      <c r="AJ167" s="201"/>
      <c r="AK167" s="201"/>
      <c r="AL167" s="201"/>
      <c r="AM167" s="201"/>
      <c r="AN167" s="201"/>
      <c r="AO167" s="201"/>
      <c r="AP167" s="201"/>
      <c r="AQ167" s="201"/>
      <c r="AR167" s="201"/>
      <c r="AS167" s="201"/>
      <c r="AT167" s="201"/>
      <c r="AU167" s="201"/>
    </row>
    <row r="168" spans="1:47" outlineLevel="1">
      <c r="A168" s="12"/>
      <c r="B168" s="12"/>
      <c r="C168" s="12"/>
      <c r="D168" s="12"/>
      <c r="E168" s="12"/>
      <c r="F168" s="304">
        <f>Asset26</f>
        <v>0</v>
      </c>
      <c r="G168" s="176">
        <f t="shared" ref="G168:Q168" si="33">(G66-G100-G134)/H$314</f>
        <v>0</v>
      </c>
      <c r="H168" s="177">
        <f t="shared" si="33"/>
        <v>0</v>
      </c>
      <c r="I168" s="177">
        <f t="shared" si="33"/>
        <v>0</v>
      </c>
      <c r="J168" s="177">
        <f t="shared" si="33"/>
        <v>0</v>
      </c>
      <c r="K168" s="177">
        <f t="shared" si="33"/>
        <v>0</v>
      </c>
      <c r="L168" s="177">
        <f t="shared" si="33"/>
        <v>0</v>
      </c>
      <c r="M168" s="177">
        <f t="shared" si="33"/>
        <v>0</v>
      </c>
      <c r="N168" s="177">
        <f t="shared" si="33"/>
        <v>0</v>
      </c>
      <c r="O168" s="177">
        <f t="shared" si="33"/>
        <v>0</v>
      </c>
      <c r="P168" s="177">
        <f t="shared" si="33"/>
        <v>0</v>
      </c>
      <c r="Q168" s="177">
        <f t="shared" si="33"/>
        <v>0</v>
      </c>
      <c r="R168" s="8"/>
      <c r="S168" s="8"/>
      <c r="T168" s="8"/>
      <c r="U168" s="8"/>
      <c r="V168" s="8"/>
      <c r="W168" s="42"/>
      <c r="X168" s="9"/>
      <c r="Y168" s="9"/>
      <c r="Z168" s="9"/>
      <c r="AA168" s="9"/>
      <c r="AB168" s="9"/>
      <c r="AC168" s="9"/>
      <c r="AD168" s="9"/>
      <c r="AE168" s="201"/>
      <c r="AF168" s="201"/>
      <c r="AG168" s="201"/>
      <c r="AH168" s="201"/>
      <c r="AI168" s="201"/>
      <c r="AJ168" s="201"/>
      <c r="AK168" s="201"/>
      <c r="AL168" s="201"/>
      <c r="AM168" s="201"/>
      <c r="AN168" s="201"/>
      <c r="AO168" s="201"/>
      <c r="AP168" s="201"/>
      <c r="AQ168" s="201"/>
      <c r="AR168" s="201"/>
      <c r="AS168" s="201"/>
      <c r="AT168" s="201"/>
      <c r="AU168" s="201"/>
    </row>
    <row r="169" spans="1:47" outlineLevel="1">
      <c r="A169" s="12"/>
      <c r="B169" s="12"/>
      <c r="C169" s="12"/>
      <c r="D169" s="12"/>
      <c r="E169" s="12"/>
      <c r="F169" s="304">
        <f>Asset27</f>
        <v>0</v>
      </c>
      <c r="G169" s="176">
        <f t="shared" ref="G169:Q169" si="34">(G67-G101-G135)/H$314</f>
        <v>0</v>
      </c>
      <c r="H169" s="177">
        <f t="shared" si="34"/>
        <v>0</v>
      </c>
      <c r="I169" s="177">
        <f t="shared" si="34"/>
        <v>0</v>
      </c>
      <c r="J169" s="177">
        <f t="shared" si="34"/>
        <v>0</v>
      </c>
      <c r="K169" s="177">
        <f t="shared" si="34"/>
        <v>0</v>
      </c>
      <c r="L169" s="177">
        <f t="shared" si="34"/>
        <v>0</v>
      </c>
      <c r="M169" s="177">
        <f t="shared" si="34"/>
        <v>0</v>
      </c>
      <c r="N169" s="177">
        <f t="shared" si="34"/>
        <v>0</v>
      </c>
      <c r="O169" s="177">
        <f t="shared" si="34"/>
        <v>0</v>
      </c>
      <c r="P169" s="177">
        <f t="shared" si="34"/>
        <v>0</v>
      </c>
      <c r="Q169" s="177">
        <f t="shared" si="34"/>
        <v>0</v>
      </c>
      <c r="R169" s="8"/>
      <c r="S169" s="8"/>
      <c r="T169" s="8"/>
      <c r="U169" s="8"/>
      <c r="V169" s="8"/>
      <c r="W169" s="42"/>
      <c r="X169" s="9"/>
      <c r="Y169" s="9"/>
      <c r="Z169" s="9"/>
      <c r="AA169" s="9"/>
      <c r="AB169" s="9"/>
      <c r="AC169" s="9"/>
      <c r="AD169" s="9"/>
      <c r="AE169" s="201"/>
      <c r="AF169" s="201"/>
      <c r="AG169" s="201"/>
      <c r="AH169" s="201"/>
      <c r="AI169" s="201"/>
      <c r="AJ169" s="201"/>
      <c r="AK169" s="201"/>
      <c r="AL169" s="201"/>
      <c r="AM169" s="201"/>
      <c r="AN169" s="201"/>
      <c r="AO169" s="201"/>
      <c r="AP169" s="201"/>
      <c r="AQ169" s="201"/>
      <c r="AR169" s="201"/>
      <c r="AS169" s="201"/>
      <c r="AT169" s="201"/>
      <c r="AU169" s="201"/>
    </row>
    <row r="170" spans="1:47" outlineLevel="1">
      <c r="A170" s="12"/>
      <c r="B170" s="12"/>
      <c r="C170" s="12"/>
      <c r="D170" s="12"/>
      <c r="E170" s="12"/>
      <c r="F170" s="304">
        <f>Asset28</f>
        <v>0</v>
      </c>
      <c r="G170" s="176">
        <f t="shared" ref="G170:Q170" si="35">(G68-G102-G136)/H$314</f>
        <v>0</v>
      </c>
      <c r="H170" s="177">
        <f t="shared" si="35"/>
        <v>0</v>
      </c>
      <c r="I170" s="177">
        <f t="shared" si="35"/>
        <v>0</v>
      </c>
      <c r="J170" s="177">
        <f t="shared" si="35"/>
        <v>0</v>
      </c>
      <c r="K170" s="177">
        <f t="shared" si="35"/>
        <v>0</v>
      </c>
      <c r="L170" s="177">
        <f t="shared" si="35"/>
        <v>0</v>
      </c>
      <c r="M170" s="177">
        <f t="shared" si="35"/>
        <v>0</v>
      </c>
      <c r="N170" s="177">
        <f t="shared" si="35"/>
        <v>0</v>
      </c>
      <c r="O170" s="177">
        <f t="shared" si="35"/>
        <v>0</v>
      </c>
      <c r="P170" s="177">
        <f t="shared" si="35"/>
        <v>0</v>
      </c>
      <c r="Q170" s="177">
        <f t="shared" si="35"/>
        <v>0</v>
      </c>
      <c r="R170" s="8"/>
      <c r="S170" s="8"/>
      <c r="T170" s="8"/>
      <c r="U170" s="8"/>
      <c r="V170" s="8"/>
      <c r="W170" s="42"/>
      <c r="X170" s="9"/>
      <c r="Y170" s="9"/>
      <c r="Z170" s="9"/>
      <c r="AA170" s="9"/>
      <c r="AB170" s="9"/>
      <c r="AC170" s="9"/>
      <c r="AD170" s="9"/>
      <c r="AE170" s="201"/>
      <c r="AF170" s="201"/>
      <c r="AG170" s="201"/>
      <c r="AH170" s="201"/>
      <c r="AI170" s="201"/>
      <c r="AJ170" s="201"/>
      <c r="AK170" s="201"/>
      <c r="AL170" s="201"/>
      <c r="AM170" s="201"/>
      <c r="AN170" s="201"/>
      <c r="AO170" s="201"/>
      <c r="AP170" s="201"/>
      <c r="AQ170" s="201"/>
      <c r="AR170" s="201"/>
      <c r="AS170" s="201"/>
      <c r="AT170" s="201"/>
      <c r="AU170" s="201"/>
    </row>
    <row r="171" spans="1:47" outlineLevel="1">
      <c r="A171" s="12"/>
      <c r="B171" s="12"/>
      <c r="C171" s="12"/>
      <c r="D171" s="12"/>
      <c r="E171" s="12"/>
      <c r="F171" s="304">
        <f>Asset29</f>
        <v>0</v>
      </c>
      <c r="G171" s="176">
        <f t="shared" ref="G171:Q171" si="36">(G69-G103-G137)/H$314</f>
        <v>0</v>
      </c>
      <c r="H171" s="177">
        <f t="shared" si="36"/>
        <v>0</v>
      </c>
      <c r="I171" s="177">
        <f t="shared" si="36"/>
        <v>0</v>
      </c>
      <c r="J171" s="177">
        <f t="shared" si="36"/>
        <v>0</v>
      </c>
      <c r="K171" s="177">
        <f t="shared" si="36"/>
        <v>0</v>
      </c>
      <c r="L171" s="177">
        <f t="shared" si="36"/>
        <v>0</v>
      </c>
      <c r="M171" s="177">
        <f t="shared" si="36"/>
        <v>0</v>
      </c>
      <c r="N171" s="177">
        <f t="shared" si="36"/>
        <v>0</v>
      </c>
      <c r="O171" s="177">
        <f t="shared" si="36"/>
        <v>0</v>
      </c>
      <c r="P171" s="177">
        <f t="shared" si="36"/>
        <v>0</v>
      </c>
      <c r="Q171" s="177">
        <f t="shared" si="36"/>
        <v>0</v>
      </c>
      <c r="R171" s="8"/>
      <c r="S171" s="8"/>
      <c r="T171" s="8"/>
      <c r="U171" s="8"/>
      <c r="V171" s="8"/>
      <c r="W171" s="42"/>
      <c r="X171" s="9"/>
      <c r="Y171" s="9"/>
      <c r="Z171" s="9"/>
      <c r="AA171" s="9"/>
      <c r="AB171" s="9"/>
      <c r="AC171" s="9"/>
      <c r="AD171" s="9"/>
      <c r="AE171" s="201"/>
      <c r="AF171" s="201"/>
      <c r="AG171" s="201"/>
      <c r="AH171" s="201"/>
      <c r="AI171" s="201"/>
      <c r="AJ171" s="201"/>
      <c r="AK171" s="201"/>
      <c r="AL171" s="201"/>
      <c r="AM171" s="201"/>
      <c r="AN171" s="201"/>
      <c r="AO171" s="201"/>
      <c r="AP171" s="201"/>
      <c r="AQ171" s="201"/>
      <c r="AR171" s="201"/>
      <c r="AS171" s="201"/>
      <c r="AT171" s="201"/>
      <c r="AU171" s="201"/>
    </row>
    <row r="172" spans="1:47" outlineLevel="1">
      <c r="A172" s="12"/>
      <c r="B172" s="12"/>
      <c r="C172" s="12"/>
      <c r="D172" s="12"/>
      <c r="E172" s="12"/>
      <c r="F172" s="304">
        <f>Asset30</f>
        <v>0</v>
      </c>
      <c r="G172" s="176">
        <f t="shared" ref="G172:Q172" si="37">(G70-G104-G138)/H$314</f>
        <v>0</v>
      </c>
      <c r="H172" s="177">
        <f t="shared" si="37"/>
        <v>0</v>
      </c>
      <c r="I172" s="177">
        <f t="shared" si="37"/>
        <v>0</v>
      </c>
      <c r="J172" s="177">
        <f t="shared" si="37"/>
        <v>0</v>
      </c>
      <c r="K172" s="177">
        <f t="shared" si="37"/>
        <v>0</v>
      </c>
      <c r="L172" s="177">
        <f t="shared" si="37"/>
        <v>0</v>
      </c>
      <c r="M172" s="177">
        <f t="shared" si="37"/>
        <v>0</v>
      </c>
      <c r="N172" s="177">
        <f t="shared" si="37"/>
        <v>0</v>
      </c>
      <c r="O172" s="177">
        <f t="shared" si="37"/>
        <v>0</v>
      </c>
      <c r="P172" s="177">
        <f t="shared" si="37"/>
        <v>0</v>
      </c>
      <c r="Q172" s="177">
        <f t="shared" si="37"/>
        <v>0</v>
      </c>
      <c r="R172" s="8"/>
      <c r="S172" s="8"/>
      <c r="T172" s="8"/>
      <c r="U172" s="8"/>
      <c r="V172" s="8"/>
      <c r="W172" s="42"/>
      <c r="X172" s="9"/>
      <c r="Y172" s="9"/>
      <c r="Z172" s="9"/>
      <c r="AA172" s="9"/>
      <c r="AB172" s="9"/>
      <c r="AC172" s="9"/>
      <c r="AD172" s="9"/>
      <c r="AE172" s="201"/>
      <c r="AF172" s="201"/>
      <c r="AG172" s="201"/>
      <c r="AH172" s="201"/>
      <c r="AI172" s="201"/>
      <c r="AJ172" s="201"/>
      <c r="AK172" s="201"/>
      <c r="AL172" s="201"/>
      <c r="AM172" s="201"/>
      <c r="AN172" s="201"/>
      <c r="AO172" s="201"/>
      <c r="AP172" s="201"/>
      <c r="AQ172" s="201"/>
      <c r="AR172" s="201"/>
      <c r="AS172" s="201"/>
      <c r="AT172" s="201"/>
      <c r="AU172" s="201"/>
    </row>
    <row r="173" spans="1:47">
      <c r="A173" s="12"/>
      <c r="B173" s="12"/>
      <c r="C173" s="12"/>
      <c r="D173" s="12"/>
      <c r="E173" s="12"/>
      <c r="F173" s="177" t="s">
        <v>2</v>
      </c>
      <c r="G173" s="309">
        <f>SUM(G143:G172)</f>
        <v>237.95874196133596</v>
      </c>
      <c r="H173" s="309">
        <f t="shared" ref="H173:Q173" si="38">SUM(H143:H172)</f>
        <v>254.02970964867319</v>
      </c>
      <c r="I173" s="309">
        <f t="shared" si="38"/>
        <v>285.2747375311078</v>
      </c>
      <c r="J173" s="309">
        <f t="shared" si="38"/>
        <v>334.29587790472334</v>
      </c>
      <c r="K173" s="309">
        <f t="shared" si="38"/>
        <v>345.49475946068043</v>
      </c>
      <c r="L173" s="309">
        <f t="shared" si="38"/>
        <v>308.46017296025258</v>
      </c>
      <c r="M173" s="309">
        <f t="shared" si="38"/>
        <v>0</v>
      </c>
      <c r="N173" s="309">
        <f t="shared" si="38"/>
        <v>0</v>
      </c>
      <c r="O173" s="309">
        <f t="shared" si="38"/>
        <v>0</v>
      </c>
      <c r="P173" s="309">
        <f t="shared" si="38"/>
        <v>0</v>
      </c>
      <c r="Q173" s="309">
        <f t="shared" si="38"/>
        <v>0</v>
      </c>
      <c r="R173" s="36"/>
      <c r="S173" s="36"/>
      <c r="T173" s="36"/>
      <c r="U173" s="36"/>
      <c r="V173" s="36"/>
      <c r="W173" s="36"/>
      <c r="X173" s="93"/>
      <c r="Y173" s="8"/>
      <c r="Z173" s="8"/>
      <c r="AA173" s="42"/>
      <c r="AB173" s="9"/>
      <c r="AC173" s="9"/>
      <c r="AD173" s="9"/>
      <c r="AE173" s="201"/>
      <c r="AF173" s="201"/>
      <c r="AG173" s="201"/>
      <c r="AH173" s="201"/>
      <c r="AI173" s="201"/>
      <c r="AJ173" s="201"/>
      <c r="AK173" s="201"/>
      <c r="AL173" s="201"/>
      <c r="AM173" s="201"/>
      <c r="AN173" s="201"/>
      <c r="AO173" s="201"/>
      <c r="AP173" s="201"/>
      <c r="AQ173" s="201"/>
      <c r="AR173" s="201"/>
      <c r="AS173" s="201"/>
      <c r="AT173" s="201"/>
      <c r="AU173" s="201"/>
    </row>
    <row r="174" spans="1:47" ht="21" customHeight="1">
      <c r="A174" s="12"/>
      <c r="B174" s="12"/>
      <c r="C174" s="12"/>
      <c r="D174" s="12"/>
      <c r="E174" s="12"/>
      <c r="F174" s="38"/>
      <c r="G174" s="62"/>
      <c r="H174" s="62"/>
      <c r="I174" s="62"/>
      <c r="J174" s="62"/>
      <c r="K174" s="62"/>
      <c r="L174" s="62"/>
      <c r="M174" s="62"/>
      <c r="N174" s="36"/>
      <c r="O174" s="36"/>
      <c r="P174" s="36"/>
      <c r="Q174" s="36"/>
      <c r="R174" s="245">
        <f>SUM(G173:Q173)</f>
        <v>1765.5139994667732</v>
      </c>
      <c r="S174" s="36"/>
      <c r="T174" s="36"/>
      <c r="U174" s="36"/>
      <c r="V174" s="36"/>
      <c r="W174" s="36"/>
      <c r="X174" s="36"/>
      <c r="Y174" s="8"/>
      <c r="Z174" s="8"/>
      <c r="AA174" s="42"/>
      <c r="AB174" s="9"/>
      <c r="AC174" s="9"/>
      <c r="AD174" s="9"/>
      <c r="AE174" s="201"/>
      <c r="AF174" s="201"/>
      <c r="AG174" s="201"/>
      <c r="AH174" s="201"/>
      <c r="AI174" s="201"/>
      <c r="AJ174" s="201"/>
      <c r="AK174" s="201"/>
      <c r="AL174" s="201"/>
      <c r="AM174" s="201"/>
      <c r="AN174" s="201"/>
      <c r="AO174" s="201"/>
      <c r="AP174" s="201"/>
      <c r="AQ174" s="201"/>
      <c r="AR174" s="201"/>
      <c r="AS174" s="201"/>
      <c r="AT174" s="201"/>
      <c r="AU174" s="201"/>
    </row>
    <row r="175" spans="1:47">
      <c r="A175" s="78"/>
      <c r="B175" s="78"/>
      <c r="C175" s="78"/>
      <c r="D175" s="78"/>
      <c r="E175" s="78"/>
      <c r="F175" s="530" t="s">
        <v>22</v>
      </c>
      <c r="G175" s="530"/>
      <c r="H175" s="530"/>
      <c r="I175" s="170"/>
      <c r="J175" s="170"/>
      <c r="K175" s="170"/>
      <c r="L175" s="170"/>
      <c r="M175" s="170"/>
      <c r="N175" s="171"/>
      <c r="O175" s="171"/>
      <c r="P175" s="171"/>
      <c r="Q175" s="171"/>
      <c r="R175" s="171"/>
      <c r="S175" s="171"/>
      <c r="T175" s="171"/>
      <c r="U175" s="171"/>
      <c r="V175" s="171"/>
      <c r="W175" s="171"/>
      <c r="X175" s="42"/>
      <c r="Y175" s="42"/>
      <c r="Z175" s="42"/>
      <c r="AA175" s="42"/>
      <c r="AB175" s="9"/>
      <c r="AC175" s="9"/>
      <c r="AD175" s="9"/>
      <c r="AE175" s="201"/>
      <c r="AF175" s="201"/>
      <c r="AG175" s="201"/>
      <c r="AH175" s="201"/>
      <c r="AI175" s="201"/>
      <c r="AJ175" s="201"/>
      <c r="AK175" s="201"/>
      <c r="AL175" s="201"/>
      <c r="AM175" s="201"/>
      <c r="AN175" s="201"/>
      <c r="AO175" s="201"/>
      <c r="AP175" s="201"/>
      <c r="AQ175" s="201"/>
      <c r="AR175" s="201"/>
      <c r="AS175" s="201"/>
      <c r="AT175" s="201"/>
      <c r="AU175" s="201"/>
    </row>
    <row r="176" spans="1:47">
      <c r="A176" s="12"/>
      <c r="B176" s="12"/>
      <c r="C176" s="12"/>
      <c r="D176" s="12"/>
      <c r="E176" s="12"/>
      <c r="F176" s="37" t="s">
        <v>1</v>
      </c>
      <c r="G176" s="244">
        <f t="shared" ref="G176:Q176" si="39">G40</f>
        <v>2010</v>
      </c>
      <c r="H176" s="244">
        <f t="shared" si="39"/>
        <v>2011</v>
      </c>
      <c r="I176" s="244">
        <f t="shared" si="39"/>
        <v>2012</v>
      </c>
      <c r="J176" s="244">
        <f t="shared" si="39"/>
        <v>2013</v>
      </c>
      <c r="K176" s="244">
        <f t="shared" si="39"/>
        <v>2014</v>
      </c>
      <c r="L176" s="244">
        <f t="shared" si="39"/>
        <v>2015</v>
      </c>
      <c r="M176" s="244">
        <f t="shared" si="39"/>
        <v>2016</v>
      </c>
      <c r="N176" s="244">
        <f t="shared" si="39"/>
        <v>2017</v>
      </c>
      <c r="O176" s="244">
        <f t="shared" si="39"/>
        <v>2018</v>
      </c>
      <c r="P176" s="244">
        <f t="shared" si="39"/>
        <v>2019</v>
      </c>
      <c r="Q176" s="244">
        <f t="shared" si="39"/>
        <v>2020</v>
      </c>
      <c r="R176" s="36"/>
      <c r="S176" s="36"/>
      <c r="T176" s="36"/>
      <c r="U176" s="36"/>
      <c r="V176" s="36"/>
      <c r="W176" s="36"/>
      <c r="X176" s="36"/>
      <c r="Y176" s="8"/>
      <c r="Z176" s="8"/>
      <c r="AA176" s="42"/>
      <c r="AB176" s="9"/>
      <c r="AC176" s="9"/>
      <c r="AD176" s="9"/>
      <c r="AE176" s="201"/>
      <c r="AF176" s="201"/>
      <c r="AG176" s="201"/>
      <c r="AH176" s="201"/>
      <c r="AI176" s="201"/>
      <c r="AJ176" s="201"/>
      <c r="AK176" s="201"/>
      <c r="AL176" s="201"/>
      <c r="AM176" s="201"/>
      <c r="AN176" s="201"/>
      <c r="AO176" s="201"/>
      <c r="AP176" s="201"/>
      <c r="AQ176" s="201"/>
      <c r="AR176" s="201"/>
      <c r="AS176" s="201"/>
      <c r="AT176" s="201"/>
      <c r="AU176" s="201"/>
    </row>
    <row r="177" spans="1:47" hidden="1" outlineLevel="1">
      <c r="A177" s="12"/>
      <c r="B177" s="12"/>
      <c r="C177" s="12"/>
      <c r="D177" s="12"/>
      <c r="E177" s="12"/>
      <c r="F177" s="177" t="str">
        <f>Asset1</f>
        <v>Subtransmission</v>
      </c>
      <c r="G177" s="167">
        <f>G41</f>
        <v>25.126956947635545</v>
      </c>
      <c r="H177" s="65">
        <f t="shared" ref="H177:L177" si="40">H41</f>
        <v>22.221416972009369</v>
      </c>
      <c r="I177" s="65">
        <f t="shared" si="40"/>
        <v>44.068269104737396</v>
      </c>
      <c r="J177" s="65">
        <f t="shared" si="40"/>
        <v>63.80349995248401</v>
      </c>
      <c r="K177" s="65">
        <f t="shared" si="40"/>
        <v>63.116820701394637</v>
      </c>
      <c r="L177" s="65">
        <f t="shared" si="40"/>
        <v>62.912230066234429</v>
      </c>
      <c r="M177" s="65"/>
      <c r="N177" s="65"/>
      <c r="O177" s="65"/>
      <c r="P177" s="65"/>
      <c r="Q177" s="65"/>
      <c r="R177" s="36"/>
      <c r="S177" s="36"/>
      <c r="T177" s="36"/>
      <c r="U177" s="36"/>
      <c r="V177" s="36"/>
      <c r="W177" s="36"/>
      <c r="X177" s="36"/>
      <c r="Y177" s="8"/>
      <c r="Z177" s="8"/>
      <c r="AA177" s="42"/>
      <c r="AB177" s="9"/>
      <c r="AC177" s="9"/>
      <c r="AD177" s="9"/>
      <c r="AE177" s="201"/>
      <c r="AF177" s="201"/>
      <c r="AG177" s="201"/>
      <c r="AH177" s="201"/>
      <c r="AI177" s="201"/>
      <c r="AJ177" s="201"/>
      <c r="AK177" s="201"/>
      <c r="AL177" s="201"/>
      <c r="AM177" s="201"/>
      <c r="AN177" s="201"/>
      <c r="AO177" s="201"/>
      <c r="AP177" s="201"/>
      <c r="AQ177" s="201"/>
      <c r="AR177" s="201"/>
      <c r="AS177" s="201"/>
      <c r="AT177" s="201"/>
      <c r="AU177" s="201"/>
    </row>
    <row r="178" spans="1:47" hidden="1" outlineLevel="1">
      <c r="A178" s="12"/>
      <c r="B178" s="12"/>
      <c r="C178" s="12"/>
      <c r="D178" s="12"/>
      <c r="E178" s="12"/>
      <c r="F178" s="177" t="str">
        <f>Asset2</f>
        <v>Distribution system assets</v>
      </c>
      <c r="G178" s="167">
        <f t="shared" ref="G178:L178" si="41">G42</f>
        <v>203.99459681238633</v>
      </c>
      <c r="H178" s="66">
        <f t="shared" si="41"/>
        <v>214.21892081260307</v>
      </c>
      <c r="I178" s="66">
        <f t="shared" si="41"/>
        <v>229.0560217353418</v>
      </c>
      <c r="J178" s="66">
        <f t="shared" si="41"/>
        <v>264.20522451001659</v>
      </c>
      <c r="K178" s="66">
        <f t="shared" si="41"/>
        <v>326.39358925165811</v>
      </c>
      <c r="L178" s="66">
        <f t="shared" si="41"/>
        <v>298.49074553462151</v>
      </c>
      <c r="M178" s="66"/>
      <c r="N178" s="66"/>
      <c r="O178" s="66"/>
      <c r="P178" s="66"/>
      <c r="Q178" s="66"/>
      <c r="R178" s="36"/>
      <c r="S178" s="36"/>
      <c r="T178" s="36"/>
      <c r="U178" s="36"/>
      <c r="V178" s="36"/>
      <c r="W178" s="36"/>
      <c r="X178" s="36"/>
      <c r="Y178" s="8"/>
      <c r="Z178" s="8"/>
      <c r="AA178" s="42"/>
      <c r="AB178" s="9"/>
      <c r="AC178" s="9"/>
      <c r="AD178" s="9"/>
      <c r="AE178" s="201"/>
      <c r="AF178" s="201"/>
      <c r="AG178" s="201"/>
      <c r="AH178" s="201"/>
      <c r="AI178" s="201"/>
      <c r="AJ178" s="201"/>
      <c r="AK178" s="201"/>
      <c r="AL178" s="201"/>
      <c r="AM178" s="201"/>
      <c r="AN178" s="201"/>
      <c r="AO178" s="201"/>
      <c r="AP178" s="201"/>
      <c r="AQ178" s="201"/>
      <c r="AR178" s="201"/>
      <c r="AS178" s="201"/>
      <c r="AT178" s="201"/>
      <c r="AU178" s="201"/>
    </row>
    <row r="179" spans="1:47" hidden="1" outlineLevel="1">
      <c r="A179" s="12"/>
      <c r="B179" s="12"/>
      <c r="C179" s="12"/>
      <c r="D179" s="12"/>
      <c r="E179" s="12"/>
      <c r="F179" s="177" t="str">
        <f>Asset3</f>
        <v>Standard metering</v>
      </c>
      <c r="G179" s="167">
        <f t="shared" ref="G179:L179" si="42">G43</f>
        <v>0</v>
      </c>
      <c r="H179" s="66">
        <f t="shared" si="42"/>
        <v>0</v>
      </c>
      <c r="I179" s="66">
        <f t="shared" si="42"/>
        <v>0</v>
      </c>
      <c r="J179" s="66">
        <f t="shared" si="42"/>
        <v>0</v>
      </c>
      <c r="K179" s="66">
        <f t="shared" si="42"/>
        <v>0</v>
      </c>
      <c r="L179" s="66">
        <f t="shared" si="42"/>
        <v>0</v>
      </c>
      <c r="M179" s="66"/>
      <c r="N179" s="66"/>
      <c r="O179" s="66"/>
      <c r="P179" s="66"/>
      <c r="Q179" s="66"/>
      <c r="R179" s="36"/>
      <c r="S179" s="36"/>
      <c r="T179" s="36"/>
      <c r="U179" s="36"/>
      <c r="V179" s="36"/>
      <c r="W179" s="36"/>
      <c r="X179" s="36"/>
      <c r="Y179" s="8"/>
      <c r="Z179" s="8"/>
      <c r="AA179" s="42"/>
      <c r="AB179" s="9"/>
      <c r="AC179" s="9"/>
      <c r="AD179" s="9"/>
      <c r="AE179" s="201"/>
      <c r="AF179" s="201"/>
      <c r="AG179" s="201"/>
      <c r="AH179" s="201"/>
      <c r="AI179" s="201"/>
      <c r="AJ179" s="201"/>
      <c r="AK179" s="201"/>
      <c r="AL179" s="201"/>
      <c r="AM179" s="201"/>
      <c r="AN179" s="201"/>
      <c r="AO179" s="201"/>
      <c r="AP179" s="201"/>
      <c r="AQ179" s="201"/>
      <c r="AR179" s="201"/>
      <c r="AS179" s="201"/>
      <c r="AT179" s="201"/>
      <c r="AU179" s="201"/>
    </row>
    <row r="180" spans="1:47" hidden="1" outlineLevel="1">
      <c r="A180" s="12"/>
      <c r="B180" s="12"/>
      <c r="C180" s="12"/>
      <c r="D180" s="12"/>
      <c r="E180" s="12"/>
      <c r="F180" s="177" t="str">
        <f>Asset4</f>
        <v>Public lighting</v>
      </c>
      <c r="G180" s="167">
        <f t="shared" ref="G180:L180" si="43">G44</f>
        <v>0</v>
      </c>
      <c r="H180" s="66">
        <f t="shared" si="43"/>
        <v>0</v>
      </c>
      <c r="I180" s="66">
        <f t="shared" si="43"/>
        <v>0</v>
      </c>
      <c r="J180" s="66">
        <f t="shared" si="43"/>
        <v>0</v>
      </c>
      <c r="K180" s="66">
        <f t="shared" si="43"/>
        <v>0</v>
      </c>
      <c r="L180" s="66">
        <f t="shared" si="43"/>
        <v>0</v>
      </c>
      <c r="M180" s="66"/>
      <c r="N180" s="199"/>
      <c r="O180" s="199"/>
      <c r="P180" s="199"/>
      <c r="Q180" s="199"/>
      <c r="R180" s="36"/>
      <c r="S180" s="36"/>
      <c r="T180" s="36"/>
      <c r="U180" s="36"/>
      <c r="V180" s="36"/>
      <c r="W180" s="36"/>
      <c r="X180" s="36"/>
      <c r="Y180" s="8"/>
      <c r="Z180" s="8"/>
      <c r="AA180" s="42"/>
      <c r="AB180" s="9"/>
      <c r="AC180" s="9"/>
      <c r="AD180" s="9"/>
      <c r="AE180" s="201"/>
      <c r="AF180" s="201"/>
      <c r="AG180" s="201"/>
      <c r="AH180" s="201"/>
      <c r="AI180" s="201"/>
      <c r="AJ180" s="201"/>
      <c r="AK180" s="201"/>
      <c r="AL180" s="201"/>
      <c r="AM180" s="201"/>
      <c r="AN180" s="201"/>
      <c r="AO180" s="201"/>
      <c r="AP180" s="201"/>
      <c r="AQ180" s="201"/>
      <c r="AR180" s="201"/>
      <c r="AS180" s="201"/>
      <c r="AT180" s="201"/>
      <c r="AU180" s="201"/>
    </row>
    <row r="181" spans="1:47" hidden="1" outlineLevel="1">
      <c r="A181" s="12"/>
      <c r="B181" s="12"/>
      <c r="C181" s="12"/>
      <c r="D181" s="12"/>
      <c r="E181" s="12"/>
      <c r="F181" s="177" t="str">
        <f>Asset5</f>
        <v>SCADA/Network control</v>
      </c>
      <c r="G181" s="167">
        <f t="shared" ref="G181:L181" si="44">G45</f>
        <v>3.0959421498995483</v>
      </c>
      <c r="H181" s="66">
        <f t="shared" si="44"/>
        <v>1.2689451272140742</v>
      </c>
      <c r="I181" s="66">
        <f t="shared" si="44"/>
        <v>5.9134930672221477</v>
      </c>
      <c r="J181" s="66">
        <f t="shared" si="44"/>
        <v>1.9250731948508306</v>
      </c>
      <c r="K181" s="66">
        <f t="shared" si="44"/>
        <v>0.73591031805575635</v>
      </c>
      <c r="L181" s="66">
        <f t="shared" si="44"/>
        <v>2.9134612419346908</v>
      </c>
      <c r="M181" s="66"/>
      <c r="N181" s="199"/>
      <c r="O181" s="199"/>
      <c r="P181" s="199"/>
      <c r="Q181" s="199"/>
      <c r="R181" s="36"/>
      <c r="S181" s="36"/>
      <c r="T181" s="36"/>
      <c r="U181" s="36"/>
      <c r="V181" s="36"/>
      <c r="W181" s="36"/>
      <c r="X181" s="36"/>
      <c r="Y181" s="8"/>
      <c r="Z181" s="8"/>
      <c r="AA181" s="42"/>
      <c r="AB181" s="9"/>
      <c r="AC181" s="9"/>
      <c r="AD181" s="9"/>
      <c r="AE181" s="201"/>
      <c r="AF181" s="201"/>
      <c r="AG181" s="201"/>
      <c r="AH181" s="201"/>
      <c r="AI181" s="201"/>
      <c r="AJ181" s="201"/>
      <c r="AK181" s="201"/>
      <c r="AL181" s="201"/>
      <c r="AM181" s="201"/>
      <c r="AN181" s="201"/>
      <c r="AO181" s="201"/>
      <c r="AP181" s="201"/>
      <c r="AQ181" s="201"/>
      <c r="AR181" s="201"/>
      <c r="AS181" s="201"/>
      <c r="AT181" s="201"/>
      <c r="AU181" s="201"/>
    </row>
    <row r="182" spans="1:47" hidden="1" outlineLevel="1">
      <c r="A182" s="12"/>
      <c r="B182" s="12"/>
      <c r="C182" s="12"/>
      <c r="D182" s="12"/>
      <c r="E182" s="12"/>
      <c r="F182" s="177" t="str">
        <f>Asset6</f>
        <v>Non-network general assets - IT</v>
      </c>
      <c r="G182" s="167">
        <f t="shared" ref="G182:L182" si="45">G46</f>
        <v>35.090722072477305</v>
      </c>
      <c r="H182" s="66">
        <f t="shared" si="45"/>
        <v>46.619225442675479</v>
      </c>
      <c r="I182" s="66">
        <f t="shared" si="45"/>
        <v>45.516156927547812</v>
      </c>
      <c r="J182" s="66">
        <f t="shared" si="45"/>
        <v>50.208650819470257</v>
      </c>
      <c r="K182" s="66">
        <f t="shared" si="45"/>
        <v>33.026078626827349</v>
      </c>
      <c r="L182" s="66">
        <f t="shared" si="45"/>
        <v>19.489443911254135</v>
      </c>
      <c r="M182" s="66"/>
      <c r="N182" s="199"/>
      <c r="O182" s="199"/>
      <c r="P182" s="199"/>
      <c r="Q182" s="199"/>
      <c r="R182" s="36"/>
      <c r="S182" s="36"/>
      <c r="T182" s="36"/>
      <c r="U182" s="36"/>
      <c r="V182" s="36"/>
      <c r="W182" s="36"/>
      <c r="X182" s="36"/>
      <c r="Y182" s="8"/>
      <c r="Z182" s="8"/>
      <c r="AA182" s="42"/>
      <c r="AB182" s="9"/>
      <c r="AC182" s="9"/>
      <c r="AD182" s="9"/>
      <c r="AE182" s="201"/>
      <c r="AF182" s="201"/>
      <c r="AG182" s="201"/>
      <c r="AH182" s="201"/>
      <c r="AI182" s="201"/>
      <c r="AJ182" s="201"/>
      <c r="AK182" s="201"/>
      <c r="AL182" s="201"/>
      <c r="AM182" s="201"/>
      <c r="AN182" s="201"/>
      <c r="AO182" s="201"/>
      <c r="AP182" s="201"/>
      <c r="AQ182" s="201"/>
      <c r="AR182" s="201"/>
      <c r="AS182" s="201"/>
      <c r="AT182" s="201"/>
      <c r="AU182" s="201"/>
    </row>
    <row r="183" spans="1:47" hidden="1" outlineLevel="1">
      <c r="A183" s="12"/>
      <c r="B183" s="12"/>
      <c r="C183" s="12"/>
      <c r="D183" s="12"/>
      <c r="E183" s="12"/>
      <c r="F183" s="177" t="str">
        <f>Asset7</f>
        <v>Non-network general assets - Other</v>
      </c>
      <c r="G183" s="167">
        <f t="shared" ref="G183:L183" si="46">G47</f>
        <v>4.1775348989372425</v>
      </c>
      <c r="H183" s="66">
        <f t="shared" si="46"/>
        <v>5.0265670949548289</v>
      </c>
      <c r="I183" s="66">
        <f t="shared" si="46"/>
        <v>6.5548071296747672</v>
      </c>
      <c r="J183" s="66">
        <f t="shared" si="46"/>
        <v>6.1607829749307585</v>
      </c>
      <c r="K183" s="66">
        <f t="shared" si="46"/>
        <v>4.9603971712309995</v>
      </c>
      <c r="L183" s="66">
        <f t="shared" si="46"/>
        <v>3.5803409724553061</v>
      </c>
      <c r="M183" s="66"/>
      <c r="N183" s="199"/>
      <c r="O183" s="199"/>
      <c r="P183" s="199"/>
      <c r="Q183" s="199"/>
      <c r="R183" s="36"/>
      <c r="S183" s="36"/>
      <c r="T183" s="36"/>
      <c r="U183" s="36"/>
      <c r="V183" s="36"/>
      <c r="W183" s="36"/>
      <c r="X183" s="36"/>
      <c r="Y183" s="8"/>
      <c r="Z183" s="8"/>
      <c r="AA183" s="42"/>
      <c r="AB183" s="9"/>
      <c r="AC183" s="9"/>
      <c r="AD183" s="9"/>
      <c r="AE183" s="201"/>
      <c r="AF183" s="201"/>
      <c r="AG183" s="201"/>
      <c r="AH183" s="201"/>
      <c r="AI183" s="201"/>
      <c r="AJ183" s="201"/>
      <c r="AK183" s="201"/>
      <c r="AL183" s="201"/>
      <c r="AM183" s="201"/>
      <c r="AN183" s="201"/>
      <c r="AO183" s="201"/>
      <c r="AP183" s="201"/>
      <c r="AQ183" s="201"/>
      <c r="AR183" s="201"/>
      <c r="AS183" s="201"/>
      <c r="AT183" s="201"/>
      <c r="AU183" s="201"/>
    </row>
    <row r="184" spans="1:47" hidden="1" outlineLevel="1">
      <c r="A184" s="12"/>
      <c r="B184" s="12"/>
      <c r="C184" s="12"/>
      <c r="D184" s="12"/>
      <c r="E184" s="12"/>
      <c r="F184" s="177" t="str">
        <f>Asset8</f>
        <v>Equity Raising Costs</v>
      </c>
      <c r="G184" s="167">
        <f t="shared" ref="G184:L184" si="47">G48</f>
        <v>0</v>
      </c>
      <c r="H184" s="66">
        <f t="shared" si="47"/>
        <v>1.4831149183194219</v>
      </c>
      <c r="I184" s="66">
        <f t="shared" si="47"/>
        <v>0</v>
      </c>
      <c r="J184" s="66">
        <f t="shared" si="47"/>
        <v>0</v>
      </c>
      <c r="K184" s="66">
        <f t="shared" si="47"/>
        <v>0</v>
      </c>
      <c r="L184" s="66">
        <f t="shared" si="47"/>
        <v>0</v>
      </c>
      <c r="M184" s="66"/>
      <c r="N184" s="199"/>
      <c r="O184" s="199"/>
      <c r="P184" s="199"/>
      <c r="Q184" s="199"/>
      <c r="R184" s="36"/>
      <c r="S184" s="36"/>
      <c r="T184" s="36"/>
      <c r="U184" s="36"/>
      <c r="V184" s="36"/>
      <c r="W184" s="36"/>
      <c r="X184" s="36"/>
      <c r="Y184" s="8"/>
      <c r="Z184" s="8"/>
      <c r="AA184" s="42"/>
      <c r="AB184" s="9"/>
      <c r="AC184" s="9"/>
      <c r="AD184" s="9"/>
      <c r="AE184" s="201"/>
      <c r="AF184" s="201"/>
      <c r="AG184" s="201"/>
      <c r="AH184" s="201"/>
      <c r="AI184" s="201"/>
      <c r="AJ184" s="201"/>
      <c r="AK184" s="201"/>
      <c r="AL184" s="201"/>
      <c r="AM184" s="201"/>
      <c r="AN184" s="201"/>
      <c r="AO184" s="201"/>
      <c r="AP184" s="201"/>
      <c r="AQ184" s="201"/>
      <c r="AR184" s="201"/>
      <c r="AS184" s="201"/>
      <c r="AT184" s="201"/>
      <c r="AU184" s="201"/>
    </row>
    <row r="185" spans="1:47" hidden="1" outlineLevel="1">
      <c r="A185" s="12"/>
      <c r="B185" s="12"/>
      <c r="C185" s="12"/>
      <c r="D185" s="12"/>
      <c r="E185" s="12"/>
      <c r="F185" s="177">
        <f>Asset9</f>
        <v>0</v>
      </c>
      <c r="G185" s="167">
        <f t="shared" ref="G185:L185" si="48">G49</f>
        <v>0</v>
      </c>
      <c r="H185" s="66">
        <f t="shared" si="48"/>
        <v>0</v>
      </c>
      <c r="I185" s="66">
        <f t="shared" si="48"/>
        <v>0</v>
      </c>
      <c r="J185" s="66">
        <f t="shared" si="48"/>
        <v>0</v>
      </c>
      <c r="K185" s="66">
        <f t="shared" si="48"/>
        <v>0</v>
      </c>
      <c r="L185" s="66">
        <f t="shared" si="48"/>
        <v>0</v>
      </c>
      <c r="M185" s="66"/>
      <c r="N185" s="199"/>
      <c r="O185" s="199"/>
      <c r="P185" s="199"/>
      <c r="Q185" s="199"/>
      <c r="R185" s="36"/>
      <c r="S185" s="36"/>
      <c r="T185" s="36"/>
      <c r="U185" s="36"/>
      <c r="V185" s="36"/>
      <c r="W185" s="36"/>
      <c r="X185" s="36"/>
      <c r="Y185" s="8"/>
      <c r="Z185" s="8"/>
      <c r="AA185" s="42"/>
      <c r="AB185" s="9"/>
      <c r="AC185" s="9"/>
      <c r="AD185" s="9"/>
      <c r="AE185" s="201"/>
      <c r="AF185" s="201"/>
      <c r="AG185" s="201"/>
      <c r="AH185" s="201"/>
      <c r="AI185" s="201"/>
      <c r="AJ185" s="201"/>
      <c r="AK185" s="201"/>
      <c r="AL185" s="201"/>
      <c r="AM185" s="201"/>
      <c r="AN185" s="201"/>
      <c r="AO185" s="201"/>
      <c r="AP185" s="201"/>
      <c r="AQ185" s="201"/>
      <c r="AR185" s="201"/>
      <c r="AS185" s="201"/>
      <c r="AT185" s="201"/>
      <c r="AU185" s="201"/>
    </row>
    <row r="186" spans="1:47" hidden="1" outlineLevel="1">
      <c r="A186" s="12"/>
      <c r="B186" s="12"/>
      <c r="C186" s="12"/>
      <c r="D186" s="12"/>
      <c r="E186" s="12"/>
      <c r="F186" s="177">
        <f>Asset10</f>
        <v>0</v>
      </c>
      <c r="G186" s="167">
        <f t="shared" ref="G186:L186" si="49">G50</f>
        <v>0</v>
      </c>
      <c r="H186" s="66">
        <f t="shared" si="49"/>
        <v>0</v>
      </c>
      <c r="I186" s="66">
        <f t="shared" si="49"/>
        <v>0</v>
      </c>
      <c r="J186" s="66">
        <f t="shared" si="49"/>
        <v>0</v>
      </c>
      <c r="K186" s="66">
        <f t="shared" si="49"/>
        <v>0</v>
      </c>
      <c r="L186" s="66">
        <f t="shared" si="49"/>
        <v>0</v>
      </c>
      <c r="M186" s="66"/>
      <c r="N186" s="199"/>
      <c r="O186" s="199"/>
      <c r="P186" s="199"/>
      <c r="Q186" s="199"/>
      <c r="R186" s="36"/>
      <c r="S186" s="36"/>
      <c r="T186" s="36"/>
      <c r="U186" s="36"/>
      <c r="V186" s="36"/>
      <c r="W186" s="36"/>
      <c r="X186" s="36"/>
      <c r="Y186" s="8"/>
      <c r="Z186" s="8"/>
      <c r="AA186" s="42"/>
      <c r="AB186" s="9"/>
      <c r="AC186" s="9"/>
      <c r="AD186" s="9"/>
      <c r="AE186" s="201"/>
      <c r="AF186" s="201"/>
      <c r="AG186" s="201"/>
      <c r="AH186" s="201"/>
      <c r="AI186" s="201"/>
      <c r="AJ186" s="201"/>
      <c r="AK186" s="201"/>
      <c r="AL186" s="201"/>
      <c r="AM186" s="201"/>
      <c r="AN186" s="201"/>
      <c r="AO186" s="201"/>
      <c r="AP186" s="201"/>
      <c r="AQ186" s="201"/>
      <c r="AR186" s="201"/>
      <c r="AS186" s="201"/>
      <c r="AT186" s="201"/>
      <c r="AU186" s="201"/>
    </row>
    <row r="187" spans="1:47" hidden="1" outlineLevel="1">
      <c r="A187" s="12"/>
      <c r="B187" s="12"/>
      <c r="C187" s="12"/>
      <c r="D187" s="12"/>
      <c r="E187" s="12"/>
      <c r="F187" s="177">
        <f>Asset11</f>
        <v>0</v>
      </c>
      <c r="G187" s="167">
        <f t="shared" ref="G187:L187" si="50">G51</f>
        <v>0</v>
      </c>
      <c r="H187" s="66">
        <f t="shared" si="50"/>
        <v>0</v>
      </c>
      <c r="I187" s="66">
        <f t="shared" si="50"/>
        <v>0</v>
      </c>
      <c r="J187" s="66">
        <f t="shared" si="50"/>
        <v>0</v>
      </c>
      <c r="K187" s="66">
        <f t="shared" si="50"/>
        <v>0</v>
      </c>
      <c r="L187" s="66">
        <f t="shared" si="50"/>
        <v>0</v>
      </c>
      <c r="M187" s="66"/>
      <c r="N187" s="199"/>
      <c r="O187" s="199"/>
      <c r="P187" s="199"/>
      <c r="Q187" s="199"/>
      <c r="R187" s="36"/>
      <c r="S187" s="36"/>
      <c r="T187" s="36"/>
      <c r="U187" s="36"/>
      <c r="V187" s="36"/>
      <c r="W187" s="36"/>
      <c r="X187" s="36"/>
      <c r="Y187" s="8"/>
      <c r="Z187" s="8"/>
      <c r="AA187" s="42"/>
      <c r="AB187" s="9"/>
      <c r="AC187" s="9"/>
      <c r="AD187" s="9"/>
      <c r="AE187" s="201"/>
      <c r="AF187" s="201"/>
      <c r="AG187" s="201"/>
      <c r="AH187" s="201"/>
      <c r="AI187" s="201"/>
      <c r="AJ187" s="201"/>
      <c r="AK187" s="201"/>
      <c r="AL187" s="201"/>
      <c r="AM187" s="201"/>
      <c r="AN187" s="201"/>
      <c r="AO187" s="201"/>
      <c r="AP187" s="201"/>
      <c r="AQ187" s="201"/>
      <c r="AR187" s="201"/>
      <c r="AS187" s="201"/>
      <c r="AT187" s="201"/>
      <c r="AU187" s="201"/>
    </row>
    <row r="188" spans="1:47" hidden="1" outlineLevel="1">
      <c r="A188" s="12"/>
      <c r="B188" s="12"/>
      <c r="C188" s="12"/>
      <c r="D188" s="12"/>
      <c r="E188" s="12"/>
      <c r="F188" s="177">
        <f>Asset12</f>
        <v>0</v>
      </c>
      <c r="G188" s="167">
        <f t="shared" ref="G188:L188" si="51">G52</f>
        <v>0</v>
      </c>
      <c r="H188" s="66">
        <f t="shared" si="51"/>
        <v>0</v>
      </c>
      <c r="I188" s="66">
        <f t="shared" si="51"/>
        <v>0</v>
      </c>
      <c r="J188" s="66">
        <f t="shared" si="51"/>
        <v>0</v>
      </c>
      <c r="K188" s="66">
        <f t="shared" si="51"/>
        <v>0</v>
      </c>
      <c r="L188" s="66">
        <f t="shared" si="51"/>
        <v>0</v>
      </c>
      <c r="M188" s="66"/>
      <c r="N188" s="199"/>
      <c r="O188" s="199"/>
      <c r="P188" s="199"/>
      <c r="Q188" s="199"/>
      <c r="R188" s="36"/>
      <c r="S188" s="36"/>
      <c r="T188" s="36"/>
      <c r="U188" s="36"/>
      <c r="V188" s="36"/>
      <c r="W188" s="36"/>
      <c r="X188" s="36"/>
      <c r="Y188" s="8"/>
      <c r="Z188" s="8"/>
      <c r="AA188" s="42"/>
      <c r="AB188" s="9"/>
      <c r="AC188" s="9"/>
      <c r="AD188" s="9"/>
      <c r="AE188" s="201"/>
      <c r="AF188" s="201"/>
      <c r="AG188" s="201"/>
      <c r="AH188" s="201"/>
      <c r="AI188" s="201"/>
      <c r="AJ188" s="201"/>
      <c r="AK188" s="201"/>
      <c r="AL188" s="201"/>
      <c r="AM188" s="201"/>
      <c r="AN188" s="201"/>
      <c r="AO188" s="201"/>
      <c r="AP188" s="201"/>
      <c r="AQ188" s="201"/>
      <c r="AR188" s="201"/>
      <c r="AS188" s="201"/>
      <c r="AT188" s="201"/>
      <c r="AU188" s="201"/>
    </row>
    <row r="189" spans="1:47" hidden="1" outlineLevel="1">
      <c r="A189" s="12"/>
      <c r="B189" s="12"/>
      <c r="C189" s="12"/>
      <c r="D189" s="12"/>
      <c r="E189" s="12"/>
      <c r="F189" s="177">
        <f>Asset13</f>
        <v>0</v>
      </c>
      <c r="G189" s="167">
        <f t="shared" ref="G189:L189" si="52">G53</f>
        <v>0</v>
      </c>
      <c r="H189" s="66">
        <f t="shared" si="52"/>
        <v>0</v>
      </c>
      <c r="I189" s="66">
        <f t="shared" si="52"/>
        <v>0</v>
      </c>
      <c r="J189" s="66">
        <f t="shared" si="52"/>
        <v>0</v>
      </c>
      <c r="K189" s="66">
        <f t="shared" si="52"/>
        <v>0</v>
      </c>
      <c r="L189" s="66">
        <f t="shared" si="52"/>
        <v>0</v>
      </c>
      <c r="M189" s="66"/>
      <c r="N189" s="199"/>
      <c r="O189" s="199"/>
      <c r="P189" s="199"/>
      <c r="Q189" s="199"/>
      <c r="R189" s="36"/>
      <c r="S189" s="36"/>
      <c r="T189" s="36"/>
      <c r="U189" s="36"/>
      <c r="V189" s="36"/>
      <c r="W189" s="36"/>
      <c r="X189" s="36"/>
      <c r="Y189" s="8"/>
      <c r="Z189" s="8"/>
      <c r="AA189" s="42"/>
      <c r="AB189" s="9"/>
      <c r="AC189" s="9"/>
      <c r="AD189" s="9"/>
      <c r="AE189" s="201"/>
      <c r="AF189" s="201"/>
      <c r="AG189" s="201"/>
      <c r="AH189" s="201"/>
      <c r="AI189" s="201"/>
      <c r="AJ189" s="201"/>
      <c r="AK189" s="201"/>
      <c r="AL189" s="201"/>
      <c r="AM189" s="201"/>
      <c r="AN189" s="201"/>
      <c r="AO189" s="201"/>
      <c r="AP189" s="201"/>
      <c r="AQ189" s="201"/>
      <c r="AR189" s="201"/>
      <c r="AS189" s="201"/>
      <c r="AT189" s="201"/>
      <c r="AU189" s="201"/>
    </row>
    <row r="190" spans="1:47" hidden="1" outlineLevel="1">
      <c r="A190" s="12"/>
      <c r="B190" s="12"/>
      <c r="C190" s="12"/>
      <c r="D190" s="12"/>
      <c r="E190" s="12"/>
      <c r="F190" s="177">
        <f>Asset14</f>
        <v>0</v>
      </c>
      <c r="G190" s="167">
        <f t="shared" ref="G190:L190" si="53">G54</f>
        <v>0</v>
      </c>
      <c r="H190" s="66">
        <f t="shared" si="53"/>
        <v>0</v>
      </c>
      <c r="I190" s="66">
        <f t="shared" si="53"/>
        <v>0</v>
      </c>
      <c r="J190" s="66">
        <f t="shared" si="53"/>
        <v>0</v>
      </c>
      <c r="K190" s="66">
        <f t="shared" si="53"/>
        <v>0</v>
      </c>
      <c r="L190" s="66">
        <f t="shared" si="53"/>
        <v>0</v>
      </c>
      <c r="M190" s="66"/>
      <c r="N190" s="199"/>
      <c r="O190" s="199"/>
      <c r="P190" s="199"/>
      <c r="Q190" s="199"/>
      <c r="R190" s="36"/>
      <c r="S190" s="36"/>
      <c r="T190" s="36"/>
      <c r="U190" s="36"/>
      <c r="V190" s="36"/>
      <c r="W190" s="36"/>
      <c r="X190" s="36"/>
      <c r="Y190" s="8"/>
      <c r="Z190" s="8"/>
      <c r="AA190" s="42"/>
      <c r="AB190" s="9"/>
      <c r="AC190" s="9"/>
      <c r="AD190" s="9"/>
      <c r="AE190" s="201"/>
      <c r="AF190" s="201"/>
      <c r="AG190" s="201"/>
      <c r="AH190" s="201"/>
      <c r="AI190" s="201"/>
      <c r="AJ190" s="201"/>
      <c r="AK190" s="201"/>
      <c r="AL190" s="201"/>
      <c r="AM190" s="201"/>
      <c r="AN190" s="201"/>
      <c r="AO190" s="201"/>
      <c r="AP190" s="201"/>
      <c r="AQ190" s="201"/>
      <c r="AR190" s="201"/>
      <c r="AS190" s="201"/>
      <c r="AT190" s="201"/>
      <c r="AU190" s="201"/>
    </row>
    <row r="191" spans="1:47" hidden="1" outlineLevel="1">
      <c r="A191" s="12"/>
      <c r="B191" s="12"/>
      <c r="C191" s="12"/>
      <c r="D191" s="12"/>
      <c r="E191" s="12"/>
      <c r="F191" s="177">
        <f>Asset15</f>
        <v>0</v>
      </c>
      <c r="G191" s="167">
        <f t="shared" ref="G191:L191" si="54">G55</f>
        <v>0</v>
      </c>
      <c r="H191" s="66">
        <f t="shared" si="54"/>
        <v>0</v>
      </c>
      <c r="I191" s="66">
        <f t="shared" si="54"/>
        <v>0</v>
      </c>
      <c r="J191" s="66">
        <f t="shared" si="54"/>
        <v>0</v>
      </c>
      <c r="K191" s="66">
        <f t="shared" si="54"/>
        <v>0</v>
      </c>
      <c r="L191" s="66">
        <f t="shared" si="54"/>
        <v>0</v>
      </c>
      <c r="M191" s="198"/>
      <c r="N191" s="199"/>
      <c r="O191" s="199"/>
      <c r="P191" s="199"/>
      <c r="Q191" s="199"/>
      <c r="R191" s="36"/>
      <c r="S191" s="36"/>
      <c r="T191" s="36"/>
      <c r="U191" s="36"/>
      <c r="V191" s="36"/>
      <c r="W191" s="36"/>
      <c r="X191" s="36"/>
      <c r="Y191" s="8"/>
      <c r="Z191" s="8"/>
      <c r="AA191" s="42"/>
      <c r="AB191" s="9"/>
      <c r="AC191" s="9"/>
      <c r="AD191" s="9"/>
      <c r="AE191" s="201"/>
      <c r="AF191" s="201"/>
      <c r="AG191" s="201"/>
      <c r="AH191" s="201"/>
      <c r="AI191" s="201"/>
      <c r="AJ191" s="201"/>
      <c r="AK191" s="201"/>
      <c r="AL191" s="201"/>
      <c r="AM191" s="201"/>
      <c r="AN191" s="201"/>
      <c r="AO191" s="201"/>
      <c r="AP191" s="201"/>
      <c r="AQ191" s="201"/>
      <c r="AR191" s="201"/>
      <c r="AS191" s="201"/>
      <c r="AT191" s="201"/>
      <c r="AU191" s="201"/>
    </row>
    <row r="192" spans="1:47" hidden="1" outlineLevel="1">
      <c r="A192" s="12"/>
      <c r="B192" s="12"/>
      <c r="C192" s="12"/>
      <c r="D192" s="12"/>
      <c r="E192" s="12"/>
      <c r="F192" s="177">
        <f>Asset16</f>
        <v>0</v>
      </c>
      <c r="G192" s="167">
        <f t="shared" ref="G192:L192" si="55">G56</f>
        <v>0</v>
      </c>
      <c r="H192" s="66">
        <f t="shared" si="55"/>
        <v>0</v>
      </c>
      <c r="I192" s="66">
        <f t="shared" si="55"/>
        <v>0</v>
      </c>
      <c r="J192" s="66">
        <f t="shared" si="55"/>
        <v>0</v>
      </c>
      <c r="K192" s="66">
        <f t="shared" si="55"/>
        <v>0</v>
      </c>
      <c r="L192" s="66">
        <f t="shared" si="55"/>
        <v>0</v>
      </c>
      <c r="M192" s="198"/>
      <c r="N192" s="199"/>
      <c r="O192" s="199"/>
      <c r="P192" s="199"/>
      <c r="Q192" s="199"/>
      <c r="R192" s="36"/>
      <c r="S192" s="36"/>
      <c r="T192" s="36"/>
      <c r="U192" s="36"/>
      <c r="V192" s="36"/>
      <c r="W192" s="36"/>
      <c r="X192" s="36"/>
      <c r="Y192" s="8"/>
      <c r="Z192" s="8"/>
      <c r="AA192" s="42"/>
      <c r="AB192" s="9"/>
      <c r="AC192" s="9"/>
      <c r="AD192" s="9"/>
      <c r="AE192" s="201"/>
      <c r="AF192" s="201"/>
      <c r="AG192" s="201"/>
      <c r="AH192" s="201"/>
      <c r="AI192" s="201"/>
      <c r="AJ192" s="201"/>
      <c r="AK192" s="201"/>
      <c r="AL192" s="201"/>
      <c r="AM192" s="201"/>
      <c r="AN192" s="201"/>
      <c r="AO192" s="201"/>
      <c r="AP192" s="201"/>
      <c r="AQ192" s="201"/>
      <c r="AR192" s="201"/>
      <c r="AS192" s="201"/>
      <c r="AT192" s="201"/>
      <c r="AU192" s="201"/>
    </row>
    <row r="193" spans="1:47" hidden="1" outlineLevel="1">
      <c r="A193" s="12"/>
      <c r="B193" s="12"/>
      <c r="C193" s="12"/>
      <c r="D193" s="12"/>
      <c r="E193" s="12"/>
      <c r="F193" s="177">
        <f>Asset17</f>
        <v>0</v>
      </c>
      <c r="G193" s="167">
        <f t="shared" ref="G193:L193" si="56">G57</f>
        <v>0</v>
      </c>
      <c r="H193" s="66">
        <f t="shared" si="56"/>
        <v>0</v>
      </c>
      <c r="I193" s="66">
        <f t="shared" si="56"/>
        <v>0</v>
      </c>
      <c r="J193" s="66">
        <f t="shared" si="56"/>
        <v>0</v>
      </c>
      <c r="K193" s="66">
        <f t="shared" si="56"/>
        <v>0</v>
      </c>
      <c r="L193" s="66">
        <f t="shared" si="56"/>
        <v>0</v>
      </c>
      <c r="M193" s="198"/>
      <c r="N193" s="199"/>
      <c r="O193" s="199"/>
      <c r="P193" s="199"/>
      <c r="Q193" s="199"/>
      <c r="R193" s="36"/>
      <c r="S193" s="36"/>
      <c r="T193" s="36"/>
      <c r="U193" s="36"/>
      <c r="V193" s="36"/>
      <c r="W193" s="36"/>
      <c r="X193" s="36"/>
      <c r="Y193" s="8"/>
      <c r="Z193" s="8"/>
      <c r="AA193" s="42"/>
      <c r="AB193" s="9"/>
      <c r="AC193" s="9"/>
      <c r="AD193" s="9"/>
      <c r="AE193" s="201"/>
      <c r="AF193" s="201"/>
      <c r="AG193" s="201"/>
      <c r="AH193" s="201"/>
      <c r="AI193" s="201"/>
      <c r="AJ193" s="201"/>
      <c r="AK193" s="201"/>
      <c r="AL193" s="201"/>
      <c r="AM193" s="201"/>
      <c r="AN193" s="201"/>
      <c r="AO193" s="201"/>
      <c r="AP193" s="201"/>
      <c r="AQ193" s="201"/>
      <c r="AR193" s="201"/>
      <c r="AS193" s="201"/>
      <c r="AT193" s="201"/>
      <c r="AU193" s="201"/>
    </row>
    <row r="194" spans="1:47" hidden="1" outlineLevel="1">
      <c r="A194" s="12"/>
      <c r="B194" s="12"/>
      <c r="C194" s="12"/>
      <c r="D194" s="12"/>
      <c r="E194" s="12"/>
      <c r="F194" s="177">
        <f>Asset18</f>
        <v>0</v>
      </c>
      <c r="G194" s="167">
        <f t="shared" ref="G194:L194" si="57">G58</f>
        <v>0</v>
      </c>
      <c r="H194" s="66">
        <f t="shared" si="57"/>
        <v>0</v>
      </c>
      <c r="I194" s="66">
        <f t="shared" si="57"/>
        <v>0</v>
      </c>
      <c r="J194" s="66">
        <f t="shared" si="57"/>
        <v>0</v>
      </c>
      <c r="K194" s="66">
        <f t="shared" si="57"/>
        <v>0</v>
      </c>
      <c r="L194" s="66">
        <f t="shared" si="57"/>
        <v>0</v>
      </c>
      <c r="M194" s="198"/>
      <c r="N194" s="199"/>
      <c r="O194" s="199"/>
      <c r="P194" s="199"/>
      <c r="Q194" s="199"/>
      <c r="R194" s="36"/>
      <c r="S194" s="36"/>
      <c r="T194" s="36"/>
      <c r="U194" s="36"/>
      <c r="V194" s="36"/>
      <c r="W194" s="36"/>
      <c r="X194" s="36"/>
      <c r="Y194" s="8"/>
      <c r="Z194" s="8"/>
      <c r="AA194" s="42"/>
      <c r="AB194" s="9"/>
      <c r="AC194" s="9"/>
      <c r="AD194" s="9"/>
      <c r="AE194" s="201"/>
      <c r="AF194" s="201"/>
      <c r="AG194" s="201"/>
      <c r="AH194" s="201"/>
      <c r="AI194" s="201"/>
      <c r="AJ194" s="201"/>
      <c r="AK194" s="201"/>
      <c r="AL194" s="201"/>
      <c r="AM194" s="201"/>
      <c r="AN194" s="201"/>
      <c r="AO194" s="201"/>
      <c r="AP194" s="201"/>
      <c r="AQ194" s="201"/>
      <c r="AR194" s="201"/>
      <c r="AS194" s="201"/>
      <c r="AT194" s="201"/>
      <c r="AU194" s="201"/>
    </row>
    <row r="195" spans="1:47" hidden="1" outlineLevel="1">
      <c r="A195" s="12"/>
      <c r="B195" s="12"/>
      <c r="C195" s="12"/>
      <c r="D195" s="12"/>
      <c r="E195" s="12"/>
      <c r="F195" s="177">
        <f>Asset19</f>
        <v>0</v>
      </c>
      <c r="G195" s="167">
        <f t="shared" ref="G195:L195" si="58">G59</f>
        <v>0</v>
      </c>
      <c r="H195" s="66">
        <f t="shared" si="58"/>
        <v>0</v>
      </c>
      <c r="I195" s="66">
        <f t="shared" si="58"/>
        <v>0</v>
      </c>
      <c r="J195" s="66">
        <f t="shared" si="58"/>
        <v>0</v>
      </c>
      <c r="K195" s="66">
        <f t="shared" si="58"/>
        <v>0</v>
      </c>
      <c r="L195" s="66">
        <f t="shared" si="58"/>
        <v>0</v>
      </c>
      <c r="M195" s="198"/>
      <c r="N195" s="199"/>
      <c r="O195" s="199"/>
      <c r="P195" s="199"/>
      <c r="Q195" s="199"/>
      <c r="R195" s="36"/>
      <c r="S195" s="36"/>
      <c r="T195" s="36"/>
      <c r="U195" s="36"/>
      <c r="V195" s="36"/>
      <c r="W195" s="36"/>
      <c r="X195" s="36"/>
      <c r="Y195" s="8"/>
      <c r="Z195" s="8"/>
      <c r="AA195" s="42"/>
      <c r="AB195" s="9"/>
      <c r="AC195" s="9"/>
      <c r="AD195" s="9"/>
      <c r="AE195" s="201"/>
      <c r="AF195" s="201"/>
      <c r="AG195" s="201"/>
      <c r="AH195" s="201"/>
      <c r="AI195" s="201"/>
      <c r="AJ195" s="201"/>
      <c r="AK195" s="201"/>
      <c r="AL195" s="201"/>
      <c r="AM195" s="201"/>
      <c r="AN195" s="201"/>
      <c r="AO195" s="201"/>
      <c r="AP195" s="201"/>
      <c r="AQ195" s="201"/>
      <c r="AR195" s="201"/>
      <c r="AS195" s="201"/>
      <c r="AT195" s="201"/>
      <c r="AU195" s="201"/>
    </row>
    <row r="196" spans="1:47" hidden="1" outlineLevel="1">
      <c r="A196" s="12"/>
      <c r="B196" s="12"/>
      <c r="C196" s="12"/>
      <c r="D196" s="12"/>
      <c r="E196" s="12"/>
      <c r="F196" s="306">
        <f>Asset20</f>
        <v>0</v>
      </c>
      <c r="G196" s="303">
        <f t="shared" ref="G196:L196" si="59">G60</f>
        <v>0</v>
      </c>
      <c r="H196" s="66">
        <f t="shared" si="59"/>
        <v>0</v>
      </c>
      <c r="I196" s="66">
        <f t="shared" si="59"/>
        <v>0</v>
      </c>
      <c r="J196" s="66">
        <f t="shared" si="59"/>
        <v>0</v>
      </c>
      <c r="K196" s="66">
        <f t="shared" si="59"/>
        <v>0</v>
      </c>
      <c r="L196" s="66">
        <f t="shared" si="59"/>
        <v>0</v>
      </c>
      <c r="M196" s="198"/>
      <c r="N196" s="199"/>
      <c r="O196" s="199"/>
      <c r="P196" s="199"/>
      <c r="Q196" s="199"/>
      <c r="R196" s="36"/>
      <c r="S196" s="36"/>
      <c r="T196" s="36"/>
      <c r="U196" s="36"/>
      <c r="V196" s="36"/>
      <c r="W196" s="36"/>
      <c r="X196" s="36"/>
      <c r="Y196" s="8"/>
      <c r="Z196" s="8"/>
      <c r="AA196" s="42"/>
      <c r="AB196" s="9"/>
      <c r="AC196" s="9"/>
      <c r="AD196" s="9"/>
      <c r="AE196" s="201"/>
      <c r="AF196" s="201"/>
      <c r="AG196" s="201"/>
      <c r="AH196" s="201"/>
      <c r="AI196" s="201"/>
      <c r="AJ196" s="201"/>
      <c r="AK196" s="201"/>
      <c r="AL196" s="201"/>
      <c r="AM196" s="201"/>
      <c r="AN196" s="201"/>
      <c r="AO196" s="201"/>
      <c r="AP196" s="201"/>
      <c r="AQ196" s="201"/>
      <c r="AR196" s="201"/>
      <c r="AS196" s="201"/>
      <c r="AT196" s="201"/>
      <c r="AU196" s="201"/>
    </row>
    <row r="197" spans="1:47" hidden="1" outlineLevel="1">
      <c r="A197" s="12"/>
      <c r="B197" s="12"/>
      <c r="C197" s="12"/>
      <c r="D197" s="12"/>
      <c r="E197" s="12"/>
      <c r="F197" s="304">
        <f>Asset21</f>
        <v>0</v>
      </c>
      <c r="G197" s="303">
        <f t="shared" ref="G197:L197" si="60">G61</f>
        <v>0</v>
      </c>
      <c r="H197" s="66">
        <f t="shared" si="60"/>
        <v>0</v>
      </c>
      <c r="I197" s="66">
        <f t="shared" si="60"/>
        <v>0</v>
      </c>
      <c r="J197" s="66">
        <f t="shared" si="60"/>
        <v>0</v>
      </c>
      <c r="K197" s="66">
        <f t="shared" si="60"/>
        <v>0</v>
      </c>
      <c r="L197" s="66">
        <f t="shared" si="60"/>
        <v>0</v>
      </c>
      <c r="M197" s="198"/>
      <c r="N197" s="199"/>
      <c r="O197" s="199"/>
      <c r="P197" s="199"/>
      <c r="Q197" s="199"/>
      <c r="R197" s="36"/>
      <c r="S197" s="36"/>
      <c r="T197" s="36"/>
      <c r="U197" s="36"/>
      <c r="V197" s="36"/>
      <c r="W197" s="36"/>
      <c r="X197" s="36"/>
      <c r="Y197" s="8"/>
      <c r="Z197" s="8"/>
      <c r="AA197" s="42"/>
      <c r="AB197" s="9"/>
      <c r="AC197" s="9"/>
      <c r="AD197" s="9"/>
      <c r="AE197" s="201"/>
      <c r="AF197" s="201"/>
      <c r="AG197" s="201"/>
      <c r="AH197" s="201"/>
      <c r="AI197" s="201"/>
      <c r="AJ197" s="201"/>
      <c r="AK197" s="201"/>
      <c r="AL197" s="201"/>
      <c r="AM197" s="201"/>
      <c r="AN197" s="201"/>
      <c r="AO197" s="201"/>
      <c r="AP197" s="201"/>
      <c r="AQ197" s="201"/>
      <c r="AR197" s="201"/>
      <c r="AS197" s="201"/>
      <c r="AT197" s="201"/>
      <c r="AU197" s="201"/>
    </row>
    <row r="198" spans="1:47" hidden="1" outlineLevel="1">
      <c r="A198" s="12"/>
      <c r="B198" s="12"/>
      <c r="C198" s="12"/>
      <c r="D198" s="12"/>
      <c r="E198" s="12"/>
      <c r="F198" s="304">
        <f>Asset22</f>
        <v>0</v>
      </c>
      <c r="G198" s="303"/>
      <c r="H198" s="66"/>
      <c r="I198" s="66"/>
      <c r="J198" s="66"/>
      <c r="K198" s="66"/>
      <c r="L198" s="66"/>
      <c r="M198" s="198"/>
      <c r="N198" s="199"/>
      <c r="O198" s="199"/>
      <c r="P198" s="199"/>
      <c r="Q198" s="199"/>
      <c r="R198" s="36"/>
      <c r="S198" s="36"/>
      <c r="T198" s="36"/>
      <c r="U198" s="36"/>
      <c r="V198" s="36"/>
      <c r="W198" s="36"/>
      <c r="X198" s="36"/>
      <c r="Y198" s="8"/>
      <c r="Z198" s="8"/>
      <c r="AA198" s="42"/>
      <c r="AB198" s="9"/>
      <c r="AC198" s="9"/>
      <c r="AD198" s="9"/>
      <c r="AE198" s="201"/>
      <c r="AF198" s="201"/>
      <c r="AG198" s="201"/>
      <c r="AH198" s="201"/>
      <c r="AI198" s="201"/>
      <c r="AJ198" s="201"/>
      <c r="AK198" s="201"/>
      <c r="AL198" s="201"/>
      <c r="AM198" s="201"/>
      <c r="AN198" s="201"/>
      <c r="AO198" s="201"/>
      <c r="AP198" s="201"/>
      <c r="AQ198" s="201"/>
      <c r="AR198" s="201"/>
      <c r="AS198" s="201"/>
      <c r="AT198" s="201"/>
      <c r="AU198" s="201"/>
    </row>
    <row r="199" spans="1:47" hidden="1" outlineLevel="1">
      <c r="A199" s="12"/>
      <c r="B199" s="12"/>
      <c r="C199" s="12"/>
      <c r="D199" s="12"/>
      <c r="E199" s="12"/>
      <c r="F199" s="304">
        <f>Asset23</f>
        <v>0</v>
      </c>
      <c r="G199" s="303"/>
      <c r="H199" s="66"/>
      <c r="I199" s="66"/>
      <c r="J199" s="66"/>
      <c r="K199" s="66"/>
      <c r="L199" s="66"/>
      <c r="M199" s="198"/>
      <c r="N199" s="199"/>
      <c r="O199" s="199"/>
      <c r="P199" s="199"/>
      <c r="Q199" s="199"/>
      <c r="R199" s="36"/>
      <c r="S199" s="36"/>
      <c r="T199" s="36"/>
      <c r="U199" s="36"/>
      <c r="V199" s="36"/>
      <c r="W199" s="36"/>
      <c r="X199" s="36"/>
      <c r="Y199" s="8"/>
      <c r="Z199" s="8"/>
      <c r="AA199" s="42"/>
      <c r="AB199" s="9"/>
      <c r="AC199" s="9"/>
      <c r="AD199" s="9"/>
      <c r="AE199" s="201"/>
      <c r="AF199" s="201"/>
      <c r="AG199" s="201"/>
      <c r="AH199" s="201"/>
      <c r="AI199" s="201"/>
      <c r="AJ199" s="201"/>
      <c r="AK199" s="201"/>
      <c r="AL199" s="201"/>
      <c r="AM199" s="201"/>
      <c r="AN199" s="201"/>
      <c r="AO199" s="201"/>
      <c r="AP199" s="201"/>
      <c r="AQ199" s="201"/>
      <c r="AR199" s="201"/>
      <c r="AS199" s="201"/>
      <c r="AT199" s="201"/>
      <c r="AU199" s="201"/>
    </row>
    <row r="200" spans="1:47" hidden="1" outlineLevel="1">
      <c r="A200" s="12"/>
      <c r="B200" s="12"/>
      <c r="C200" s="12"/>
      <c r="D200" s="12"/>
      <c r="E200" s="12"/>
      <c r="F200" s="304">
        <f>Asset24</f>
        <v>0</v>
      </c>
      <c r="G200" s="303"/>
      <c r="H200" s="66"/>
      <c r="I200" s="66"/>
      <c r="J200" s="66"/>
      <c r="K200" s="66"/>
      <c r="L200" s="66"/>
      <c r="M200" s="198"/>
      <c r="N200" s="199"/>
      <c r="O200" s="199"/>
      <c r="P200" s="199"/>
      <c r="Q200" s="199"/>
      <c r="R200" s="36"/>
      <c r="S200" s="36"/>
      <c r="T200" s="36"/>
      <c r="U200" s="36"/>
      <c r="V200" s="36"/>
      <c r="W200" s="36"/>
      <c r="X200" s="36"/>
      <c r="Y200" s="8"/>
      <c r="Z200" s="8"/>
      <c r="AA200" s="42"/>
      <c r="AB200" s="9"/>
      <c r="AC200" s="9"/>
      <c r="AD200" s="9"/>
      <c r="AE200" s="201"/>
      <c r="AF200" s="201"/>
      <c r="AG200" s="201"/>
      <c r="AH200" s="201"/>
      <c r="AI200" s="201"/>
      <c r="AJ200" s="201"/>
      <c r="AK200" s="201"/>
      <c r="AL200" s="201"/>
      <c r="AM200" s="201"/>
      <c r="AN200" s="201"/>
      <c r="AO200" s="201"/>
      <c r="AP200" s="201"/>
      <c r="AQ200" s="201"/>
      <c r="AR200" s="201"/>
      <c r="AS200" s="201"/>
      <c r="AT200" s="201"/>
      <c r="AU200" s="201"/>
    </row>
    <row r="201" spans="1:47" hidden="1" outlineLevel="1">
      <c r="A201" s="12"/>
      <c r="B201" s="12"/>
      <c r="C201" s="12"/>
      <c r="D201" s="12"/>
      <c r="E201" s="12"/>
      <c r="F201" s="304">
        <f>Asset25</f>
        <v>0</v>
      </c>
      <c r="G201" s="303"/>
      <c r="H201" s="66"/>
      <c r="I201" s="66"/>
      <c r="J201" s="66"/>
      <c r="K201" s="66"/>
      <c r="L201" s="66"/>
      <c r="M201" s="198"/>
      <c r="N201" s="199"/>
      <c r="O201" s="199"/>
      <c r="P201" s="199"/>
      <c r="Q201" s="199"/>
      <c r="R201" s="36"/>
      <c r="S201" s="36"/>
      <c r="T201" s="36"/>
      <c r="U201" s="36"/>
      <c r="V201" s="36"/>
      <c r="W201" s="36"/>
      <c r="X201" s="36"/>
      <c r="Y201" s="8"/>
      <c r="Z201" s="8"/>
      <c r="AA201" s="42"/>
      <c r="AB201" s="9"/>
      <c r="AC201" s="9"/>
      <c r="AD201" s="9"/>
      <c r="AE201" s="201"/>
      <c r="AF201" s="201"/>
      <c r="AG201" s="201"/>
      <c r="AH201" s="201"/>
      <c r="AI201" s="201"/>
      <c r="AJ201" s="201"/>
      <c r="AK201" s="201"/>
      <c r="AL201" s="201"/>
      <c r="AM201" s="201"/>
      <c r="AN201" s="201"/>
      <c r="AO201" s="201"/>
      <c r="AP201" s="201"/>
      <c r="AQ201" s="201"/>
      <c r="AR201" s="201"/>
      <c r="AS201" s="201"/>
      <c r="AT201" s="201"/>
      <c r="AU201" s="201"/>
    </row>
    <row r="202" spans="1:47" hidden="1" outlineLevel="1">
      <c r="A202" s="12"/>
      <c r="B202" s="12"/>
      <c r="C202" s="12"/>
      <c r="D202" s="12"/>
      <c r="E202" s="12"/>
      <c r="F202" s="304">
        <f>Asset26</f>
        <v>0</v>
      </c>
      <c r="G202" s="303"/>
      <c r="H202" s="66"/>
      <c r="I202" s="66"/>
      <c r="J202" s="66"/>
      <c r="K202" s="66"/>
      <c r="L202" s="66"/>
      <c r="M202" s="198"/>
      <c r="N202" s="199"/>
      <c r="O202" s="199"/>
      <c r="P202" s="199"/>
      <c r="Q202" s="199"/>
      <c r="R202" s="36"/>
      <c r="S202" s="36"/>
      <c r="T202" s="36"/>
      <c r="U202" s="36"/>
      <c r="V202" s="36"/>
      <c r="W202" s="36"/>
      <c r="X202" s="36"/>
      <c r="Y202" s="8"/>
      <c r="Z202" s="8"/>
      <c r="AA202" s="42"/>
      <c r="AB202" s="9"/>
      <c r="AC202" s="9"/>
      <c r="AD202" s="9"/>
      <c r="AE202" s="201"/>
      <c r="AF202" s="201"/>
      <c r="AG202" s="201"/>
      <c r="AH202" s="201"/>
      <c r="AI202" s="201"/>
      <c r="AJ202" s="201"/>
      <c r="AK202" s="201"/>
      <c r="AL202" s="201"/>
      <c r="AM202" s="201"/>
      <c r="AN202" s="201"/>
      <c r="AO202" s="201"/>
      <c r="AP202" s="201"/>
      <c r="AQ202" s="201"/>
      <c r="AR202" s="201"/>
      <c r="AS202" s="201"/>
      <c r="AT202" s="201"/>
      <c r="AU202" s="201"/>
    </row>
    <row r="203" spans="1:47" hidden="1" outlineLevel="1">
      <c r="A203" s="12"/>
      <c r="B203" s="12"/>
      <c r="C203" s="12"/>
      <c r="D203" s="12"/>
      <c r="E203" s="12"/>
      <c r="F203" s="304">
        <f>Asset27</f>
        <v>0</v>
      </c>
      <c r="G203" s="303"/>
      <c r="H203" s="66"/>
      <c r="I203" s="66"/>
      <c r="J203" s="66"/>
      <c r="K203" s="66"/>
      <c r="L203" s="66"/>
      <c r="M203" s="198"/>
      <c r="N203" s="199"/>
      <c r="O203" s="199"/>
      <c r="P203" s="199"/>
      <c r="Q203" s="199"/>
      <c r="R203" s="36"/>
      <c r="S203" s="36"/>
      <c r="T203" s="36"/>
      <c r="U203" s="36"/>
      <c r="V203" s="36"/>
      <c r="W203" s="36"/>
      <c r="X203" s="36"/>
      <c r="Y203" s="8"/>
      <c r="Z203" s="8"/>
      <c r="AA203" s="42"/>
      <c r="AB203" s="9"/>
      <c r="AC203" s="9"/>
      <c r="AD203" s="9"/>
      <c r="AE203" s="201"/>
      <c r="AF203" s="201"/>
      <c r="AG203" s="201"/>
      <c r="AH203" s="201"/>
      <c r="AI203" s="201"/>
      <c r="AJ203" s="201"/>
      <c r="AK203" s="201"/>
      <c r="AL203" s="201"/>
      <c r="AM203" s="201"/>
      <c r="AN203" s="201"/>
      <c r="AO203" s="201"/>
      <c r="AP203" s="201"/>
      <c r="AQ203" s="201"/>
      <c r="AR203" s="201"/>
      <c r="AS203" s="201"/>
      <c r="AT203" s="201"/>
      <c r="AU203" s="201"/>
    </row>
    <row r="204" spans="1:47" hidden="1" outlineLevel="1">
      <c r="A204" s="12"/>
      <c r="B204" s="12"/>
      <c r="C204" s="12"/>
      <c r="D204" s="12"/>
      <c r="E204" s="12"/>
      <c r="F204" s="304">
        <f>Asset28</f>
        <v>0</v>
      </c>
      <c r="G204" s="303"/>
      <c r="H204" s="66"/>
      <c r="I204" s="66"/>
      <c r="J204" s="66"/>
      <c r="K204" s="66"/>
      <c r="L204" s="66"/>
      <c r="M204" s="198"/>
      <c r="N204" s="199"/>
      <c r="O204" s="199"/>
      <c r="P204" s="199"/>
      <c r="Q204" s="199"/>
      <c r="R204" s="36"/>
      <c r="S204" s="36"/>
      <c r="T204" s="36"/>
      <c r="U204" s="36"/>
      <c r="V204" s="36"/>
      <c r="W204" s="36"/>
      <c r="X204" s="36"/>
      <c r="Y204" s="8"/>
      <c r="Z204" s="8"/>
      <c r="AA204" s="42"/>
      <c r="AB204" s="9"/>
      <c r="AC204" s="9"/>
      <c r="AD204" s="9"/>
      <c r="AE204" s="201"/>
      <c r="AF204" s="201"/>
      <c r="AG204" s="201"/>
      <c r="AH204" s="201"/>
      <c r="AI204" s="201"/>
      <c r="AJ204" s="201"/>
      <c r="AK204" s="201"/>
      <c r="AL204" s="201"/>
      <c r="AM204" s="201"/>
      <c r="AN204" s="201"/>
      <c r="AO204" s="201"/>
      <c r="AP204" s="201"/>
      <c r="AQ204" s="201"/>
      <c r="AR204" s="201"/>
      <c r="AS204" s="201"/>
      <c r="AT204" s="201"/>
      <c r="AU204" s="201"/>
    </row>
    <row r="205" spans="1:47" hidden="1" outlineLevel="1">
      <c r="A205" s="12"/>
      <c r="B205" s="12"/>
      <c r="C205" s="12"/>
      <c r="D205" s="12"/>
      <c r="E205" s="12"/>
      <c r="F205" s="304">
        <f>Asset29</f>
        <v>0</v>
      </c>
      <c r="G205" s="303"/>
      <c r="H205" s="66"/>
      <c r="I205" s="66"/>
      <c r="J205" s="66"/>
      <c r="K205" s="66"/>
      <c r="L205" s="66"/>
      <c r="M205" s="198"/>
      <c r="N205" s="199"/>
      <c r="O205" s="199"/>
      <c r="P205" s="199"/>
      <c r="Q205" s="199"/>
      <c r="R205" s="36"/>
      <c r="S205" s="36"/>
      <c r="T205" s="36"/>
      <c r="U205" s="36"/>
      <c r="V205" s="36"/>
      <c r="W205" s="36"/>
      <c r="X205" s="36"/>
      <c r="Y205" s="8"/>
      <c r="Z205" s="8"/>
      <c r="AA205" s="42"/>
      <c r="AB205" s="9"/>
      <c r="AC205" s="9"/>
      <c r="AD205" s="9"/>
      <c r="AE205" s="201"/>
      <c r="AF205" s="201"/>
      <c r="AG205" s="201"/>
      <c r="AH205" s="201"/>
      <c r="AI205" s="201"/>
      <c r="AJ205" s="201"/>
      <c r="AK205" s="201"/>
      <c r="AL205" s="201"/>
      <c r="AM205" s="201"/>
      <c r="AN205" s="201"/>
      <c r="AO205" s="201"/>
      <c r="AP205" s="201"/>
      <c r="AQ205" s="201"/>
      <c r="AR205" s="201"/>
      <c r="AS205" s="201"/>
      <c r="AT205" s="201"/>
      <c r="AU205" s="201"/>
    </row>
    <row r="206" spans="1:47" hidden="1" outlineLevel="1">
      <c r="A206" s="12"/>
      <c r="B206" s="12"/>
      <c r="C206" s="12"/>
      <c r="D206" s="12"/>
      <c r="E206" s="12"/>
      <c r="F206" s="304">
        <f>Asset30</f>
        <v>0</v>
      </c>
      <c r="G206" s="303"/>
      <c r="H206" s="66"/>
      <c r="I206" s="66"/>
      <c r="J206" s="66"/>
      <c r="K206" s="66"/>
      <c r="L206" s="66"/>
      <c r="M206" s="198"/>
      <c r="N206" s="199"/>
      <c r="O206" s="199"/>
      <c r="P206" s="199"/>
      <c r="Q206" s="199"/>
      <c r="R206" s="36"/>
      <c r="S206" s="36"/>
      <c r="T206" s="36"/>
      <c r="U206" s="36"/>
      <c r="V206" s="36"/>
      <c r="W206" s="36"/>
      <c r="X206" s="36"/>
      <c r="Y206" s="8"/>
      <c r="Z206" s="8"/>
      <c r="AA206" s="42"/>
      <c r="AB206" s="9"/>
      <c r="AC206" s="9"/>
      <c r="AD206" s="9"/>
      <c r="AE206" s="201"/>
      <c r="AF206" s="201"/>
      <c r="AG206" s="201"/>
      <c r="AH206" s="201"/>
      <c r="AI206" s="201"/>
      <c r="AJ206" s="201"/>
      <c r="AK206" s="201"/>
      <c r="AL206" s="201"/>
      <c r="AM206" s="201"/>
      <c r="AN206" s="201"/>
      <c r="AO206" s="201"/>
      <c r="AP206" s="201"/>
      <c r="AQ206" s="201"/>
      <c r="AR206" s="201"/>
      <c r="AS206" s="201"/>
      <c r="AT206" s="201"/>
      <c r="AU206" s="201"/>
    </row>
    <row r="207" spans="1:47" collapsed="1">
      <c r="A207" s="12"/>
      <c r="B207" s="12"/>
      <c r="C207" s="12"/>
      <c r="D207" s="12"/>
      <c r="E207" s="12"/>
      <c r="F207" s="177" t="s">
        <v>2</v>
      </c>
      <c r="G207" s="309">
        <f>SUM(G177:G206)</f>
        <v>271.485752881336</v>
      </c>
      <c r="H207" s="309">
        <f t="shared" ref="H207:Q207" si="61">SUM(H177:H206)</f>
        <v>290.83819036777624</v>
      </c>
      <c r="I207" s="309">
        <f t="shared" si="61"/>
        <v>331.1087479645239</v>
      </c>
      <c r="J207" s="309">
        <f t="shared" si="61"/>
        <v>386.30323145175248</v>
      </c>
      <c r="K207" s="309">
        <f t="shared" si="61"/>
        <v>428.23279606916691</v>
      </c>
      <c r="L207" s="309">
        <f t="shared" si="61"/>
        <v>387.38622172650003</v>
      </c>
      <c r="M207" s="309">
        <f>SUM(M177:M206)</f>
        <v>0</v>
      </c>
      <c r="N207" s="309">
        <f>SUM(N177:N206)</f>
        <v>0</v>
      </c>
      <c r="O207" s="309">
        <f t="shared" si="61"/>
        <v>0</v>
      </c>
      <c r="P207" s="309">
        <f t="shared" si="61"/>
        <v>0</v>
      </c>
      <c r="Q207" s="309">
        <f t="shared" si="61"/>
        <v>0</v>
      </c>
      <c r="R207" s="36"/>
      <c r="S207" s="36"/>
      <c r="T207" s="36"/>
      <c r="U207" s="36"/>
      <c r="V207" s="36"/>
      <c r="W207" s="36"/>
      <c r="X207" s="36"/>
      <c r="Y207" s="8"/>
      <c r="Z207" s="8"/>
      <c r="AA207" s="42"/>
      <c r="AB207" s="9"/>
      <c r="AC207" s="9"/>
      <c r="AD207" s="9"/>
      <c r="AE207" s="201"/>
      <c r="AF207" s="201"/>
      <c r="AG207" s="201"/>
      <c r="AH207" s="201"/>
      <c r="AI207" s="201"/>
      <c r="AJ207" s="201"/>
      <c r="AK207" s="201"/>
      <c r="AL207" s="201"/>
      <c r="AM207" s="201"/>
      <c r="AN207" s="201"/>
      <c r="AO207" s="201"/>
      <c r="AP207" s="201"/>
      <c r="AQ207" s="201"/>
      <c r="AR207" s="201"/>
      <c r="AS207" s="201"/>
      <c r="AT207" s="201"/>
      <c r="AU207" s="201"/>
    </row>
    <row r="208" spans="1:47" ht="21" customHeight="1">
      <c r="A208" s="12"/>
      <c r="B208" s="12"/>
      <c r="C208" s="12"/>
      <c r="D208" s="12"/>
      <c r="E208" s="12"/>
      <c r="F208" s="38"/>
      <c r="G208" s="62"/>
      <c r="H208" s="62"/>
      <c r="I208" s="62"/>
      <c r="J208" s="62"/>
      <c r="K208" s="62"/>
      <c r="L208" s="62"/>
      <c r="M208" s="62"/>
      <c r="N208" s="36"/>
      <c r="O208" s="36"/>
      <c r="P208" s="36"/>
      <c r="Q208" s="36"/>
      <c r="R208" s="245">
        <f>SUM(G207:Q207)</f>
        <v>2095.3549404610558</v>
      </c>
      <c r="S208" s="36"/>
      <c r="T208" s="36"/>
      <c r="U208" s="36"/>
      <c r="V208" s="36"/>
      <c r="W208" s="36"/>
      <c r="X208" s="36"/>
      <c r="Y208" s="8"/>
      <c r="Z208" s="8"/>
      <c r="AA208" s="42"/>
      <c r="AB208" s="9"/>
      <c r="AC208" s="9"/>
      <c r="AD208" s="9"/>
      <c r="AE208" s="201"/>
      <c r="AF208" s="201"/>
      <c r="AG208" s="201"/>
      <c r="AH208" s="201"/>
      <c r="AI208" s="201"/>
      <c r="AJ208" s="201"/>
      <c r="AK208" s="201"/>
      <c r="AL208" s="201"/>
      <c r="AM208" s="201"/>
      <c r="AN208" s="201"/>
      <c r="AO208" s="201"/>
      <c r="AP208" s="201"/>
      <c r="AQ208" s="201"/>
      <c r="AR208" s="201"/>
      <c r="AS208" s="201"/>
      <c r="AT208" s="201"/>
      <c r="AU208" s="201"/>
    </row>
    <row r="209" spans="1:47">
      <c r="A209" s="78"/>
      <c r="B209" s="78"/>
      <c r="C209" s="78"/>
      <c r="D209" s="78"/>
      <c r="E209" s="78"/>
      <c r="F209" s="530" t="s">
        <v>39</v>
      </c>
      <c r="G209" s="530"/>
      <c r="H209" s="530"/>
      <c r="I209" s="170"/>
      <c r="J209" s="170"/>
      <c r="K209" s="170"/>
      <c r="L209" s="170"/>
      <c r="M209" s="170"/>
      <c r="N209" s="171"/>
      <c r="O209" s="171"/>
      <c r="P209" s="171"/>
      <c r="Q209" s="171"/>
      <c r="R209" s="171"/>
      <c r="S209" s="171"/>
      <c r="T209" s="171"/>
      <c r="U209" s="171"/>
      <c r="V209" s="171"/>
      <c r="W209" s="171"/>
      <c r="X209" s="36"/>
      <c r="Y209" s="8"/>
      <c r="Z209" s="8"/>
      <c r="AA209" s="42"/>
      <c r="AB209" s="9"/>
      <c r="AC209" s="9"/>
      <c r="AD209" s="9"/>
      <c r="AE209" s="201"/>
      <c r="AF209" s="201"/>
      <c r="AG209" s="201"/>
      <c r="AH209" s="201"/>
      <c r="AI209" s="201"/>
      <c r="AJ209" s="201"/>
      <c r="AK209" s="201"/>
      <c r="AL209" s="201"/>
      <c r="AM209" s="201"/>
      <c r="AN209" s="201"/>
      <c r="AO209" s="201"/>
      <c r="AP209" s="201"/>
      <c r="AQ209" s="201"/>
      <c r="AR209" s="201"/>
      <c r="AS209" s="201"/>
      <c r="AT209" s="201"/>
      <c r="AU209" s="201"/>
    </row>
    <row r="210" spans="1:47">
      <c r="A210" s="12"/>
      <c r="B210" s="12"/>
      <c r="C210" s="12"/>
      <c r="D210" s="12"/>
      <c r="E210" s="12"/>
      <c r="F210" s="37" t="s">
        <v>1</v>
      </c>
      <c r="G210" s="244">
        <f t="shared" ref="G210:Q210" si="62">G40</f>
        <v>2010</v>
      </c>
      <c r="H210" s="244">
        <f t="shared" si="62"/>
        <v>2011</v>
      </c>
      <c r="I210" s="244">
        <f t="shared" si="62"/>
        <v>2012</v>
      </c>
      <c r="J210" s="244">
        <f t="shared" si="62"/>
        <v>2013</v>
      </c>
      <c r="K210" s="244">
        <f t="shared" si="62"/>
        <v>2014</v>
      </c>
      <c r="L210" s="244">
        <f t="shared" si="62"/>
        <v>2015</v>
      </c>
      <c r="M210" s="244">
        <f t="shared" si="62"/>
        <v>2016</v>
      </c>
      <c r="N210" s="244">
        <f t="shared" si="62"/>
        <v>2017</v>
      </c>
      <c r="O210" s="244">
        <f t="shared" si="62"/>
        <v>2018</v>
      </c>
      <c r="P210" s="244">
        <f t="shared" si="62"/>
        <v>2019</v>
      </c>
      <c r="Q210" s="244">
        <f t="shared" si="62"/>
        <v>2020</v>
      </c>
      <c r="R210" s="36"/>
      <c r="S210" s="36"/>
      <c r="T210" s="36"/>
      <c r="U210" s="36"/>
      <c r="V210" s="36"/>
      <c r="W210" s="36"/>
      <c r="X210" s="36"/>
      <c r="Y210" s="8"/>
      <c r="Z210" s="8"/>
      <c r="AA210" s="42"/>
      <c r="AB210" s="9"/>
      <c r="AC210" s="9"/>
      <c r="AD210" s="9"/>
      <c r="AE210" s="201"/>
      <c r="AF210" s="201"/>
      <c r="AG210" s="201"/>
      <c r="AH210" s="201"/>
      <c r="AI210" s="201"/>
      <c r="AJ210" s="201"/>
      <c r="AK210" s="201"/>
      <c r="AL210" s="201"/>
      <c r="AM210" s="201"/>
      <c r="AN210" s="201"/>
      <c r="AO210" s="201"/>
      <c r="AP210" s="201"/>
      <c r="AQ210" s="201"/>
      <c r="AR210" s="201"/>
      <c r="AS210" s="201"/>
      <c r="AT210" s="201"/>
      <c r="AU210" s="201"/>
    </row>
    <row r="211" spans="1:47" ht="12.75" hidden="1" customHeight="1" outlineLevel="1">
      <c r="A211" s="12"/>
      <c r="B211" s="12"/>
      <c r="C211" s="12"/>
      <c r="D211" s="12"/>
      <c r="E211" s="12"/>
      <c r="F211" s="177" t="str">
        <f>Asset1</f>
        <v>Subtransmission</v>
      </c>
      <c r="G211" s="167">
        <f>G75</f>
        <v>0</v>
      </c>
      <c r="H211" s="65">
        <f t="shared" ref="H211:L211" si="63">H75</f>
        <v>0</v>
      </c>
      <c r="I211" s="65">
        <f t="shared" si="63"/>
        <v>0</v>
      </c>
      <c r="J211" s="65">
        <f t="shared" si="63"/>
        <v>0</v>
      </c>
      <c r="K211" s="65">
        <f t="shared" si="63"/>
        <v>0</v>
      </c>
      <c r="L211" s="65">
        <f t="shared" si="63"/>
        <v>0</v>
      </c>
      <c r="M211" s="65"/>
      <c r="N211" s="65"/>
      <c r="O211" s="65"/>
      <c r="P211" s="65"/>
      <c r="Q211" s="65"/>
      <c r="R211" s="36"/>
      <c r="S211" s="36"/>
      <c r="T211" s="36"/>
      <c r="U211" s="36"/>
      <c r="V211" s="36"/>
      <c r="W211" s="36"/>
      <c r="X211" s="36"/>
      <c r="Y211" s="8"/>
      <c r="Z211" s="8"/>
      <c r="AA211" s="42"/>
      <c r="AB211" s="9"/>
      <c r="AC211" s="9"/>
      <c r="AD211" s="9"/>
      <c r="AE211" s="201"/>
      <c r="AF211" s="201"/>
      <c r="AG211" s="201"/>
      <c r="AH211" s="201"/>
      <c r="AI211" s="201"/>
      <c r="AJ211" s="201"/>
      <c r="AK211" s="201"/>
      <c r="AL211" s="201"/>
      <c r="AM211" s="201"/>
      <c r="AN211" s="201"/>
      <c r="AO211" s="201"/>
      <c r="AP211" s="201"/>
      <c r="AQ211" s="201"/>
      <c r="AR211" s="201"/>
      <c r="AS211" s="201"/>
      <c r="AT211" s="201"/>
      <c r="AU211" s="201"/>
    </row>
    <row r="212" spans="1:47" ht="12.75" hidden="1" customHeight="1" outlineLevel="1">
      <c r="A212" s="12"/>
      <c r="B212" s="12"/>
      <c r="C212" s="12"/>
      <c r="D212" s="12"/>
      <c r="E212" s="12"/>
      <c r="F212" s="177" t="str">
        <f>Asset2</f>
        <v>Distribution system assets</v>
      </c>
      <c r="G212" s="167">
        <f t="shared" ref="G212:L212" si="64">G76</f>
        <v>0</v>
      </c>
      <c r="H212" s="66">
        <f t="shared" si="64"/>
        <v>0</v>
      </c>
      <c r="I212" s="66">
        <f t="shared" si="64"/>
        <v>0</v>
      </c>
      <c r="J212" s="66">
        <f t="shared" si="64"/>
        <v>0</v>
      </c>
      <c r="K212" s="66">
        <f t="shared" si="64"/>
        <v>0</v>
      </c>
      <c r="L212" s="66">
        <f t="shared" si="64"/>
        <v>0</v>
      </c>
      <c r="M212" s="66"/>
      <c r="N212" s="66"/>
      <c r="O212" s="66"/>
      <c r="P212" s="66"/>
      <c r="Q212" s="66"/>
      <c r="R212" s="36"/>
      <c r="S212" s="36"/>
      <c r="T212" s="36"/>
      <c r="U212" s="36"/>
      <c r="V212" s="36"/>
      <c r="W212" s="36"/>
      <c r="X212" s="36"/>
      <c r="Y212" s="8"/>
      <c r="Z212" s="8"/>
      <c r="AA212" s="42"/>
      <c r="AB212" s="9"/>
      <c r="AC212" s="9"/>
      <c r="AD212" s="9"/>
      <c r="AE212" s="201"/>
      <c r="AF212" s="201"/>
      <c r="AG212" s="201"/>
      <c r="AH212" s="201"/>
      <c r="AI212" s="201"/>
      <c r="AJ212" s="201"/>
      <c r="AK212" s="201"/>
      <c r="AL212" s="201"/>
      <c r="AM212" s="201"/>
      <c r="AN212" s="201"/>
      <c r="AO212" s="201"/>
      <c r="AP212" s="201"/>
      <c r="AQ212" s="201"/>
      <c r="AR212" s="201"/>
      <c r="AS212" s="201"/>
      <c r="AT212" s="201"/>
      <c r="AU212" s="201"/>
    </row>
    <row r="213" spans="1:47" ht="12.75" hidden="1" customHeight="1" outlineLevel="1">
      <c r="A213" s="12"/>
      <c r="B213" s="12"/>
      <c r="C213" s="12"/>
      <c r="D213" s="12"/>
      <c r="E213" s="12"/>
      <c r="F213" s="177" t="str">
        <f>Asset3</f>
        <v>Standard metering</v>
      </c>
      <c r="G213" s="167">
        <f t="shared" ref="G213:L213" si="65">G77</f>
        <v>0</v>
      </c>
      <c r="H213" s="66">
        <f t="shared" si="65"/>
        <v>0</v>
      </c>
      <c r="I213" s="66">
        <f t="shared" si="65"/>
        <v>0</v>
      </c>
      <c r="J213" s="66">
        <f t="shared" si="65"/>
        <v>0</v>
      </c>
      <c r="K213" s="66">
        <f t="shared" si="65"/>
        <v>0</v>
      </c>
      <c r="L213" s="66">
        <f t="shared" si="65"/>
        <v>0</v>
      </c>
      <c r="M213" s="66"/>
      <c r="N213" s="66"/>
      <c r="O213" s="66"/>
      <c r="P213" s="66"/>
      <c r="Q213" s="66"/>
      <c r="R213" s="36"/>
      <c r="S213" s="36"/>
      <c r="T213" s="36"/>
      <c r="U213" s="36"/>
      <c r="V213" s="36"/>
      <c r="W213" s="36"/>
      <c r="X213" s="36"/>
      <c r="Y213" s="8"/>
      <c r="Z213" s="8"/>
      <c r="AA213" s="42"/>
      <c r="AB213" s="9"/>
      <c r="AC213" s="9"/>
      <c r="AD213" s="9"/>
      <c r="AE213" s="201"/>
      <c r="AF213" s="201"/>
      <c r="AG213" s="201"/>
      <c r="AH213" s="201"/>
      <c r="AI213" s="201"/>
      <c r="AJ213" s="201"/>
      <c r="AK213" s="201"/>
      <c r="AL213" s="201"/>
      <c r="AM213" s="201"/>
      <c r="AN213" s="201"/>
      <c r="AO213" s="201"/>
      <c r="AP213" s="201"/>
      <c r="AQ213" s="201"/>
      <c r="AR213" s="201"/>
      <c r="AS213" s="201"/>
      <c r="AT213" s="201"/>
      <c r="AU213" s="201"/>
    </row>
    <row r="214" spans="1:47" ht="12.75" hidden="1" customHeight="1" outlineLevel="1">
      <c r="A214" s="12"/>
      <c r="B214" s="12"/>
      <c r="C214" s="12"/>
      <c r="D214" s="12"/>
      <c r="E214" s="12"/>
      <c r="F214" s="177" t="str">
        <f>Asset4</f>
        <v>Public lighting</v>
      </c>
      <c r="G214" s="167">
        <f t="shared" ref="G214:L214" si="66">G78</f>
        <v>0</v>
      </c>
      <c r="H214" s="66">
        <f t="shared" si="66"/>
        <v>0</v>
      </c>
      <c r="I214" s="66">
        <f t="shared" si="66"/>
        <v>0</v>
      </c>
      <c r="J214" s="66">
        <f t="shared" si="66"/>
        <v>0</v>
      </c>
      <c r="K214" s="66">
        <f t="shared" si="66"/>
        <v>0</v>
      </c>
      <c r="L214" s="66">
        <f t="shared" si="66"/>
        <v>0</v>
      </c>
      <c r="M214" s="66"/>
      <c r="N214" s="199"/>
      <c r="O214" s="199"/>
      <c r="P214" s="199"/>
      <c r="Q214" s="199"/>
      <c r="R214" s="36"/>
      <c r="S214" s="36"/>
      <c r="T214" s="36"/>
      <c r="U214" s="36"/>
      <c r="V214" s="36"/>
      <c r="W214" s="36"/>
      <c r="X214" s="36"/>
      <c r="Y214" s="8"/>
      <c r="Z214" s="8"/>
      <c r="AA214" s="42"/>
      <c r="AB214" s="9"/>
      <c r="AC214" s="9"/>
      <c r="AD214" s="9"/>
      <c r="AE214" s="201"/>
      <c r="AF214" s="201"/>
      <c r="AG214" s="201"/>
      <c r="AH214" s="201"/>
      <c r="AI214" s="201"/>
      <c r="AJ214" s="201"/>
      <c r="AK214" s="201"/>
      <c r="AL214" s="201"/>
      <c r="AM214" s="201"/>
      <c r="AN214" s="201"/>
      <c r="AO214" s="201"/>
      <c r="AP214" s="201"/>
      <c r="AQ214" s="201"/>
      <c r="AR214" s="201"/>
      <c r="AS214" s="201"/>
      <c r="AT214" s="201"/>
      <c r="AU214" s="201"/>
    </row>
    <row r="215" spans="1:47" ht="12.75" hidden="1" customHeight="1" outlineLevel="1">
      <c r="A215" s="12"/>
      <c r="B215" s="12"/>
      <c r="C215" s="12"/>
      <c r="D215" s="12"/>
      <c r="E215" s="12"/>
      <c r="F215" s="177" t="str">
        <f>Asset5</f>
        <v>SCADA/Network control</v>
      </c>
      <c r="G215" s="167">
        <f t="shared" ref="G215:L215" si="67">G79</f>
        <v>0</v>
      </c>
      <c r="H215" s="66">
        <f t="shared" si="67"/>
        <v>0</v>
      </c>
      <c r="I215" s="66">
        <f t="shared" si="67"/>
        <v>0</v>
      </c>
      <c r="J215" s="66">
        <f t="shared" si="67"/>
        <v>0</v>
      </c>
      <c r="K215" s="66">
        <f t="shared" si="67"/>
        <v>0</v>
      </c>
      <c r="L215" s="66">
        <f t="shared" si="67"/>
        <v>0</v>
      </c>
      <c r="M215" s="66"/>
      <c r="N215" s="199"/>
      <c r="O215" s="199"/>
      <c r="P215" s="199"/>
      <c r="Q215" s="199"/>
      <c r="R215" s="36"/>
      <c r="S215" s="36"/>
      <c r="T215" s="36"/>
      <c r="U215" s="36"/>
      <c r="V215" s="36"/>
      <c r="W215" s="36"/>
      <c r="X215" s="36"/>
      <c r="Y215" s="8"/>
      <c r="Z215" s="8"/>
      <c r="AA215" s="42"/>
      <c r="AB215" s="9"/>
      <c r="AC215" s="9"/>
      <c r="AD215" s="9"/>
      <c r="AE215" s="201"/>
      <c r="AF215" s="201"/>
      <c r="AG215" s="201"/>
      <c r="AH215" s="201"/>
      <c r="AI215" s="201"/>
      <c r="AJ215" s="201"/>
      <c r="AK215" s="201"/>
      <c r="AL215" s="201"/>
      <c r="AM215" s="201"/>
      <c r="AN215" s="201"/>
      <c r="AO215" s="201"/>
      <c r="AP215" s="201"/>
      <c r="AQ215" s="201"/>
      <c r="AR215" s="201"/>
      <c r="AS215" s="201"/>
      <c r="AT215" s="201"/>
      <c r="AU215" s="201"/>
    </row>
    <row r="216" spans="1:47" ht="12.75" hidden="1" customHeight="1" outlineLevel="1">
      <c r="A216" s="12"/>
      <c r="B216" s="12"/>
      <c r="C216" s="12"/>
      <c r="D216" s="12"/>
      <c r="E216" s="12"/>
      <c r="F216" s="177" t="str">
        <f>Asset6</f>
        <v>Non-network general assets - IT</v>
      </c>
      <c r="G216" s="167">
        <f t="shared" ref="G216:L216" si="68">G80</f>
        <v>0</v>
      </c>
      <c r="H216" s="66">
        <f t="shared" si="68"/>
        <v>0</v>
      </c>
      <c r="I216" s="66">
        <f t="shared" si="68"/>
        <v>0</v>
      </c>
      <c r="J216" s="66">
        <f t="shared" si="68"/>
        <v>0</v>
      </c>
      <c r="K216" s="66">
        <f t="shared" si="68"/>
        <v>0</v>
      </c>
      <c r="L216" s="66">
        <f t="shared" si="68"/>
        <v>1.2100147640625102E-2</v>
      </c>
      <c r="M216" s="66"/>
      <c r="N216" s="199"/>
      <c r="O216" s="199"/>
      <c r="P216" s="199"/>
      <c r="Q216" s="199"/>
      <c r="R216" s="36"/>
      <c r="S216" s="36"/>
      <c r="T216" s="36"/>
      <c r="U216" s="36"/>
      <c r="V216" s="36"/>
      <c r="W216" s="36"/>
      <c r="X216" s="36"/>
      <c r="Y216" s="8"/>
      <c r="Z216" s="8"/>
      <c r="AA216" s="42"/>
      <c r="AB216" s="9"/>
      <c r="AC216" s="9"/>
      <c r="AD216" s="9"/>
      <c r="AE216" s="201"/>
      <c r="AF216" s="201"/>
      <c r="AG216" s="201"/>
      <c r="AH216" s="201"/>
      <c r="AI216" s="201"/>
      <c r="AJ216" s="201"/>
      <c r="AK216" s="201"/>
      <c r="AL216" s="201"/>
      <c r="AM216" s="201"/>
      <c r="AN216" s="201"/>
      <c r="AO216" s="201"/>
      <c r="AP216" s="201"/>
      <c r="AQ216" s="201"/>
      <c r="AR216" s="201"/>
      <c r="AS216" s="201"/>
      <c r="AT216" s="201"/>
      <c r="AU216" s="201"/>
    </row>
    <row r="217" spans="1:47" ht="12.75" hidden="1" customHeight="1" outlineLevel="1">
      <c r="A217" s="12"/>
      <c r="B217" s="12"/>
      <c r="C217" s="12"/>
      <c r="D217" s="12"/>
      <c r="E217" s="12"/>
      <c r="F217" s="177" t="str">
        <f>Asset7</f>
        <v>Non-network general assets - Other</v>
      </c>
      <c r="G217" s="167">
        <f t="shared" ref="G217:L217" si="69">G81</f>
        <v>0.81355032999999988</v>
      </c>
      <c r="H217" s="66">
        <f t="shared" si="69"/>
        <v>0.11268235000000001</v>
      </c>
      <c r="I217" s="66">
        <f t="shared" si="69"/>
        <v>2.8618610699999998</v>
      </c>
      <c r="J217" s="66">
        <f t="shared" si="69"/>
        <v>0.66887568800000008</v>
      </c>
      <c r="K217" s="66">
        <f t="shared" si="69"/>
        <v>0.54726599999999992</v>
      </c>
      <c r="L217" s="66">
        <f t="shared" si="69"/>
        <v>1.1659833341458314</v>
      </c>
      <c r="M217" s="66"/>
      <c r="N217" s="199"/>
      <c r="O217" s="199"/>
      <c r="P217" s="199"/>
      <c r="Q217" s="199"/>
      <c r="R217" s="36"/>
      <c r="S217" s="36"/>
      <c r="T217" s="36"/>
      <c r="U217" s="36"/>
      <c r="V217" s="36"/>
      <c r="W217" s="36"/>
      <c r="X217" s="36"/>
      <c r="Y217" s="8"/>
      <c r="Z217" s="8"/>
      <c r="AA217" s="42"/>
      <c r="AB217" s="9"/>
      <c r="AC217" s="9"/>
      <c r="AD217" s="9"/>
      <c r="AE217" s="201"/>
      <c r="AF217" s="201"/>
      <c r="AG217" s="201"/>
      <c r="AH217" s="201"/>
      <c r="AI217" s="201"/>
      <c r="AJ217" s="201"/>
      <c r="AK217" s="201"/>
      <c r="AL217" s="201"/>
      <c r="AM217" s="201"/>
      <c r="AN217" s="201"/>
      <c r="AO217" s="201"/>
      <c r="AP217" s="201"/>
      <c r="AQ217" s="201"/>
      <c r="AR217" s="201"/>
      <c r="AS217" s="201"/>
      <c r="AT217" s="201"/>
      <c r="AU217" s="201"/>
    </row>
    <row r="218" spans="1:47" ht="12.75" hidden="1" customHeight="1" outlineLevel="1">
      <c r="A218" s="12"/>
      <c r="B218" s="12"/>
      <c r="C218" s="12"/>
      <c r="D218" s="12"/>
      <c r="E218" s="12"/>
      <c r="F218" s="177" t="str">
        <f>Asset8</f>
        <v>Equity Raising Costs</v>
      </c>
      <c r="G218" s="167">
        <f t="shared" ref="G218:L218" si="70">G82</f>
        <v>0</v>
      </c>
      <c r="H218" s="66">
        <f t="shared" si="70"/>
        <v>0</v>
      </c>
      <c r="I218" s="66">
        <f t="shared" si="70"/>
        <v>0</v>
      </c>
      <c r="J218" s="66">
        <f t="shared" si="70"/>
        <v>0</v>
      </c>
      <c r="K218" s="66">
        <f t="shared" si="70"/>
        <v>0</v>
      </c>
      <c r="L218" s="66">
        <f t="shared" si="70"/>
        <v>0</v>
      </c>
      <c r="M218" s="66"/>
      <c r="N218" s="199"/>
      <c r="O218" s="199"/>
      <c r="P218" s="199"/>
      <c r="Q218" s="199"/>
      <c r="R218" s="36"/>
      <c r="S218" s="36"/>
      <c r="T218" s="36"/>
      <c r="U218" s="36"/>
      <c r="V218" s="36"/>
      <c r="W218" s="36"/>
      <c r="X218" s="36"/>
      <c r="Y218" s="8"/>
      <c r="Z218" s="8"/>
      <c r="AA218" s="42"/>
      <c r="AB218" s="9"/>
      <c r="AC218" s="9"/>
      <c r="AD218" s="9"/>
      <c r="AE218" s="201"/>
      <c r="AF218" s="201"/>
      <c r="AG218" s="201"/>
      <c r="AH218" s="201"/>
      <c r="AI218" s="201"/>
      <c r="AJ218" s="201"/>
      <c r="AK218" s="201"/>
      <c r="AL218" s="201"/>
      <c r="AM218" s="201"/>
      <c r="AN218" s="201"/>
      <c r="AO218" s="201"/>
      <c r="AP218" s="201"/>
      <c r="AQ218" s="201"/>
      <c r="AR218" s="201"/>
      <c r="AS218" s="201"/>
      <c r="AT218" s="201"/>
      <c r="AU218" s="201"/>
    </row>
    <row r="219" spans="1:47" ht="12.75" hidden="1" customHeight="1" outlineLevel="1">
      <c r="A219" s="12"/>
      <c r="B219" s="12"/>
      <c r="C219" s="12"/>
      <c r="D219" s="12"/>
      <c r="E219" s="12"/>
      <c r="F219" s="177">
        <f>Asset9</f>
        <v>0</v>
      </c>
      <c r="G219" s="167">
        <f t="shared" ref="G219:L219" si="71">G83</f>
        <v>0</v>
      </c>
      <c r="H219" s="66">
        <f t="shared" si="71"/>
        <v>0</v>
      </c>
      <c r="I219" s="66">
        <f t="shared" si="71"/>
        <v>0</v>
      </c>
      <c r="J219" s="66">
        <f t="shared" si="71"/>
        <v>0</v>
      </c>
      <c r="K219" s="66">
        <f t="shared" si="71"/>
        <v>0</v>
      </c>
      <c r="L219" s="66">
        <f t="shared" si="71"/>
        <v>0</v>
      </c>
      <c r="M219" s="66"/>
      <c r="N219" s="199"/>
      <c r="O219" s="199"/>
      <c r="P219" s="199"/>
      <c r="Q219" s="199"/>
      <c r="R219" s="36"/>
      <c r="S219" s="36"/>
      <c r="T219" s="36"/>
      <c r="U219" s="36"/>
      <c r="V219" s="36"/>
      <c r="W219" s="36"/>
      <c r="X219" s="36"/>
      <c r="Y219" s="8"/>
      <c r="Z219" s="8"/>
      <c r="AA219" s="42"/>
      <c r="AB219" s="9"/>
      <c r="AC219" s="9"/>
      <c r="AD219" s="9"/>
      <c r="AE219" s="201"/>
      <c r="AF219" s="201"/>
      <c r="AG219" s="201"/>
      <c r="AH219" s="201"/>
      <c r="AI219" s="201"/>
      <c r="AJ219" s="201"/>
      <c r="AK219" s="201"/>
      <c r="AL219" s="201"/>
      <c r="AM219" s="201"/>
      <c r="AN219" s="201"/>
      <c r="AO219" s="201"/>
      <c r="AP219" s="201"/>
      <c r="AQ219" s="201"/>
      <c r="AR219" s="201"/>
      <c r="AS219" s="201"/>
      <c r="AT219" s="201"/>
      <c r="AU219" s="201"/>
    </row>
    <row r="220" spans="1:47" ht="12.75" hidden="1" customHeight="1" outlineLevel="1">
      <c r="A220" s="12"/>
      <c r="B220" s="12"/>
      <c r="C220" s="12"/>
      <c r="D220" s="12"/>
      <c r="E220" s="12"/>
      <c r="F220" s="177">
        <f>Asset10</f>
        <v>0</v>
      </c>
      <c r="G220" s="167">
        <f t="shared" ref="G220:L220" si="72">G84</f>
        <v>0</v>
      </c>
      <c r="H220" s="66">
        <f t="shared" si="72"/>
        <v>0</v>
      </c>
      <c r="I220" s="66">
        <f t="shared" si="72"/>
        <v>0</v>
      </c>
      <c r="J220" s="66">
        <f t="shared" si="72"/>
        <v>0</v>
      </c>
      <c r="K220" s="66">
        <f t="shared" si="72"/>
        <v>0</v>
      </c>
      <c r="L220" s="66">
        <f t="shared" si="72"/>
        <v>0</v>
      </c>
      <c r="M220" s="66"/>
      <c r="N220" s="199"/>
      <c r="O220" s="199"/>
      <c r="P220" s="199"/>
      <c r="Q220" s="199"/>
      <c r="R220" s="36"/>
      <c r="S220" s="36"/>
      <c r="T220" s="36"/>
      <c r="U220" s="36"/>
      <c r="V220" s="36"/>
      <c r="W220" s="36"/>
      <c r="X220" s="36"/>
      <c r="Y220" s="8"/>
      <c r="Z220" s="8"/>
      <c r="AA220" s="42"/>
      <c r="AB220" s="9"/>
      <c r="AC220" s="9"/>
      <c r="AD220" s="9"/>
      <c r="AE220" s="201"/>
      <c r="AF220" s="201"/>
      <c r="AG220" s="201"/>
      <c r="AH220" s="201"/>
      <c r="AI220" s="201"/>
      <c r="AJ220" s="201"/>
      <c r="AK220" s="201"/>
      <c r="AL220" s="201"/>
      <c r="AM220" s="201"/>
      <c r="AN220" s="201"/>
      <c r="AO220" s="201"/>
      <c r="AP220" s="201"/>
      <c r="AQ220" s="201"/>
      <c r="AR220" s="201"/>
      <c r="AS220" s="201"/>
      <c r="AT220" s="201"/>
      <c r="AU220" s="201"/>
    </row>
    <row r="221" spans="1:47" ht="12.75" hidden="1" customHeight="1" outlineLevel="1">
      <c r="A221" s="12"/>
      <c r="B221" s="12"/>
      <c r="C221" s="12"/>
      <c r="D221" s="12"/>
      <c r="E221" s="12"/>
      <c r="F221" s="177">
        <f>Asset11</f>
        <v>0</v>
      </c>
      <c r="G221" s="167">
        <f t="shared" ref="G221:L221" si="73">G85</f>
        <v>0</v>
      </c>
      <c r="H221" s="66">
        <f t="shared" si="73"/>
        <v>0</v>
      </c>
      <c r="I221" s="66">
        <f t="shared" si="73"/>
        <v>0</v>
      </c>
      <c r="J221" s="66">
        <f t="shared" si="73"/>
        <v>0</v>
      </c>
      <c r="K221" s="66">
        <f t="shared" si="73"/>
        <v>0</v>
      </c>
      <c r="L221" s="66">
        <f t="shared" si="73"/>
        <v>0</v>
      </c>
      <c r="M221" s="66"/>
      <c r="N221" s="199"/>
      <c r="O221" s="199"/>
      <c r="P221" s="199"/>
      <c r="Q221" s="199"/>
      <c r="R221" s="36"/>
      <c r="S221" s="36"/>
      <c r="T221" s="36"/>
      <c r="U221" s="36"/>
      <c r="V221" s="36"/>
      <c r="W221" s="36"/>
      <c r="X221" s="36"/>
      <c r="Y221" s="8"/>
      <c r="Z221" s="8"/>
      <c r="AA221" s="42"/>
      <c r="AB221" s="9"/>
      <c r="AC221" s="9"/>
      <c r="AD221" s="9"/>
      <c r="AE221" s="201"/>
      <c r="AF221" s="201"/>
      <c r="AG221" s="201"/>
      <c r="AH221" s="201"/>
      <c r="AI221" s="201"/>
      <c r="AJ221" s="201"/>
      <c r="AK221" s="201"/>
      <c r="AL221" s="201"/>
      <c r="AM221" s="201"/>
      <c r="AN221" s="201"/>
      <c r="AO221" s="201"/>
      <c r="AP221" s="201"/>
      <c r="AQ221" s="201"/>
      <c r="AR221" s="201"/>
      <c r="AS221" s="201"/>
      <c r="AT221" s="201"/>
      <c r="AU221" s="201"/>
    </row>
    <row r="222" spans="1:47" ht="12.75" hidden="1" customHeight="1" outlineLevel="1">
      <c r="A222" s="12"/>
      <c r="B222" s="12"/>
      <c r="C222" s="12"/>
      <c r="D222" s="12"/>
      <c r="E222" s="12"/>
      <c r="F222" s="177">
        <f>Asset12</f>
        <v>0</v>
      </c>
      <c r="G222" s="167">
        <f t="shared" ref="G222:L222" si="74">G86</f>
        <v>0</v>
      </c>
      <c r="H222" s="66">
        <f t="shared" si="74"/>
        <v>0</v>
      </c>
      <c r="I222" s="66">
        <f t="shared" si="74"/>
        <v>0</v>
      </c>
      <c r="J222" s="66">
        <f t="shared" si="74"/>
        <v>0</v>
      </c>
      <c r="K222" s="66">
        <f t="shared" si="74"/>
        <v>0</v>
      </c>
      <c r="L222" s="66">
        <f t="shared" si="74"/>
        <v>0</v>
      </c>
      <c r="M222" s="66"/>
      <c r="N222" s="199"/>
      <c r="O222" s="199"/>
      <c r="P222" s="199"/>
      <c r="Q222" s="199"/>
      <c r="R222" s="36"/>
      <c r="S222" s="36"/>
      <c r="T222" s="36"/>
      <c r="U222" s="36"/>
      <c r="V222" s="36"/>
      <c r="W222" s="36"/>
      <c r="X222" s="36"/>
      <c r="Y222" s="8"/>
      <c r="Z222" s="8"/>
      <c r="AA222" s="42"/>
      <c r="AB222" s="9"/>
      <c r="AC222" s="9"/>
      <c r="AD222" s="9"/>
      <c r="AE222" s="201"/>
      <c r="AF222" s="201"/>
      <c r="AG222" s="201"/>
      <c r="AH222" s="201"/>
      <c r="AI222" s="201"/>
      <c r="AJ222" s="201"/>
      <c r="AK222" s="201"/>
      <c r="AL222" s="201"/>
      <c r="AM222" s="201"/>
      <c r="AN222" s="201"/>
      <c r="AO222" s="201"/>
      <c r="AP222" s="201"/>
      <c r="AQ222" s="201"/>
      <c r="AR222" s="201"/>
      <c r="AS222" s="201"/>
      <c r="AT222" s="201"/>
      <c r="AU222" s="201"/>
    </row>
    <row r="223" spans="1:47" ht="12.75" hidden="1" customHeight="1" outlineLevel="1">
      <c r="A223" s="12"/>
      <c r="B223" s="12"/>
      <c r="C223" s="12"/>
      <c r="D223" s="12"/>
      <c r="E223" s="12"/>
      <c r="F223" s="177">
        <f>Asset13</f>
        <v>0</v>
      </c>
      <c r="G223" s="167">
        <f t="shared" ref="G223:L223" si="75">G87</f>
        <v>0</v>
      </c>
      <c r="H223" s="66">
        <f t="shared" si="75"/>
        <v>0</v>
      </c>
      <c r="I223" s="66">
        <f t="shared" si="75"/>
        <v>0</v>
      </c>
      <c r="J223" s="66">
        <f t="shared" si="75"/>
        <v>0</v>
      </c>
      <c r="K223" s="66">
        <f t="shared" si="75"/>
        <v>0</v>
      </c>
      <c r="L223" s="66">
        <f t="shared" si="75"/>
        <v>0</v>
      </c>
      <c r="M223" s="66"/>
      <c r="N223" s="199"/>
      <c r="O223" s="199"/>
      <c r="P223" s="199"/>
      <c r="Q223" s="199"/>
      <c r="R223" s="36"/>
      <c r="S223" s="36"/>
      <c r="T223" s="36"/>
      <c r="U223" s="36"/>
      <c r="V223" s="36"/>
      <c r="W223" s="36"/>
      <c r="X223" s="36"/>
      <c r="Y223" s="8"/>
      <c r="Z223" s="8"/>
      <c r="AA223" s="42"/>
      <c r="AB223" s="9"/>
      <c r="AC223" s="9"/>
      <c r="AD223" s="9"/>
      <c r="AE223" s="201"/>
      <c r="AF223" s="201"/>
      <c r="AG223" s="201"/>
      <c r="AH223" s="201"/>
      <c r="AI223" s="201"/>
      <c r="AJ223" s="201"/>
      <c r="AK223" s="201"/>
      <c r="AL223" s="201"/>
      <c r="AM223" s="201"/>
      <c r="AN223" s="201"/>
      <c r="AO223" s="201"/>
      <c r="AP223" s="201"/>
      <c r="AQ223" s="201"/>
      <c r="AR223" s="201"/>
      <c r="AS223" s="201"/>
      <c r="AT223" s="201"/>
      <c r="AU223" s="201"/>
    </row>
    <row r="224" spans="1:47" ht="12.75" hidden="1" customHeight="1" outlineLevel="1">
      <c r="A224" s="12"/>
      <c r="B224" s="12"/>
      <c r="C224" s="12"/>
      <c r="D224" s="12"/>
      <c r="E224" s="12"/>
      <c r="F224" s="177">
        <f>Asset14</f>
        <v>0</v>
      </c>
      <c r="G224" s="167">
        <f t="shared" ref="G224:L224" si="76">G88</f>
        <v>0</v>
      </c>
      <c r="H224" s="66">
        <f t="shared" si="76"/>
        <v>0</v>
      </c>
      <c r="I224" s="66">
        <f t="shared" si="76"/>
        <v>0</v>
      </c>
      <c r="J224" s="66">
        <f t="shared" si="76"/>
        <v>0</v>
      </c>
      <c r="K224" s="66">
        <f t="shared" si="76"/>
        <v>0</v>
      </c>
      <c r="L224" s="66">
        <f t="shared" si="76"/>
        <v>0</v>
      </c>
      <c r="M224" s="66"/>
      <c r="N224" s="199"/>
      <c r="O224" s="199"/>
      <c r="P224" s="199"/>
      <c r="Q224" s="199"/>
      <c r="R224" s="36"/>
      <c r="S224" s="36"/>
      <c r="T224" s="36"/>
      <c r="U224" s="36"/>
      <c r="V224" s="36"/>
      <c r="W224" s="36"/>
      <c r="X224" s="36"/>
      <c r="Y224" s="8"/>
      <c r="Z224" s="8"/>
      <c r="AA224" s="42"/>
      <c r="AB224" s="9"/>
      <c r="AC224" s="9"/>
      <c r="AD224" s="9"/>
      <c r="AE224" s="201"/>
      <c r="AF224" s="201"/>
      <c r="AG224" s="201"/>
      <c r="AH224" s="201"/>
      <c r="AI224" s="201"/>
      <c r="AJ224" s="201"/>
      <c r="AK224" s="201"/>
      <c r="AL224" s="201"/>
      <c r="AM224" s="201"/>
      <c r="AN224" s="201"/>
      <c r="AO224" s="201"/>
      <c r="AP224" s="201"/>
      <c r="AQ224" s="201"/>
      <c r="AR224" s="201"/>
      <c r="AS224" s="201"/>
      <c r="AT224" s="201"/>
      <c r="AU224" s="201"/>
    </row>
    <row r="225" spans="1:47" ht="12.75" hidden="1" customHeight="1" outlineLevel="1">
      <c r="A225" s="12"/>
      <c r="B225" s="12"/>
      <c r="C225" s="12"/>
      <c r="D225" s="12"/>
      <c r="E225" s="12"/>
      <c r="F225" s="177">
        <f>Asset15</f>
        <v>0</v>
      </c>
      <c r="G225" s="167">
        <f t="shared" ref="G225:L225" si="77">G89</f>
        <v>0</v>
      </c>
      <c r="H225" s="66">
        <f t="shared" si="77"/>
        <v>0</v>
      </c>
      <c r="I225" s="66">
        <f t="shared" si="77"/>
        <v>0</v>
      </c>
      <c r="J225" s="66">
        <f t="shared" si="77"/>
        <v>0</v>
      </c>
      <c r="K225" s="66">
        <f t="shared" si="77"/>
        <v>0</v>
      </c>
      <c r="L225" s="66">
        <f t="shared" si="77"/>
        <v>0</v>
      </c>
      <c r="M225" s="198"/>
      <c r="N225" s="199"/>
      <c r="O225" s="199"/>
      <c r="P225" s="199"/>
      <c r="Q225" s="199"/>
      <c r="R225" s="36"/>
      <c r="S225" s="36"/>
      <c r="T225" s="36"/>
      <c r="U225" s="36"/>
      <c r="V225" s="36"/>
      <c r="W225" s="36"/>
      <c r="X225" s="36"/>
      <c r="Y225" s="8"/>
      <c r="Z225" s="8"/>
      <c r="AA225" s="42"/>
      <c r="AB225" s="9"/>
      <c r="AC225" s="9"/>
      <c r="AD225" s="9"/>
      <c r="AE225" s="201"/>
      <c r="AF225" s="201"/>
      <c r="AG225" s="201"/>
      <c r="AH225" s="201"/>
      <c r="AI225" s="201"/>
      <c r="AJ225" s="201"/>
      <c r="AK225" s="201"/>
      <c r="AL225" s="201"/>
      <c r="AM225" s="201"/>
      <c r="AN225" s="201"/>
      <c r="AO225" s="201"/>
      <c r="AP225" s="201"/>
      <c r="AQ225" s="201"/>
      <c r="AR225" s="201"/>
      <c r="AS225" s="201"/>
      <c r="AT225" s="201"/>
      <c r="AU225" s="201"/>
    </row>
    <row r="226" spans="1:47" ht="12.75" hidden="1" customHeight="1" outlineLevel="1">
      <c r="A226" s="12"/>
      <c r="B226" s="12"/>
      <c r="C226" s="12"/>
      <c r="D226" s="12"/>
      <c r="E226" s="12"/>
      <c r="F226" s="177">
        <f>Asset16</f>
        <v>0</v>
      </c>
      <c r="G226" s="167">
        <f t="shared" ref="G226:L226" si="78">G90</f>
        <v>0</v>
      </c>
      <c r="H226" s="66">
        <f t="shared" si="78"/>
        <v>0</v>
      </c>
      <c r="I226" s="66">
        <f t="shared" si="78"/>
        <v>0</v>
      </c>
      <c r="J226" s="66">
        <f t="shared" si="78"/>
        <v>0</v>
      </c>
      <c r="K226" s="66">
        <f t="shared" si="78"/>
        <v>0</v>
      </c>
      <c r="L226" s="66">
        <f t="shared" si="78"/>
        <v>0</v>
      </c>
      <c r="M226" s="198"/>
      <c r="N226" s="199"/>
      <c r="O226" s="199"/>
      <c r="P226" s="199"/>
      <c r="Q226" s="199"/>
      <c r="R226" s="36"/>
      <c r="S226" s="36"/>
      <c r="T226" s="36"/>
      <c r="U226" s="36"/>
      <c r="V226" s="36"/>
      <c r="W226" s="36"/>
      <c r="X226" s="36"/>
      <c r="Y226" s="8"/>
      <c r="Z226" s="8"/>
      <c r="AA226" s="42"/>
      <c r="AB226" s="9"/>
      <c r="AC226" s="9"/>
      <c r="AD226" s="9"/>
      <c r="AE226" s="201"/>
      <c r="AF226" s="201"/>
      <c r="AG226" s="201"/>
      <c r="AH226" s="201"/>
      <c r="AI226" s="201"/>
      <c r="AJ226" s="201"/>
      <c r="AK226" s="201"/>
      <c r="AL226" s="201"/>
      <c r="AM226" s="201"/>
      <c r="AN226" s="201"/>
      <c r="AO226" s="201"/>
      <c r="AP226" s="201"/>
      <c r="AQ226" s="201"/>
      <c r="AR226" s="201"/>
      <c r="AS226" s="201"/>
      <c r="AT226" s="201"/>
      <c r="AU226" s="201"/>
    </row>
    <row r="227" spans="1:47" ht="12.75" hidden="1" customHeight="1" outlineLevel="1">
      <c r="A227" s="12"/>
      <c r="B227" s="12"/>
      <c r="C227" s="12"/>
      <c r="D227" s="12"/>
      <c r="E227" s="12"/>
      <c r="F227" s="177">
        <f>Asset17</f>
        <v>0</v>
      </c>
      <c r="G227" s="167">
        <f t="shared" ref="G227:L227" si="79">G91</f>
        <v>0</v>
      </c>
      <c r="H227" s="66">
        <f t="shared" si="79"/>
        <v>0</v>
      </c>
      <c r="I227" s="66">
        <f t="shared" si="79"/>
        <v>0</v>
      </c>
      <c r="J227" s="66">
        <f t="shared" si="79"/>
        <v>0</v>
      </c>
      <c r="K227" s="66">
        <f t="shared" si="79"/>
        <v>0</v>
      </c>
      <c r="L227" s="66">
        <f t="shared" si="79"/>
        <v>0</v>
      </c>
      <c r="M227" s="198"/>
      <c r="N227" s="199"/>
      <c r="O227" s="199"/>
      <c r="P227" s="199"/>
      <c r="Q227" s="199"/>
      <c r="R227" s="36"/>
      <c r="S227" s="36"/>
      <c r="T227" s="36"/>
      <c r="U227" s="36"/>
      <c r="V227" s="36"/>
      <c r="W227" s="36"/>
      <c r="X227" s="36"/>
      <c r="Y227" s="8"/>
      <c r="Z227" s="8"/>
      <c r="AA227" s="42"/>
      <c r="AB227" s="9"/>
      <c r="AC227" s="9"/>
      <c r="AD227" s="9"/>
      <c r="AE227" s="201"/>
      <c r="AF227" s="201"/>
      <c r="AG227" s="201"/>
      <c r="AH227" s="201"/>
      <c r="AI227" s="201"/>
      <c r="AJ227" s="201"/>
      <c r="AK227" s="201"/>
      <c r="AL227" s="201"/>
      <c r="AM227" s="201"/>
      <c r="AN227" s="201"/>
      <c r="AO227" s="201"/>
      <c r="AP227" s="201"/>
      <c r="AQ227" s="201"/>
      <c r="AR227" s="201"/>
      <c r="AS227" s="201"/>
      <c r="AT227" s="201"/>
      <c r="AU227" s="201"/>
    </row>
    <row r="228" spans="1:47" ht="12.75" hidden="1" customHeight="1" outlineLevel="1">
      <c r="A228" s="12"/>
      <c r="B228" s="12"/>
      <c r="C228" s="12"/>
      <c r="D228" s="12"/>
      <c r="E228" s="12"/>
      <c r="F228" s="177">
        <f>Asset18</f>
        <v>0</v>
      </c>
      <c r="G228" s="167">
        <f t="shared" ref="G228:L228" si="80">G92</f>
        <v>0</v>
      </c>
      <c r="H228" s="66">
        <f t="shared" si="80"/>
        <v>0</v>
      </c>
      <c r="I228" s="66">
        <f t="shared" si="80"/>
        <v>0</v>
      </c>
      <c r="J228" s="66">
        <f t="shared" si="80"/>
        <v>0</v>
      </c>
      <c r="K228" s="66">
        <f t="shared" si="80"/>
        <v>0</v>
      </c>
      <c r="L228" s="66">
        <f t="shared" si="80"/>
        <v>0</v>
      </c>
      <c r="M228" s="198"/>
      <c r="N228" s="199"/>
      <c r="O228" s="199"/>
      <c r="P228" s="199"/>
      <c r="Q228" s="199"/>
      <c r="R228" s="36"/>
      <c r="S228" s="36"/>
      <c r="T228" s="36"/>
      <c r="U228" s="36"/>
      <c r="V228" s="36"/>
      <c r="W228" s="36"/>
      <c r="X228" s="36"/>
      <c r="Y228" s="8"/>
      <c r="Z228" s="8"/>
      <c r="AA228" s="42"/>
      <c r="AB228" s="9"/>
      <c r="AC228" s="9"/>
      <c r="AD228" s="9"/>
      <c r="AE228" s="201"/>
      <c r="AF228" s="201"/>
      <c r="AG228" s="201"/>
      <c r="AH228" s="201"/>
      <c r="AI228" s="201"/>
      <c r="AJ228" s="201"/>
      <c r="AK228" s="201"/>
      <c r="AL228" s="201"/>
      <c r="AM228" s="201"/>
      <c r="AN228" s="201"/>
      <c r="AO228" s="201"/>
      <c r="AP228" s="201"/>
      <c r="AQ228" s="201"/>
      <c r="AR228" s="201"/>
      <c r="AS228" s="201"/>
      <c r="AT228" s="201"/>
      <c r="AU228" s="201"/>
    </row>
    <row r="229" spans="1:47" ht="12.75" hidden="1" customHeight="1" outlineLevel="1">
      <c r="A229" s="12"/>
      <c r="B229" s="12"/>
      <c r="C229" s="12"/>
      <c r="D229" s="12"/>
      <c r="E229" s="12"/>
      <c r="F229" s="177">
        <f>Asset19</f>
        <v>0</v>
      </c>
      <c r="G229" s="167">
        <f t="shared" ref="G229:L229" si="81">G93</f>
        <v>0</v>
      </c>
      <c r="H229" s="66">
        <f t="shared" si="81"/>
        <v>0</v>
      </c>
      <c r="I229" s="66">
        <f t="shared" si="81"/>
        <v>0</v>
      </c>
      <c r="J229" s="66">
        <f t="shared" si="81"/>
        <v>0</v>
      </c>
      <c r="K229" s="66">
        <f t="shared" si="81"/>
        <v>0</v>
      </c>
      <c r="L229" s="66">
        <f t="shared" si="81"/>
        <v>0</v>
      </c>
      <c r="M229" s="198"/>
      <c r="N229" s="199"/>
      <c r="O229" s="199"/>
      <c r="P229" s="199"/>
      <c r="Q229" s="199"/>
      <c r="R229" s="36"/>
      <c r="S229" s="36"/>
      <c r="T229" s="36"/>
      <c r="U229" s="36"/>
      <c r="V229" s="36"/>
      <c r="W229" s="36"/>
      <c r="X229" s="36"/>
      <c r="Y229" s="8"/>
      <c r="Z229" s="8"/>
      <c r="AA229" s="42"/>
      <c r="AB229" s="9"/>
      <c r="AC229" s="9"/>
      <c r="AD229" s="9"/>
      <c r="AE229" s="201"/>
      <c r="AF229" s="201"/>
      <c r="AG229" s="201"/>
      <c r="AH229" s="201"/>
      <c r="AI229" s="201"/>
      <c r="AJ229" s="201"/>
      <c r="AK229" s="201"/>
      <c r="AL229" s="201"/>
      <c r="AM229" s="201"/>
      <c r="AN229" s="201"/>
      <c r="AO229" s="201"/>
      <c r="AP229" s="201"/>
      <c r="AQ229" s="201"/>
      <c r="AR229" s="201"/>
      <c r="AS229" s="201"/>
      <c r="AT229" s="201"/>
      <c r="AU229" s="201"/>
    </row>
    <row r="230" spans="1:47" ht="12.75" hidden="1" customHeight="1" outlineLevel="1">
      <c r="A230" s="12"/>
      <c r="B230" s="12"/>
      <c r="C230" s="12"/>
      <c r="D230" s="12"/>
      <c r="E230" s="12"/>
      <c r="F230" s="177">
        <f>Asset20</f>
        <v>0</v>
      </c>
      <c r="G230" s="303">
        <f t="shared" ref="G230:L230" si="82">G94</f>
        <v>0</v>
      </c>
      <c r="H230" s="66">
        <f t="shared" si="82"/>
        <v>0</v>
      </c>
      <c r="I230" s="66">
        <f t="shared" si="82"/>
        <v>0</v>
      </c>
      <c r="J230" s="66">
        <f t="shared" si="82"/>
        <v>0</v>
      </c>
      <c r="K230" s="66">
        <f t="shared" si="82"/>
        <v>0</v>
      </c>
      <c r="L230" s="66">
        <f t="shared" si="82"/>
        <v>0</v>
      </c>
      <c r="M230" s="198"/>
      <c r="N230" s="199"/>
      <c r="O230" s="199"/>
      <c r="P230" s="199"/>
      <c r="Q230" s="199"/>
      <c r="R230" s="36"/>
      <c r="S230" s="36"/>
      <c r="T230" s="36"/>
      <c r="U230" s="36"/>
      <c r="V230" s="36"/>
      <c r="W230" s="36"/>
      <c r="X230" s="36"/>
      <c r="Y230" s="8"/>
      <c r="Z230" s="8"/>
      <c r="AA230" s="42"/>
      <c r="AB230" s="9"/>
      <c r="AC230" s="9"/>
      <c r="AD230" s="9"/>
      <c r="AE230" s="201"/>
      <c r="AF230" s="201"/>
      <c r="AG230" s="201"/>
      <c r="AH230" s="201"/>
      <c r="AI230" s="201"/>
      <c r="AJ230" s="201"/>
      <c r="AK230" s="201"/>
      <c r="AL230" s="201"/>
      <c r="AM230" s="201"/>
      <c r="AN230" s="201"/>
      <c r="AO230" s="201"/>
      <c r="AP230" s="201"/>
      <c r="AQ230" s="201"/>
      <c r="AR230" s="201"/>
      <c r="AS230" s="201"/>
      <c r="AT230" s="201"/>
      <c r="AU230" s="201"/>
    </row>
    <row r="231" spans="1:47" ht="12.75" hidden="1" customHeight="1" outlineLevel="1">
      <c r="A231" s="12"/>
      <c r="B231" s="12"/>
      <c r="C231" s="12"/>
      <c r="D231" s="12"/>
      <c r="E231" s="12"/>
      <c r="F231" s="304">
        <f>Asset21</f>
        <v>0</v>
      </c>
      <c r="G231" s="303">
        <f t="shared" ref="G231:L231" si="83">G95</f>
        <v>0</v>
      </c>
      <c r="H231" s="66">
        <f t="shared" si="83"/>
        <v>0</v>
      </c>
      <c r="I231" s="66">
        <f t="shared" si="83"/>
        <v>0</v>
      </c>
      <c r="J231" s="66">
        <f t="shared" si="83"/>
        <v>0</v>
      </c>
      <c r="K231" s="66">
        <f t="shared" si="83"/>
        <v>0</v>
      </c>
      <c r="L231" s="66">
        <f t="shared" si="83"/>
        <v>0</v>
      </c>
      <c r="M231" s="198"/>
      <c r="N231" s="199"/>
      <c r="O231" s="199"/>
      <c r="P231" s="199"/>
      <c r="Q231" s="199"/>
      <c r="R231" s="36"/>
      <c r="S231" s="36"/>
      <c r="T231" s="36"/>
      <c r="U231" s="36"/>
      <c r="V231" s="36"/>
      <c r="W231" s="36"/>
      <c r="X231" s="36"/>
      <c r="Y231" s="8"/>
      <c r="Z231" s="8"/>
      <c r="AA231" s="42"/>
      <c r="AB231" s="9"/>
      <c r="AC231" s="9"/>
      <c r="AD231" s="9"/>
      <c r="AE231" s="201"/>
      <c r="AF231" s="201"/>
      <c r="AG231" s="201"/>
      <c r="AH231" s="201"/>
      <c r="AI231" s="201"/>
      <c r="AJ231" s="201"/>
      <c r="AK231" s="201"/>
      <c r="AL231" s="201"/>
      <c r="AM231" s="201"/>
      <c r="AN231" s="201"/>
      <c r="AO231" s="201"/>
      <c r="AP231" s="201"/>
      <c r="AQ231" s="201"/>
      <c r="AR231" s="201"/>
      <c r="AS231" s="201"/>
      <c r="AT231" s="201"/>
      <c r="AU231" s="201"/>
    </row>
    <row r="232" spans="1:47" ht="12.75" hidden="1" customHeight="1" outlineLevel="1">
      <c r="A232" s="12"/>
      <c r="B232" s="12"/>
      <c r="C232" s="12"/>
      <c r="D232" s="12"/>
      <c r="E232" s="12"/>
      <c r="F232" s="304">
        <f>Asset22</f>
        <v>0</v>
      </c>
      <c r="G232" s="303">
        <f t="shared" ref="G232:L232" si="84">G96</f>
        <v>0</v>
      </c>
      <c r="H232" s="66">
        <f t="shared" si="84"/>
        <v>0</v>
      </c>
      <c r="I232" s="66">
        <f t="shared" si="84"/>
        <v>0</v>
      </c>
      <c r="J232" s="66">
        <f t="shared" si="84"/>
        <v>0</v>
      </c>
      <c r="K232" s="66">
        <f t="shared" si="84"/>
        <v>0</v>
      </c>
      <c r="L232" s="66">
        <f t="shared" si="84"/>
        <v>0</v>
      </c>
      <c r="M232" s="198"/>
      <c r="N232" s="199"/>
      <c r="O232" s="199"/>
      <c r="P232" s="199"/>
      <c r="Q232" s="199"/>
      <c r="R232" s="36"/>
      <c r="S232" s="36"/>
      <c r="T232" s="36"/>
      <c r="U232" s="36"/>
      <c r="V232" s="36"/>
      <c r="W232" s="36"/>
      <c r="X232" s="36"/>
      <c r="Y232" s="8"/>
      <c r="Z232" s="8"/>
      <c r="AA232" s="42"/>
      <c r="AB232" s="9"/>
      <c r="AC232" s="9"/>
      <c r="AD232" s="9"/>
      <c r="AE232" s="201"/>
      <c r="AF232" s="201"/>
      <c r="AG232" s="201"/>
      <c r="AH232" s="201"/>
      <c r="AI232" s="201"/>
      <c r="AJ232" s="201"/>
      <c r="AK232" s="201"/>
      <c r="AL232" s="201"/>
      <c r="AM232" s="201"/>
      <c r="AN232" s="201"/>
      <c r="AO232" s="201"/>
      <c r="AP232" s="201"/>
      <c r="AQ232" s="201"/>
      <c r="AR232" s="201"/>
      <c r="AS232" s="201"/>
      <c r="AT232" s="201"/>
      <c r="AU232" s="201"/>
    </row>
    <row r="233" spans="1:47" ht="12.75" hidden="1" customHeight="1" outlineLevel="1">
      <c r="A233" s="12"/>
      <c r="B233" s="12"/>
      <c r="C233" s="12"/>
      <c r="D233" s="12"/>
      <c r="E233" s="12"/>
      <c r="F233" s="304">
        <f>Asset23</f>
        <v>0</v>
      </c>
      <c r="G233" s="303"/>
      <c r="H233" s="66"/>
      <c r="I233" s="66"/>
      <c r="J233" s="66"/>
      <c r="K233" s="66"/>
      <c r="L233" s="66"/>
      <c r="M233" s="198"/>
      <c r="N233" s="199"/>
      <c r="O233" s="199"/>
      <c r="P233" s="199"/>
      <c r="Q233" s="199"/>
      <c r="R233" s="36"/>
      <c r="S233" s="36"/>
      <c r="T233" s="36"/>
      <c r="U233" s="36"/>
      <c r="V233" s="36"/>
      <c r="W233" s="36"/>
      <c r="X233" s="36"/>
      <c r="Y233" s="8"/>
      <c r="Z233" s="8"/>
      <c r="AA233" s="42"/>
      <c r="AB233" s="9"/>
      <c r="AC233" s="9"/>
      <c r="AD233" s="9"/>
      <c r="AE233" s="201"/>
      <c r="AF233" s="201"/>
      <c r="AG233" s="201"/>
      <c r="AH233" s="201"/>
      <c r="AI233" s="201"/>
      <c r="AJ233" s="201"/>
      <c r="AK233" s="201"/>
      <c r="AL233" s="201"/>
      <c r="AM233" s="201"/>
      <c r="AN233" s="201"/>
      <c r="AO233" s="201"/>
      <c r="AP233" s="201"/>
      <c r="AQ233" s="201"/>
      <c r="AR233" s="201"/>
      <c r="AS233" s="201"/>
      <c r="AT233" s="201"/>
      <c r="AU233" s="201"/>
    </row>
    <row r="234" spans="1:47" ht="12.75" hidden="1" customHeight="1" outlineLevel="1">
      <c r="A234" s="12"/>
      <c r="B234" s="12"/>
      <c r="C234" s="12"/>
      <c r="D234" s="12"/>
      <c r="E234" s="12"/>
      <c r="F234" s="304">
        <f>Asset24</f>
        <v>0</v>
      </c>
      <c r="G234" s="303"/>
      <c r="H234" s="66"/>
      <c r="I234" s="66"/>
      <c r="J234" s="66"/>
      <c r="K234" s="66"/>
      <c r="L234" s="66"/>
      <c r="M234" s="198"/>
      <c r="N234" s="199"/>
      <c r="O234" s="199"/>
      <c r="P234" s="199"/>
      <c r="Q234" s="199"/>
      <c r="R234" s="36"/>
      <c r="S234" s="36"/>
      <c r="T234" s="36"/>
      <c r="U234" s="36"/>
      <c r="V234" s="36"/>
      <c r="W234" s="36"/>
      <c r="X234" s="36"/>
      <c r="Y234" s="8"/>
      <c r="Z234" s="8"/>
      <c r="AA234" s="42"/>
      <c r="AB234" s="9"/>
      <c r="AC234" s="9"/>
      <c r="AD234" s="9"/>
      <c r="AE234" s="201"/>
      <c r="AF234" s="201"/>
      <c r="AG234" s="201"/>
      <c r="AH234" s="201"/>
      <c r="AI234" s="201"/>
      <c r="AJ234" s="201"/>
      <c r="AK234" s="201"/>
      <c r="AL234" s="201"/>
      <c r="AM234" s="201"/>
      <c r="AN234" s="201"/>
      <c r="AO234" s="201"/>
      <c r="AP234" s="201"/>
      <c r="AQ234" s="201"/>
      <c r="AR234" s="201"/>
      <c r="AS234" s="201"/>
      <c r="AT234" s="201"/>
      <c r="AU234" s="201"/>
    </row>
    <row r="235" spans="1:47" ht="12.75" hidden="1" customHeight="1" outlineLevel="1">
      <c r="A235" s="12"/>
      <c r="B235" s="12"/>
      <c r="C235" s="12"/>
      <c r="D235" s="12"/>
      <c r="E235" s="12"/>
      <c r="F235" s="304">
        <f>Asset25</f>
        <v>0</v>
      </c>
      <c r="G235" s="303"/>
      <c r="H235" s="66"/>
      <c r="I235" s="66"/>
      <c r="J235" s="66"/>
      <c r="K235" s="66"/>
      <c r="L235" s="66"/>
      <c r="M235" s="198"/>
      <c r="N235" s="199"/>
      <c r="O235" s="199"/>
      <c r="P235" s="199"/>
      <c r="Q235" s="199"/>
      <c r="R235" s="36"/>
      <c r="S235" s="36"/>
      <c r="T235" s="36"/>
      <c r="U235" s="36"/>
      <c r="V235" s="36"/>
      <c r="W235" s="36"/>
      <c r="X235" s="36"/>
      <c r="Y235" s="8"/>
      <c r="Z235" s="8"/>
      <c r="AA235" s="42"/>
      <c r="AB235" s="9"/>
      <c r="AC235" s="9"/>
      <c r="AD235" s="9"/>
      <c r="AE235" s="201"/>
      <c r="AF235" s="201"/>
      <c r="AG235" s="201"/>
      <c r="AH235" s="201"/>
      <c r="AI235" s="201"/>
      <c r="AJ235" s="201"/>
      <c r="AK235" s="201"/>
      <c r="AL235" s="201"/>
      <c r="AM235" s="201"/>
      <c r="AN235" s="201"/>
      <c r="AO235" s="201"/>
      <c r="AP235" s="201"/>
      <c r="AQ235" s="201"/>
      <c r="AR235" s="201"/>
      <c r="AS235" s="201"/>
      <c r="AT235" s="201"/>
      <c r="AU235" s="201"/>
    </row>
    <row r="236" spans="1:47" ht="12.75" hidden="1" customHeight="1" outlineLevel="1">
      <c r="A236" s="12"/>
      <c r="B236" s="12"/>
      <c r="C236" s="12"/>
      <c r="D236" s="12"/>
      <c r="E236" s="12"/>
      <c r="F236" s="304">
        <f>Asset26</f>
        <v>0</v>
      </c>
      <c r="G236" s="303"/>
      <c r="H236" s="66"/>
      <c r="I236" s="66"/>
      <c r="J236" s="66"/>
      <c r="K236" s="66"/>
      <c r="L236" s="66"/>
      <c r="M236" s="198"/>
      <c r="N236" s="199"/>
      <c r="O236" s="199"/>
      <c r="P236" s="199"/>
      <c r="Q236" s="199"/>
      <c r="R236" s="36"/>
      <c r="S236" s="36"/>
      <c r="T236" s="36"/>
      <c r="U236" s="36"/>
      <c r="V236" s="36"/>
      <c r="W236" s="36"/>
      <c r="X236" s="36"/>
      <c r="Y236" s="8"/>
      <c r="Z236" s="8"/>
      <c r="AA236" s="42"/>
      <c r="AB236" s="9"/>
      <c r="AC236" s="9"/>
      <c r="AD236" s="9"/>
      <c r="AE236" s="201"/>
      <c r="AF236" s="201"/>
      <c r="AG236" s="201"/>
      <c r="AH236" s="201"/>
      <c r="AI236" s="201"/>
      <c r="AJ236" s="201"/>
      <c r="AK236" s="201"/>
      <c r="AL236" s="201"/>
      <c r="AM236" s="201"/>
      <c r="AN236" s="201"/>
      <c r="AO236" s="201"/>
      <c r="AP236" s="201"/>
      <c r="AQ236" s="201"/>
      <c r="AR236" s="201"/>
      <c r="AS236" s="201"/>
      <c r="AT236" s="201"/>
      <c r="AU236" s="201"/>
    </row>
    <row r="237" spans="1:47" ht="12.75" hidden="1" customHeight="1" outlineLevel="1">
      <c r="A237" s="12"/>
      <c r="B237" s="12"/>
      <c r="C237" s="12"/>
      <c r="D237" s="12"/>
      <c r="E237" s="12"/>
      <c r="F237" s="304">
        <f>Asset27</f>
        <v>0</v>
      </c>
      <c r="G237" s="303"/>
      <c r="H237" s="66"/>
      <c r="I237" s="66"/>
      <c r="J237" s="66"/>
      <c r="K237" s="66"/>
      <c r="L237" s="66"/>
      <c r="M237" s="198"/>
      <c r="N237" s="199"/>
      <c r="O237" s="199"/>
      <c r="P237" s="199"/>
      <c r="Q237" s="199"/>
      <c r="R237" s="36"/>
      <c r="S237" s="36"/>
      <c r="T237" s="36"/>
      <c r="U237" s="36"/>
      <c r="V237" s="36"/>
      <c r="W237" s="36"/>
      <c r="X237" s="36"/>
      <c r="Y237" s="8"/>
      <c r="Z237" s="8"/>
      <c r="AA237" s="42"/>
      <c r="AB237" s="9"/>
      <c r="AC237" s="9"/>
      <c r="AD237" s="9"/>
      <c r="AE237" s="201"/>
      <c r="AF237" s="201"/>
      <c r="AG237" s="201"/>
      <c r="AH237" s="201"/>
      <c r="AI237" s="201"/>
      <c r="AJ237" s="201"/>
      <c r="AK237" s="201"/>
      <c r="AL237" s="201"/>
      <c r="AM237" s="201"/>
      <c r="AN237" s="201"/>
      <c r="AO237" s="201"/>
      <c r="AP237" s="201"/>
      <c r="AQ237" s="201"/>
      <c r="AR237" s="201"/>
      <c r="AS237" s="201"/>
      <c r="AT237" s="201"/>
      <c r="AU237" s="201"/>
    </row>
    <row r="238" spans="1:47" ht="12.75" hidden="1" customHeight="1" outlineLevel="1">
      <c r="A238" s="12"/>
      <c r="B238" s="12"/>
      <c r="C238" s="12"/>
      <c r="D238" s="12"/>
      <c r="E238" s="12"/>
      <c r="F238" s="304">
        <f>Asset28</f>
        <v>0</v>
      </c>
      <c r="G238" s="303"/>
      <c r="H238" s="66"/>
      <c r="I238" s="66"/>
      <c r="J238" s="66"/>
      <c r="K238" s="66"/>
      <c r="L238" s="66"/>
      <c r="M238" s="198"/>
      <c r="N238" s="199"/>
      <c r="O238" s="199"/>
      <c r="P238" s="199"/>
      <c r="Q238" s="199"/>
      <c r="R238" s="36"/>
      <c r="S238" s="36"/>
      <c r="T238" s="36"/>
      <c r="U238" s="36"/>
      <c r="V238" s="36"/>
      <c r="W238" s="36"/>
      <c r="X238" s="36"/>
      <c r="Y238" s="8"/>
      <c r="Z238" s="8"/>
      <c r="AA238" s="42"/>
      <c r="AB238" s="9"/>
      <c r="AC238" s="9"/>
      <c r="AD238" s="9"/>
      <c r="AE238" s="201"/>
      <c r="AF238" s="201"/>
      <c r="AG238" s="201"/>
      <c r="AH238" s="201"/>
      <c r="AI238" s="201"/>
      <c r="AJ238" s="201"/>
      <c r="AK238" s="201"/>
      <c r="AL238" s="201"/>
      <c r="AM238" s="201"/>
      <c r="AN238" s="201"/>
      <c r="AO238" s="201"/>
      <c r="AP238" s="201"/>
      <c r="AQ238" s="201"/>
      <c r="AR238" s="201"/>
      <c r="AS238" s="201"/>
      <c r="AT238" s="201"/>
      <c r="AU238" s="201"/>
    </row>
    <row r="239" spans="1:47" ht="12.75" hidden="1" customHeight="1" outlineLevel="1">
      <c r="A239" s="12"/>
      <c r="B239" s="12"/>
      <c r="C239" s="12"/>
      <c r="D239" s="12"/>
      <c r="E239" s="12"/>
      <c r="F239" s="304">
        <f>Asset29</f>
        <v>0</v>
      </c>
      <c r="G239" s="303"/>
      <c r="H239" s="66"/>
      <c r="I239" s="66"/>
      <c r="J239" s="66"/>
      <c r="K239" s="66"/>
      <c r="L239" s="66"/>
      <c r="M239" s="198"/>
      <c r="N239" s="199"/>
      <c r="O239" s="199"/>
      <c r="P239" s="199"/>
      <c r="Q239" s="199"/>
      <c r="R239" s="36"/>
      <c r="S239" s="36"/>
      <c r="T239" s="36"/>
      <c r="U239" s="36"/>
      <c r="V239" s="36"/>
      <c r="W239" s="36"/>
      <c r="X239" s="36"/>
      <c r="Y239" s="8"/>
      <c r="Z239" s="8"/>
      <c r="AA239" s="42"/>
      <c r="AB239" s="9"/>
      <c r="AC239" s="9"/>
      <c r="AD239" s="9"/>
      <c r="AE239" s="201"/>
      <c r="AF239" s="201"/>
      <c r="AG239" s="201"/>
      <c r="AH239" s="201"/>
      <c r="AI239" s="201"/>
      <c r="AJ239" s="201"/>
      <c r="AK239" s="201"/>
      <c r="AL239" s="201"/>
      <c r="AM239" s="201"/>
      <c r="AN239" s="201"/>
      <c r="AO239" s="201"/>
      <c r="AP239" s="201"/>
      <c r="AQ239" s="201"/>
      <c r="AR239" s="201"/>
      <c r="AS239" s="201"/>
      <c r="AT239" s="201"/>
      <c r="AU239" s="201"/>
    </row>
    <row r="240" spans="1:47" ht="12.75" hidden="1" customHeight="1" outlineLevel="1">
      <c r="A240" s="12"/>
      <c r="B240" s="12"/>
      <c r="C240" s="12"/>
      <c r="D240" s="12"/>
      <c r="E240" s="12"/>
      <c r="F240" s="304">
        <f>Asset30</f>
        <v>0</v>
      </c>
      <c r="G240" s="303"/>
      <c r="H240" s="66"/>
      <c r="I240" s="66"/>
      <c r="J240" s="66"/>
      <c r="K240" s="66"/>
      <c r="L240" s="66"/>
      <c r="M240" s="198"/>
      <c r="N240" s="199"/>
      <c r="O240" s="199"/>
      <c r="P240" s="199"/>
      <c r="Q240" s="199"/>
      <c r="R240" s="36"/>
      <c r="S240" s="36"/>
      <c r="T240" s="36"/>
      <c r="U240" s="36"/>
      <c r="V240" s="36"/>
      <c r="W240" s="36"/>
      <c r="X240" s="36"/>
      <c r="Y240" s="8"/>
      <c r="Z240" s="8"/>
      <c r="AA240" s="42"/>
      <c r="AB240" s="9"/>
      <c r="AC240" s="9"/>
      <c r="AD240" s="9"/>
      <c r="AE240" s="201"/>
      <c r="AF240" s="201"/>
      <c r="AG240" s="201"/>
      <c r="AH240" s="201"/>
      <c r="AI240" s="201"/>
      <c r="AJ240" s="201"/>
      <c r="AK240" s="201"/>
      <c r="AL240" s="201"/>
      <c r="AM240" s="201"/>
      <c r="AN240" s="201"/>
      <c r="AO240" s="201"/>
      <c r="AP240" s="201"/>
      <c r="AQ240" s="201"/>
      <c r="AR240" s="201"/>
      <c r="AS240" s="201"/>
      <c r="AT240" s="201"/>
      <c r="AU240" s="201"/>
    </row>
    <row r="241" spans="1:47" collapsed="1">
      <c r="A241" s="12"/>
      <c r="B241" s="12"/>
      <c r="C241" s="12"/>
      <c r="D241" s="12"/>
      <c r="E241" s="12"/>
      <c r="F241" s="177" t="s">
        <v>2</v>
      </c>
      <c r="G241" s="309">
        <f>SUM(G211:G240)</f>
        <v>0.81355032999999988</v>
      </c>
      <c r="H241" s="309">
        <f t="shared" ref="H241:Q241" si="85">SUM(H211:H240)</f>
        <v>0.11268235000000001</v>
      </c>
      <c r="I241" s="309">
        <f t="shared" si="85"/>
        <v>2.8618610699999998</v>
      </c>
      <c r="J241" s="309">
        <f t="shared" si="85"/>
        <v>0.66887568800000008</v>
      </c>
      <c r="K241" s="309">
        <f t="shared" si="85"/>
        <v>0.54726599999999992</v>
      </c>
      <c r="L241" s="309">
        <f t="shared" si="85"/>
        <v>1.1780834817864565</v>
      </c>
      <c r="M241" s="309">
        <f>SUM(M211:M240)</f>
        <v>0</v>
      </c>
      <c r="N241" s="309">
        <f t="shared" si="85"/>
        <v>0</v>
      </c>
      <c r="O241" s="309">
        <f t="shared" si="85"/>
        <v>0</v>
      </c>
      <c r="P241" s="309">
        <f t="shared" si="85"/>
        <v>0</v>
      </c>
      <c r="Q241" s="309">
        <f t="shared" si="85"/>
        <v>0</v>
      </c>
      <c r="R241" s="36"/>
      <c r="S241" s="36"/>
      <c r="T241" s="36"/>
      <c r="U241" s="36"/>
      <c r="V241" s="36"/>
      <c r="W241" s="36"/>
      <c r="X241" s="36"/>
      <c r="Y241" s="8"/>
      <c r="Z241" s="8"/>
      <c r="AA241" s="42"/>
      <c r="AB241" s="9"/>
      <c r="AC241" s="9"/>
      <c r="AD241" s="9"/>
      <c r="AE241" s="201"/>
      <c r="AF241" s="201"/>
      <c r="AG241" s="201"/>
      <c r="AH241" s="201"/>
      <c r="AI241" s="201"/>
      <c r="AJ241" s="201"/>
      <c r="AK241" s="201"/>
      <c r="AL241" s="201"/>
      <c r="AM241" s="201"/>
      <c r="AN241" s="201"/>
      <c r="AO241" s="201"/>
      <c r="AP241" s="201"/>
      <c r="AQ241" s="201"/>
      <c r="AR241" s="201"/>
      <c r="AS241" s="201"/>
      <c r="AT241" s="201"/>
      <c r="AU241" s="201"/>
    </row>
    <row r="242" spans="1:47" ht="21" customHeight="1">
      <c r="A242" s="12"/>
      <c r="B242" s="12"/>
      <c r="C242" s="12"/>
      <c r="D242" s="12"/>
      <c r="E242" s="12"/>
      <c r="F242" s="38"/>
      <c r="G242" s="62"/>
      <c r="H242" s="62"/>
      <c r="I242" s="62"/>
      <c r="J242" s="62"/>
      <c r="K242" s="62"/>
      <c r="L242" s="62"/>
      <c r="M242" s="62"/>
      <c r="N242" s="36"/>
      <c r="O242" s="36"/>
      <c r="P242" s="36"/>
      <c r="Q242" s="36"/>
      <c r="R242" s="245">
        <f>SUM(G241:Q241)</f>
        <v>6.1823189197864554</v>
      </c>
      <c r="S242" s="36"/>
      <c r="T242" s="36"/>
      <c r="U242" s="36"/>
      <c r="V242" s="36"/>
      <c r="W242" s="36"/>
      <c r="X242" s="36"/>
      <c r="Y242" s="8"/>
      <c r="Z242" s="8"/>
      <c r="AA242" s="42"/>
      <c r="AB242" s="9"/>
      <c r="AC242" s="9"/>
      <c r="AD242" s="9"/>
      <c r="AE242" s="201"/>
      <c r="AF242" s="201"/>
      <c r="AG242" s="201"/>
      <c r="AH242" s="201"/>
      <c r="AI242" s="201"/>
      <c r="AJ242" s="201"/>
      <c r="AK242" s="201"/>
      <c r="AL242" s="201"/>
      <c r="AM242" s="201"/>
      <c r="AN242" s="201"/>
      <c r="AO242" s="201"/>
      <c r="AP242" s="201"/>
      <c r="AQ242" s="201"/>
      <c r="AR242" s="201"/>
      <c r="AS242" s="201"/>
      <c r="AT242" s="201"/>
      <c r="AU242" s="201"/>
    </row>
    <row r="243" spans="1:47">
      <c r="A243" s="78"/>
      <c r="B243" s="78"/>
      <c r="C243" s="78"/>
      <c r="D243" s="78"/>
      <c r="E243" s="78"/>
      <c r="F243" s="530" t="s">
        <v>117</v>
      </c>
      <c r="G243" s="530"/>
      <c r="H243" s="530"/>
      <c r="I243" s="170"/>
      <c r="J243" s="170"/>
      <c r="K243" s="170"/>
      <c r="L243" s="170"/>
      <c r="M243" s="170"/>
      <c r="N243" s="171"/>
      <c r="O243" s="171"/>
      <c r="P243" s="171"/>
      <c r="Q243" s="171"/>
      <c r="R243" s="171"/>
      <c r="S243" s="171"/>
      <c r="T243" s="171"/>
      <c r="U243" s="171"/>
      <c r="V243" s="171"/>
      <c r="W243" s="171"/>
      <c r="X243" s="36"/>
      <c r="Y243" s="8"/>
      <c r="Z243" s="8"/>
      <c r="AA243" s="42"/>
      <c r="AB243" s="9"/>
      <c r="AC243" s="9"/>
      <c r="AD243" s="9"/>
      <c r="AE243" s="201"/>
      <c r="AF243" s="201"/>
      <c r="AG243" s="201"/>
      <c r="AH243" s="201"/>
      <c r="AI243" s="201"/>
      <c r="AJ243" s="201"/>
      <c r="AK243" s="201"/>
      <c r="AL243" s="201"/>
      <c r="AM243" s="201"/>
      <c r="AN243" s="201"/>
      <c r="AO243" s="201"/>
      <c r="AP243" s="201"/>
      <c r="AQ243" s="201"/>
      <c r="AR243" s="201"/>
      <c r="AS243" s="201"/>
      <c r="AT243" s="201"/>
      <c r="AU243" s="201"/>
    </row>
    <row r="244" spans="1:47">
      <c r="A244" s="12"/>
      <c r="B244" s="12"/>
      <c r="C244" s="12"/>
      <c r="D244" s="12"/>
      <c r="E244" s="12"/>
      <c r="F244" s="37" t="s">
        <v>1</v>
      </c>
      <c r="G244" s="244">
        <f t="shared" ref="G244:Q244" si="86">G74</f>
        <v>2010</v>
      </c>
      <c r="H244" s="244">
        <f t="shared" si="86"/>
        <v>2011</v>
      </c>
      <c r="I244" s="244">
        <f t="shared" si="86"/>
        <v>2012</v>
      </c>
      <c r="J244" s="244">
        <f t="shared" si="86"/>
        <v>2013</v>
      </c>
      <c r="K244" s="244">
        <f t="shared" si="86"/>
        <v>2014</v>
      </c>
      <c r="L244" s="244">
        <f t="shared" si="86"/>
        <v>2015</v>
      </c>
      <c r="M244" s="244">
        <f t="shared" si="86"/>
        <v>2016</v>
      </c>
      <c r="N244" s="244">
        <f t="shared" si="86"/>
        <v>2017</v>
      </c>
      <c r="O244" s="244">
        <f t="shared" si="86"/>
        <v>2018</v>
      </c>
      <c r="P244" s="244">
        <f t="shared" si="86"/>
        <v>2019</v>
      </c>
      <c r="Q244" s="244">
        <f t="shared" si="86"/>
        <v>2020</v>
      </c>
      <c r="R244" s="36"/>
      <c r="S244" s="36"/>
      <c r="T244" s="36"/>
      <c r="U244" s="36"/>
      <c r="V244" s="36"/>
      <c r="W244" s="36"/>
      <c r="X244" s="36"/>
      <c r="Y244" s="8"/>
      <c r="Z244" s="8"/>
      <c r="AA244" s="42"/>
      <c r="AB244" s="9"/>
      <c r="AC244" s="9"/>
      <c r="AD244" s="9"/>
      <c r="AE244" s="201"/>
      <c r="AF244" s="201"/>
      <c r="AG244" s="201"/>
      <c r="AH244" s="201"/>
      <c r="AI244" s="201"/>
      <c r="AJ244" s="201"/>
      <c r="AK244" s="201"/>
      <c r="AL244" s="201"/>
      <c r="AM244" s="201"/>
      <c r="AN244" s="201"/>
      <c r="AO244" s="201"/>
      <c r="AP244" s="201"/>
      <c r="AQ244" s="201"/>
      <c r="AR244" s="201"/>
      <c r="AS244" s="201"/>
      <c r="AT244" s="201"/>
      <c r="AU244" s="201"/>
    </row>
    <row r="245" spans="1:47" ht="12.75" hidden="1" customHeight="1" outlineLevel="1">
      <c r="A245" s="12"/>
      <c r="B245" s="12"/>
      <c r="C245" s="12"/>
      <c r="D245" s="12"/>
      <c r="E245" s="12"/>
      <c r="F245" s="177" t="str">
        <f>Asset1</f>
        <v>Subtransmission</v>
      </c>
      <c r="G245" s="167">
        <f>G109</f>
        <v>0</v>
      </c>
      <c r="H245" s="65">
        <f t="shared" ref="H245:L245" si="87">H109</f>
        <v>0</v>
      </c>
      <c r="I245" s="65">
        <f t="shared" si="87"/>
        <v>0</v>
      </c>
      <c r="J245" s="65">
        <f t="shared" si="87"/>
        <v>0</v>
      </c>
      <c r="K245" s="65">
        <f t="shared" si="87"/>
        <v>0</v>
      </c>
      <c r="L245" s="65">
        <f t="shared" si="87"/>
        <v>0</v>
      </c>
      <c r="M245" s="65"/>
      <c r="N245" s="65"/>
      <c r="O245" s="65"/>
      <c r="P245" s="65"/>
      <c r="Q245" s="65"/>
      <c r="R245" s="36"/>
      <c r="S245" s="36"/>
      <c r="T245" s="36"/>
      <c r="U245" s="36"/>
      <c r="V245" s="36"/>
      <c r="W245" s="36"/>
      <c r="X245" s="36"/>
      <c r="Y245" s="8"/>
      <c r="Z245" s="8"/>
      <c r="AA245" s="42"/>
      <c r="AB245" s="9"/>
      <c r="AC245" s="9"/>
      <c r="AD245" s="9"/>
      <c r="AE245" s="201"/>
      <c r="AF245" s="201"/>
      <c r="AG245" s="201"/>
      <c r="AH245" s="201"/>
      <c r="AI245" s="201"/>
      <c r="AJ245" s="201"/>
      <c r="AK245" s="201"/>
      <c r="AL245" s="201"/>
      <c r="AM245" s="201"/>
      <c r="AN245" s="201"/>
      <c r="AO245" s="201"/>
      <c r="AP245" s="201"/>
      <c r="AQ245" s="201"/>
      <c r="AR245" s="201"/>
      <c r="AS245" s="201"/>
      <c r="AT245" s="201"/>
      <c r="AU245" s="201"/>
    </row>
    <row r="246" spans="1:47" ht="12.75" hidden="1" customHeight="1" outlineLevel="1">
      <c r="A246" s="12"/>
      <c r="B246" s="12"/>
      <c r="C246" s="12"/>
      <c r="D246" s="12"/>
      <c r="E246" s="12"/>
      <c r="F246" s="177" t="str">
        <f>Asset2</f>
        <v>Distribution system assets</v>
      </c>
      <c r="G246" s="167">
        <f t="shared" ref="G246:L246" si="88">G110</f>
        <v>32.713460590000004</v>
      </c>
      <c r="H246" s="66">
        <f t="shared" si="88"/>
        <v>29.614305869999999</v>
      </c>
      <c r="I246" s="66">
        <f t="shared" si="88"/>
        <v>24.698322760000003</v>
      </c>
      <c r="J246" s="66">
        <f t="shared" si="88"/>
        <v>22.796053150000002</v>
      </c>
      <c r="K246" s="66">
        <f t="shared" si="88"/>
        <v>44.588195179126274</v>
      </c>
      <c r="L246" s="66">
        <f t="shared" si="88"/>
        <v>36.283072508676049</v>
      </c>
      <c r="M246" s="66"/>
      <c r="N246" s="66"/>
      <c r="O246" s="66"/>
      <c r="P246" s="66"/>
      <c r="Q246" s="66"/>
      <c r="R246" s="36"/>
      <c r="S246" s="36"/>
      <c r="T246" s="36"/>
      <c r="U246" s="36"/>
      <c r="V246" s="36"/>
      <c r="W246" s="36"/>
      <c r="X246" s="36"/>
      <c r="Y246" s="8"/>
      <c r="Z246" s="8"/>
      <c r="AA246" s="42"/>
      <c r="AB246" s="9"/>
      <c r="AC246" s="9"/>
      <c r="AD246" s="9"/>
      <c r="AE246" s="201"/>
      <c r="AF246" s="201"/>
      <c r="AG246" s="201"/>
      <c r="AH246" s="201"/>
      <c r="AI246" s="201"/>
      <c r="AJ246" s="201"/>
      <c r="AK246" s="201"/>
      <c r="AL246" s="201"/>
      <c r="AM246" s="201"/>
      <c r="AN246" s="201"/>
      <c r="AO246" s="201"/>
      <c r="AP246" s="201"/>
      <c r="AQ246" s="201"/>
      <c r="AR246" s="201"/>
      <c r="AS246" s="201"/>
      <c r="AT246" s="201"/>
      <c r="AU246" s="201"/>
    </row>
    <row r="247" spans="1:47" ht="12.75" hidden="1" customHeight="1" outlineLevel="1">
      <c r="A247" s="12"/>
      <c r="B247" s="12"/>
      <c r="C247" s="12"/>
      <c r="D247" s="12"/>
      <c r="E247" s="12"/>
      <c r="F247" s="177" t="str">
        <f>Asset3</f>
        <v>Standard metering</v>
      </c>
      <c r="G247" s="167">
        <f t="shared" ref="G247:L247" si="89">G111</f>
        <v>0</v>
      </c>
      <c r="H247" s="66">
        <f t="shared" si="89"/>
        <v>0</v>
      </c>
      <c r="I247" s="66">
        <f t="shared" si="89"/>
        <v>0</v>
      </c>
      <c r="J247" s="66">
        <f t="shared" si="89"/>
        <v>0</v>
      </c>
      <c r="K247" s="66">
        <f t="shared" si="89"/>
        <v>0</v>
      </c>
      <c r="L247" s="66">
        <f t="shared" si="89"/>
        <v>0</v>
      </c>
      <c r="M247" s="66"/>
      <c r="N247" s="66"/>
      <c r="O247" s="66"/>
      <c r="P247" s="66"/>
      <c r="Q247" s="66"/>
      <c r="R247" s="36"/>
      <c r="S247" s="36"/>
      <c r="T247" s="36"/>
      <c r="U247" s="36"/>
      <c r="V247" s="36"/>
      <c r="W247" s="36"/>
      <c r="X247" s="36"/>
      <c r="Y247" s="8"/>
      <c r="Z247" s="8"/>
      <c r="AA247" s="42"/>
      <c r="AB247" s="9"/>
      <c r="AC247" s="9"/>
      <c r="AD247" s="9"/>
      <c r="AE247" s="201"/>
      <c r="AF247" s="201"/>
      <c r="AG247" s="201"/>
      <c r="AH247" s="201"/>
      <c r="AI247" s="201"/>
      <c r="AJ247" s="201"/>
      <c r="AK247" s="201"/>
      <c r="AL247" s="201"/>
      <c r="AM247" s="201"/>
      <c r="AN247" s="201"/>
      <c r="AO247" s="201"/>
      <c r="AP247" s="201"/>
      <c r="AQ247" s="201"/>
      <c r="AR247" s="201"/>
      <c r="AS247" s="201"/>
      <c r="AT247" s="201"/>
      <c r="AU247" s="201"/>
    </row>
    <row r="248" spans="1:47" ht="12.75" hidden="1" customHeight="1" outlineLevel="1">
      <c r="A248" s="12"/>
      <c r="B248" s="12"/>
      <c r="C248" s="12"/>
      <c r="D248" s="12"/>
      <c r="E248" s="12"/>
      <c r="F248" s="177" t="str">
        <f>Asset4</f>
        <v>Public lighting</v>
      </c>
      <c r="G248" s="167">
        <f t="shared" ref="G248:L248" si="90">G112</f>
        <v>0</v>
      </c>
      <c r="H248" s="66">
        <f t="shared" si="90"/>
        <v>0</v>
      </c>
      <c r="I248" s="66">
        <f t="shared" si="90"/>
        <v>0</v>
      </c>
      <c r="J248" s="66">
        <f t="shared" si="90"/>
        <v>0</v>
      </c>
      <c r="K248" s="66">
        <f t="shared" si="90"/>
        <v>0</v>
      </c>
      <c r="L248" s="66">
        <f t="shared" si="90"/>
        <v>0</v>
      </c>
      <c r="M248" s="66"/>
      <c r="N248" s="199"/>
      <c r="O248" s="199"/>
      <c r="P248" s="199"/>
      <c r="Q248" s="199"/>
      <c r="R248" s="36"/>
      <c r="S248" s="36"/>
      <c r="T248" s="36"/>
      <c r="U248" s="36"/>
      <c r="V248" s="36"/>
      <c r="W248" s="36"/>
      <c r="X248" s="36"/>
      <c r="Y248" s="8"/>
      <c r="Z248" s="8"/>
      <c r="AA248" s="42"/>
      <c r="AB248" s="9"/>
      <c r="AC248" s="9"/>
      <c r="AD248" s="9"/>
      <c r="AE248" s="201"/>
      <c r="AF248" s="201"/>
      <c r="AG248" s="201"/>
      <c r="AH248" s="201"/>
      <c r="AI248" s="201"/>
      <c r="AJ248" s="201"/>
      <c r="AK248" s="201"/>
      <c r="AL248" s="201"/>
      <c r="AM248" s="201"/>
      <c r="AN248" s="201"/>
      <c r="AO248" s="201"/>
      <c r="AP248" s="201"/>
      <c r="AQ248" s="201"/>
      <c r="AR248" s="201"/>
      <c r="AS248" s="201"/>
      <c r="AT248" s="201"/>
      <c r="AU248" s="201"/>
    </row>
    <row r="249" spans="1:47" ht="12.75" hidden="1" customHeight="1" outlineLevel="1">
      <c r="A249" s="12"/>
      <c r="B249" s="12"/>
      <c r="C249" s="12"/>
      <c r="D249" s="12"/>
      <c r="E249" s="12"/>
      <c r="F249" s="177" t="str">
        <f>Asset5</f>
        <v>SCADA/Network control</v>
      </c>
      <c r="G249" s="167">
        <f t="shared" ref="G249:L249" si="91">G113</f>
        <v>0</v>
      </c>
      <c r="H249" s="66">
        <f t="shared" si="91"/>
        <v>0</v>
      </c>
      <c r="I249" s="66">
        <f t="shared" si="91"/>
        <v>0</v>
      </c>
      <c r="J249" s="66">
        <f t="shared" si="91"/>
        <v>0</v>
      </c>
      <c r="K249" s="66">
        <f t="shared" si="91"/>
        <v>0</v>
      </c>
      <c r="L249" s="66">
        <f t="shared" si="91"/>
        <v>0</v>
      </c>
      <c r="M249" s="66"/>
      <c r="N249" s="199"/>
      <c r="O249" s="199"/>
      <c r="P249" s="199"/>
      <c r="Q249" s="199"/>
      <c r="R249" s="36"/>
      <c r="S249" s="36"/>
      <c r="T249" s="36"/>
      <c r="U249" s="36"/>
      <c r="V249" s="36"/>
      <c r="W249" s="36"/>
      <c r="X249" s="36"/>
      <c r="Y249" s="8"/>
      <c r="Z249" s="8"/>
      <c r="AA249" s="42"/>
      <c r="AB249" s="9"/>
      <c r="AC249" s="9"/>
      <c r="AD249" s="9"/>
      <c r="AE249" s="201"/>
      <c r="AF249" s="201"/>
      <c r="AG249" s="201"/>
      <c r="AH249" s="201"/>
      <c r="AI249" s="201"/>
      <c r="AJ249" s="201"/>
      <c r="AK249" s="201"/>
      <c r="AL249" s="201"/>
      <c r="AM249" s="201"/>
      <c r="AN249" s="201"/>
      <c r="AO249" s="201"/>
      <c r="AP249" s="201"/>
      <c r="AQ249" s="201"/>
      <c r="AR249" s="201"/>
      <c r="AS249" s="201"/>
      <c r="AT249" s="201"/>
      <c r="AU249" s="201"/>
    </row>
    <row r="250" spans="1:47" ht="12.75" hidden="1" customHeight="1" outlineLevel="1">
      <c r="A250" s="12"/>
      <c r="B250" s="12"/>
      <c r="C250" s="12"/>
      <c r="D250" s="12"/>
      <c r="E250" s="12"/>
      <c r="F250" s="177" t="str">
        <f>Asset6</f>
        <v>Non-network general assets - IT</v>
      </c>
      <c r="G250" s="167">
        <f t="shared" ref="G250:L250" si="92">G114</f>
        <v>0</v>
      </c>
      <c r="H250" s="66">
        <f t="shared" si="92"/>
        <v>0</v>
      </c>
      <c r="I250" s="66">
        <f t="shared" si="92"/>
        <v>0</v>
      </c>
      <c r="J250" s="66">
        <f t="shared" si="92"/>
        <v>0</v>
      </c>
      <c r="K250" s="66">
        <f t="shared" si="92"/>
        <v>0</v>
      </c>
      <c r="L250" s="66">
        <f t="shared" si="92"/>
        <v>0</v>
      </c>
      <c r="M250" s="66"/>
      <c r="N250" s="199"/>
      <c r="O250" s="199"/>
      <c r="P250" s="199"/>
      <c r="Q250" s="199"/>
      <c r="R250" s="36"/>
      <c r="S250" s="36"/>
      <c r="T250" s="36"/>
      <c r="U250" s="36"/>
      <c r="V250" s="36"/>
      <c r="W250" s="36"/>
      <c r="X250" s="36"/>
      <c r="Y250" s="8"/>
      <c r="Z250" s="8"/>
      <c r="AA250" s="42"/>
      <c r="AB250" s="9"/>
      <c r="AC250" s="9"/>
      <c r="AD250" s="9"/>
      <c r="AE250" s="201"/>
      <c r="AF250" s="201"/>
      <c r="AG250" s="201"/>
      <c r="AH250" s="201"/>
      <c r="AI250" s="201"/>
      <c r="AJ250" s="201"/>
      <c r="AK250" s="201"/>
      <c r="AL250" s="201"/>
      <c r="AM250" s="201"/>
      <c r="AN250" s="201"/>
      <c r="AO250" s="201"/>
      <c r="AP250" s="201"/>
      <c r="AQ250" s="201"/>
      <c r="AR250" s="201"/>
      <c r="AS250" s="201"/>
      <c r="AT250" s="201"/>
      <c r="AU250" s="201"/>
    </row>
    <row r="251" spans="1:47" ht="12.75" hidden="1" customHeight="1" outlineLevel="1">
      <c r="A251" s="12"/>
      <c r="B251" s="12"/>
      <c r="C251" s="12"/>
      <c r="D251" s="12"/>
      <c r="E251" s="12"/>
      <c r="F251" s="177" t="str">
        <f>Asset7</f>
        <v>Non-network general assets - Other</v>
      </c>
      <c r="G251" s="167">
        <f t="shared" ref="G251:L251" si="93">G115</f>
        <v>0</v>
      </c>
      <c r="H251" s="66">
        <f t="shared" si="93"/>
        <v>0</v>
      </c>
      <c r="I251" s="66">
        <f t="shared" si="93"/>
        <v>0</v>
      </c>
      <c r="J251" s="66">
        <f t="shared" si="93"/>
        <v>0</v>
      </c>
      <c r="K251" s="66">
        <f t="shared" si="93"/>
        <v>0</v>
      </c>
      <c r="L251" s="66">
        <f t="shared" si="93"/>
        <v>0</v>
      </c>
      <c r="M251" s="66"/>
      <c r="N251" s="199"/>
      <c r="O251" s="199"/>
      <c r="P251" s="199"/>
      <c r="Q251" s="199"/>
      <c r="R251" s="36"/>
      <c r="S251" s="36"/>
      <c r="T251" s="36"/>
      <c r="U251" s="36"/>
      <c r="V251" s="36"/>
      <c r="W251" s="36"/>
      <c r="X251" s="36"/>
      <c r="Y251" s="8"/>
      <c r="Z251" s="8"/>
      <c r="AA251" s="42"/>
      <c r="AB251" s="9"/>
      <c r="AC251" s="9"/>
      <c r="AD251" s="9"/>
      <c r="AE251" s="201"/>
      <c r="AF251" s="201"/>
      <c r="AG251" s="201"/>
      <c r="AH251" s="201"/>
      <c r="AI251" s="201"/>
      <c r="AJ251" s="201"/>
      <c r="AK251" s="201"/>
      <c r="AL251" s="201"/>
      <c r="AM251" s="201"/>
      <c r="AN251" s="201"/>
      <c r="AO251" s="201"/>
      <c r="AP251" s="201"/>
      <c r="AQ251" s="201"/>
      <c r="AR251" s="201"/>
      <c r="AS251" s="201"/>
      <c r="AT251" s="201"/>
      <c r="AU251" s="201"/>
    </row>
    <row r="252" spans="1:47" ht="12.75" hidden="1" customHeight="1" outlineLevel="1">
      <c r="A252" s="12"/>
      <c r="B252" s="12"/>
      <c r="C252" s="12"/>
      <c r="D252" s="12"/>
      <c r="E252" s="12"/>
      <c r="F252" s="177" t="str">
        <f>Asset8</f>
        <v>Equity Raising Costs</v>
      </c>
      <c r="G252" s="167">
        <f t="shared" ref="G252:L252" si="94">G116</f>
        <v>0</v>
      </c>
      <c r="H252" s="66">
        <f t="shared" si="94"/>
        <v>0</v>
      </c>
      <c r="I252" s="66">
        <f t="shared" si="94"/>
        <v>0</v>
      </c>
      <c r="J252" s="66">
        <f t="shared" si="94"/>
        <v>0</v>
      </c>
      <c r="K252" s="66">
        <f t="shared" si="94"/>
        <v>0</v>
      </c>
      <c r="L252" s="66">
        <f t="shared" si="94"/>
        <v>0</v>
      </c>
      <c r="M252" s="66"/>
      <c r="N252" s="199"/>
      <c r="O252" s="199"/>
      <c r="P252" s="199"/>
      <c r="Q252" s="199"/>
      <c r="R252" s="36"/>
      <c r="S252" s="36"/>
      <c r="T252" s="36"/>
      <c r="U252" s="36"/>
      <c r="V252" s="36"/>
      <c r="W252" s="36"/>
      <c r="X252" s="36"/>
      <c r="Y252" s="8"/>
      <c r="Z252" s="8"/>
      <c r="AA252" s="42"/>
      <c r="AB252" s="9"/>
      <c r="AC252" s="9"/>
      <c r="AD252" s="9"/>
      <c r="AE252" s="201"/>
      <c r="AF252" s="201"/>
      <c r="AG252" s="201"/>
      <c r="AH252" s="201"/>
      <c r="AI252" s="201"/>
      <c r="AJ252" s="201"/>
      <c r="AK252" s="201"/>
      <c r="AL252" s="201"/>
      <c r="AM252" s="201"/>
      <c r="AN252" s="201"/>
      <c r="AO252" s="201"/>
      <c r="AP252" s="201"/>
      <c r="AQ252" s="201"/>
      <c r="AR252" s="201"/>
      <c r="AS252" s="201"/>
      <c r="AT252" s="201"/>
      <c r="AU252" s="201"/>
    </row>
    <row r="253" spans="1:47" ht="12.75" hidden="1" customHeight="1" outlineLevel="1">
      <c r="A253" s="12"/>
      <c r="B253" s="12"/>
      <c r="C253" s="12"/>
      <c r="D253" s="12"/>
      <c r="E253" s="12"/>
      <c r="F253" s="177">
        <f>Asset9</f>
        <v>0</v>
      </c>
      <c r="G253" s="167"/>
      <c r="H253" s="66"/>
      <c r="I253" s="66"/>
      <c r="J253" s="66"/>
      <c r="K253" s="66"/>
      <c r="L253" s="66"/>
      <c r="M253" s="66"/>
      <c r="N253" s="199"/>
      <c r="O253" s="199"/>
      <c r="P253" s="199"/>
      <c r="Q253" s="199"/>
      <c r="R253" s="36"/>
      <c r="S253" s="36"/>
      <c r="T253" s="36"/>
      <c r="U253" s="36"/>
      <c r="V253" s="36"/>
      <c r="W253" s="36"/>
      <c r="X253" s="36"/>
      <c r="Y253" s="8"/>
      <c r="Z253" s="8"/>
      <c r="AA253" s="42"/>
      <c r="AB253" s="9"/>
      <c r="AC253" s="9"/>
      <c r="AD253" s="9"/>
      <c r="AE253" s="201"/>
      <c r="AF253" s="201"/>
      <c r="AG253" s="201"/>
      <c r="AH253" s="201"/>
      <c r="AI253" s="201"/>
      <c r="AJ253" s="201"/>
      <c r="AK253" s="201"/>
      <c r="AL253" s="201"/>
      <c r="AM253" s="201"/>
      <c r="AN253" s="201"/>
      <c r="AO253" s="201"/>
      <c r="AP253" s="201"/>
      <c r="AQ253" s="201"/>
      <c r="AR253" s="201"/>
      <c r="AS253" s="201"/>
      <c r="AT253" s="201"/>
      <c r="AU253" s="201"/>
    </row>
    <row r="254" spans="1:47" ht="12.75" hidden="1" customHeight="1" outlineLevel="1">
      <c r="A254" s="12"/>
      <c r="B254" s="12"/>
      <c r="C254" s="12"/>
      <c r="D254" s="12"/>
      <c r="E254" s="12"/>
      <c r="F254" s="177">
        <f>Asset10</f>
        <v>0</v>
      </c>
      <c r="G254" s="167"/>
      <c r="H254" s="66"/>
      <c r="I254" s="66"/>
      <c r="J254" s="66"/>
      <c r="K254" s="66"/>
      <c r="L254" s="66"/>
      <c r="M254" s="66"/>
      <c r="N254" s="199"/>
      <c r="O254" s="199"/>
      <c r="P254" s="199"/>
      <c r="Q254" s="199"/>
      <c r="R254" s="36"/>
      <c r="S254" s="36"/>
      <c r="T254" s="36"/>
      <c r="U254" s="36"/>
      <c r="V254" s="36"/>
      <c r="W254" s="36"/>
      <c r="X254" s="36"/>
      <c r="Y254" s="8"/>
      <c r="Z254" s="8"/>
      <c r="AA254" s="42"/>
      <c r="AB254" s="9"/>
      <c r="AC254" s="9"/>
      <c r="AD254" s="9"/>
      <c r="AE254" s="201"/>
      <c r="AF254" s="201"/>
      <c r="AG254" s="201"/>
      <c r="AH254" s="201"/>
      <c r="AI254" s="201"/>
      <c r="AJ254" s="201"/>
      <c r="AK254" s="201"/>
      <c r="AL254" s="201"/>
      <c r="AM254" s="201"/>
      <c r="AN254" s="201"/>
      <c r="AO254" s="201"/>
      <c r="AP254" s="201"/>
      <c r="AQ254" s="201"/>
      <c r="AR254" s="201"/>
      <c r="AS254" s="201"/>
      <c r="AT254" s="201"/>
      <c r="AU254" s="201"/>
    </row>
    <row r="255" spans="1:47" ht="12.75" hidden="1" customHeight="1" outlineLevel="1">
      <c r="A255" s="12"/>
      <c r="B255" s="12"/>
      <c r="C255" s="12"/>
      <c r="D255" s="12"/>
      <c r="E255" s="12"/>
      <c r="F255" s="177">
        <f>Asset11</f>
        <v>0</v>
      </c>
      <c r="G255" s="167"/>
      <c r="H255" s="66"/>
      <c r="I255" s="66"/>
      <c r="J255" s="66"/>
      <c r="K255" s="66"/>
      <c r="L255" s="66"/>
      <c r="M255" s="66"/>
      <c r="N255" s="199"/>
      <c r="O255" s="199"/>
      <c r="P255" s="199"/>
      <c r="Q255" s="199"/>
      <c r="R255" s="36"/>
      <c r="S255" s="36"/>
      <c r="T255" s="36"/>
      <c r="U255" s="36"/>
      <c r="V255" s="36"/>
      <c r="W255" s="36"/>
      <c r="X255" s="36"/>
      <c r="Y255" s="8"/>
      <c r="Z255" s="8"/>
      <c r="AA255" s="42"/>
      <c r="AB255" s="9"/>
      <c r="AC255" s="9"/>
      <c r="AD255" s="9"/>
      <c r="AE255" s="201"/>
      <c r="AF255" s="201"/>
      <c r="AG255" s="201"/>
      <c r="AH255" s="201"/>
      <c r="AI255" s="201"/>
      <c r="AJ255" s="201"/>
      <c r="AK255" s="201"/>
      <c r="AL255" s="201"/>
      <c r="AM255" s="201"/>
      <c r="AN255" s="201"/>
      <c r="AO255" s="201"/>
      <c r="AP255" s="201"/>
      <c r="AQ255" s="201"/>
      <c r="AR255" s="201"/>
      <c r="AS255" s="201"/>
      <c r="AT255" s="201"/>
      <c r="AU255" s="201"/>
    </row>
    <row r="256" spans="1:47" ht="12.75" hidden="1" customHeight="1" outlineLevel="1">
      <c r="A256" s="12"/>
      <c r="B256" s="12"/>
      <c r="C256" s="12"/>
      <c r="D256" s="12"/>
      <c r="E256" s="12"/>
      <c r="F256" s="177">
        <f>Asset12</f>
        <v>0</v>
      </c>
      <c r="G256" s="167"/>
      <c r="H256" s="66"/>
      <c r="I256" s="66"/>
      <c r="J256" s="66"/>
      <c r="K256" s="66"/>
      <c r="L256" s="66"/>
      <c r="M256" s="66"/>
      <c r="N256" s="199"/>
      <c r="O256" s="199"/>
      <c r="P256" s="199"/>
      <c r="Q256" s="199"/>
      <c r="R256" s="36"/>
      <c r="S256" s="36"/>
      <c r="T256" s="36"/>
      <c r="U256" s="36"/>
      <c r="V256" s="36"/>
      <c r="W256" s="36"/>
      <c r="X256" s="36"/>
      <c r="Y256" s="8"/>
      <c r="Z256" s="8"/>
      <c r="AA256" s="42"/>
      <c r="AB256" s="9"/>
      <c r="AC256" s="9"/>
      <c r="AD256" s="9"/>
      <c r="AE256" s="201"/>
      <c r="AF256" s="201"/>
      <c r="AG256" s="201"/>
      <c r="AH256" s="201"/>
      <c r="AI256" s="201"/>
      <c r="AJ256" s="201"/>
      <c r="AK256" s="201"/>
      <c r="AL256" s="201"/>
      <c r="AM256" s="201"/>
      <c r="AN256" s="201"/>
      <c r="AO256" s="201"/>
      <c r="AP256" s="201"/>
      <c r="AQ256" s="201"/>
      <c r="AR256" s="201"/>
      <c r="AS256" s="201"/>
      <c r="AT256" s="201"/>
      <c r="AU256" s="201"/>
    </row>
    <row r="257" spans="1:47" ht="12.75" hidden="1" customHeight="1" outlineLevel="1">
      <c r="A257" s="12"/>
      <c r="B257" s="12"/>
      <c r="C257" s="12"/>
      <c r="D257" s="12"/>
      <c r="E257" s="12"/>
      <c r="F257" s="177">
        <f>Asset13</f>
        <v>0</v>
      </c>
      <c r="G257" s="167"/>
      <c r="H257" s="66"/>
      <c r="I257" s="66"/>
      <c r="J257" s="66"/>
      <c r="K257" s="66"/>
      <c r="L257" s="66"/>
      <c r="M257" s="66"/>
      <c r="N257" s="199"/>
      <c r="O257" s="199"/>
      <c r="P257" s="199"/>
      <c r="Q257" s="199"/>
      <c r="R257" s="36"/>
      <c r="S257" s="36"/>
      <c r="T257" s="36"/>
      <c r="U257" s="36"/>
      <c r="V257" s="36"/>
      <c r="W257" s="36"/>
      <c r="X257" s="36"/>
      <c r="Y257" s="8"/>
      <c r="Z257" s="8"/>
      <c r="AA257" s="42"/>
      <c r="AB257" s="9"/>
      <c r="AC257" s="9"/>
      <c r="AD257" s="9"/>
      <c r="AE257" s="201"/>
      <c r="AF257" s="201"/>
      <c r="AG257" s="201"/>
      <c r="AH257" s="201"/>
      <c r="AI257" s="201"/>
      <c r="AJ257" s="201"/>
      <c r="AK257" s="201"/>
      <c r="AL257" s="201"/>
      <c r="AM257" s="201"/>
      <c r="AN257" s="201"/>
      <c r="AO257" s="201"/>
      <c r="AP257" s="201"/>
      <c r="AQ257" s="201"/>
      <c r="AR257" s="201"/>
      <c r="AS257" s="201"/>
      <c r="AT257" s="201"/>
      <c r="AU257" s="201"/>
    </row>
    <row r="258" spans="1:47" ht="12.75" hidden="1" customHeight="1" outlineLevel="1">
      <c r="A258" s="12"/>
      <c r="B258" s="12"/>
      <c r="C258" s="12"/>
      <c r="D258" s="12"/>
      <c r="E258" s="12"/>
      <c r="F258" s="177">
        <f>Asset14</f>
        <v>0</v>
      </c>
      <c r="G258" s="167"/>
      <c r="H258" s="66"/>
      <c r="I258" s="66"/>
      <c r="J258" s="66"/>
      <c r="K258" s="66"/>
      <c r="L258" s="66"/>
      <c r="M258" s="66"/>
      <c r="N258" s="199"/>
      <c r="O258" s="199"/>
      <c r="P258" s="199"/>
      <c r="Q258" s="199"/>
      <c r="R258" s="36"/>
      <c r="S258" s="36"/>
      <c r="T258" s="36"/>
      <c r="U258" s="36"/>
      <c r="V258" s="36"/>
      <c r="W258" s="36"/>
      <c r="X258" s="36"/>
      <c r="Y258" s="8"/>
      <c r="Z258" s="8"/>
      <c r="AA258" s="42"/>
      <c r="AB258" s="9"/>
      <c r="AC258" s="9"/>
      <c r="AD258" s="9"/>
      <c r="AE258" s="201"/>
      <c r="AF258" s="201"/>
      <c r="AG258" s="201"/>
      <c r="AH258" s="201"/>
      <c r="AI258" s="201"/>
      <c r="AJ258" s="201"/>
      <c r="AK258" s="201"/>
      <c r="AL258" s="201"/>
      <c r="AM258" s="201"/>
      <c r="AN258" s="201"/>
      <c r="AO258" s="201"/>
      <c r="AP258" s="201"/>
      <c r="AQ258" s="201"/>
      <c r="AR258" s="201"/>
      <c r="AS258" s="201"/>
      <c r="AT258" s="201"/>
      <c r="AU258" s="201"/>
    </row>
    <row r="259" spans="1:47" ht="12.75" hidden="1" customHeight="1" outlineLevel="1">
      <c r="A259" s="12"/>
      <c r="B259" s="12"/>
      <c r="C259" s="12"/>
      <c r="D259" s="12"/>
      <c r="E259" s="12"/>
      <c r="F259" s="177">
        <f>Asset15</f>
        <v>0</v>
      </c>
      <c r="G259" s="167"/>
      <c r="H259" s="66"/>
      <c r="I259" s="66"/>
      <c r="J259" s="66"/>
      <c r="K259" s="66"/>
      <c r="L259" s="66"/>
      <c r="M259" s="198"/>
      <c r="N259" s="199"/>
      <c r="O259" s="199"/>
      <c r="P259" s="199"/>
      <c r="Q259" s="199"/>
      <c r="R259" s="36"/>
      <c r="S259" s="36"/>
      <c r="T259" s="36"/>
      <c r="U259" s="36"/>
      <c r="V259" s="36"/>
      <c r="W259" s="36"/>
      <c r="X259" s="36"/>
      <c r="Y259" s="8"/>
      <c r="Z259" s="8"/>
      <c r="AA259" s="42"/>
      <c r="AB259" s="9"/>
      <c r="AC259" s="9"/>
      <c r="AD259" s="9"/>
      <c r="AE259" s="201"/>
      <c r="AF259" s="201"/>
      <c r="AG259" s="201"/>
      <c r="AH259" s="201"/>
      <c r="AI259" s="201"/>
      <c r="AJ259" s="201"/>
      <c r="AK259" s="201"/>
      <c r="AL259" s="201"/>
      <c r="AM259" s="201"/>
      <c r="AN259" s="201"/>
      <c r="AO259" s="201"/>
      <c r="AP259" s="201"/>
      <c r="AQ259" s="201"/>
      <c r="AR259" s="201"/>
      <c r="AS259" s="201"/>
      <c r="AT259" s="201"/>
      <c r="AU259" s="201"/>
    </row>
    <row r="260" spans="1:47" ht="12.75" hidden="1" customHeight="1" outlineLevel="1">
      <c r="A260" s="12"/>
      <c r="B260" s="12"/>
      <c r="C260" s="12"/>
      <c r="D260" s="12"/>
      <c r="E260" s="12"/>
      <c r="F260" s="177">
        <f>Asset16</f>
        <v>0</v>
      </c>
      <c r="G260" s="167"/>
      <c r="H260" s="66"/>
      <c r="I260" s="66"/>
      <c r="J260" s="66"/>
      <c r="K260" s="66"/>
      <c r="L260" s="66"/>
      <c r="M260" s="198"/>
      <c r="N260" s="199"/>
      <c r="O260" s="199"/>
      <c r="P260" s="199"/>
      <c r="Q260" s="199"/>
      <c r="R260" s="36"/>
      <c r="S260" s="36"/>
      <c r="T260" s="36"/>
      <c r="U260" s="36"/>
      <c r="V260" s="36"/>
      <c r="W260" s="36"/>
      <c r="X260" s="36"/>
      <c r="Y260" s="8"/>
      <c r="Z260" s="8"/>
      <c r="AA260" s="42"/>
      <c r="AB260" s="9"/>
      <c r="AC260" s="9"/>
      <c r="AD260" s="9"/>
      <c r="AE260" s="201"/>
      <c r="AF260" s="201"/>
      <c r="AG260" s="201"/>
      <c r="AH260" s="201"/>
      <c r="AI260" s="201"/>
      <c r="AJ260" s="201"/>
      <c r="AK260" s="201"/>
      <c r="AL260" s="201"/>
      <c r="AM260" s="201"/>
      <c r="AN260" s="201"/>
      <c r="AO260" s="201"/>
      <c r="AP260" s="201"/>
      <c r="AQ260" s="201"/>
      <c r="AR260" s="201"/>
      <c r="AS260" s="201"/>
      <c r="AT260" s="201"/>
      <c r="AU260" s="201"/>
    </row>
    <row r="261" spans="1:47" ht="12.75" hidden="1" customHeight="1" outlineLevel="1">
      <c r="A261" s="12"/>
      <c r="B261" s="12"/>
      <c r="C261" s="12"/>
      <c r="D261" s="12"/>
      <c r="E261" s="12"/>
      <c r="F261" s="177">
        <f>Asset17</f>
        <v>0</v>
      </c>
      <c r="G261" s="167"/>
      <c r="H261" s="66"/>
      <c r="I261" s="66"/>
      <c r="J261" s="66"/>
      <c r="K261" s="66"/>
      <c r="L261" s="66"/>
      <c r="M261" s="198"/>
      <c r="N261" s="199"/>
      <c r="O261" s="199"/>
      <c r="P261" s="199"/>
      <c r="Q261" s="199"/>
      <c r="R261" s="36"/>
      <c r="S261" s="36"/>
      <c r="T261" s="36"/>
      <c r="U261" s="36"/>
      <c r="V261" s="36"/>
      <c r="W261" s="36"/>
      <c r="X261" s="36"/>
      <c r="Y261" s="8"/>
      <c r="Z261" s="8"/>
      <c r="AA261" s="42"/>
      <c r="AB261" s="9"/>
      <c r="AC261" s="9"/>
      <c r="AD261" s="9"/>
      <c r="AE261" s="201"/>
      <c r="AF261" s="201"/>
      <c r="AG261" s="201"/>
      <c r="AH261" s="201"/>
      <c r="AI261" s="201"/>
      <c r="AJ261" s="201"/>
      <c r="AK261" s="201"/>
      <c r="AL261" s="201"/>
      <c r="AM261" s="201"/>
      <c r="AN261" s="201"/>
      <c r="AO261" s="201"/>
      <c r="AP261" s="201"/>
      <c r="AQ261" s="201"/>
      <c r="AR261" s="201"/>
      <c r="AS261" s="201"/>
      <c r="AT261" s="201"/>
      <c r="AU261" s="201"/>
    </row>
    <row r="262" spans="1:47" ht="12.75" hidden="1" customHeight="1" outlineLevel="1">
      <c r="A262" s="12"/>
      <c r="B262" s="12"/>
      <c r="C262" s="12"/>
      <c r="D262" s="12"/>
      <c r="E262" s="12"/>
      <c r="F262" s="177">
        <f>Asset18</f>
        <v>0</v>
      </c>
      <c r="G262" s="167"/>
      <c r="H262" s="66"/>
      <c r="I262" s="66"/>
      <c r="J262" s="66"/>
      <c r="K262" s="66"/>
      <c r="L262" s="66"/>
      <c r="M262" s="198"/>
      <c r="N262" s="199"/>
      <c r="O262" s="199"/>
      <c r="P262" s="199"/>
      <c r="Q262" s="199"/>
      <c r="R262" s="36"/>
      <c r="S262" s="36"/>
      <c r="T262" s="36"/>
      <c r="U262" s="36"/>
      <c r="V262" s="36"/>
      <c r="W262" s="36"/>
      <c r="X262" s="36"/>
      <c r="Y262" s="8"/>
      <c r="Z262" s="8"/>
      <c r="AA262" s="42"/>
      <c r="AB262" s="9"/>
      <c r="AC262" s="9"/>
      <c r="AD262" s="9"/>
      <c r="AE262" s="201"/>
      <c r="AF262" s="201"/>
      <c r="AG262" s="201"/>
      <c r="AH262" s="201"/>
      <c r="AI262" s="201"/>
      <c r="AJ262" s="201"/>
      <c r="AK262" s="201"/>
      <c r="AL262" s="201"/>
      <c r="AM262" s="201"/>
      <c r="AN262" s="201"/>
      <c r="AO262" s="201"/>
      <c r="AP262" s="201"/>
      <c r="AQ262" s="201"/>
      <c r="AR262" s="201"/>
      <c r="AS262" s="201"/>
      <c r="AT262" s="201"/>
      <c r="AU262" s="201"/>
    </row>
    <row r="263" spans="1:47" ht="12.75" hidden="1" customHeight="1" outlineLevel="1">
      <c r="A263" s="12"/>
      <c r="B263" s="12"/>
      <c r="C263" s="12"/>
      <c r="D263" s="12"/>
      <c r="E263" s="12"/>
      <c r="F263" s="177">
        <f>Asset19</f>
        <v>0</v>
      </c>
      <c r="G263" s="167"/>
      <c r="H263" s="66"/>
      <c r="I263" s="66"/>
      <c r="J263" s="66"/>
      <c r="K263" s="66"/>
      <c r="L263" s="66"/>
      <c r="M263" s="198"/>
      <c r="N263" s="199"/>
      <c r="O263" s="199"/>
      <c r="P263" s="199"/>
      <c r="Q263" s="199"/>
      <c r="R263" s="36"/>
      <c r="S263" s="36"/>
      <c r="T263" s="36"/>
      <c r="U263" s="36"/>
      <c r="V263" s="36"/>
      <c r="W263" s="36"/>
      <c r="X263" s="36"/>
      <c r="Y263" s="8"/>
      <c r="Z263" s="8"/>
      <c r="AA263" s="42"/>
      <c r="AB263" s="9"/>
      <c r="AC263" s="9"/>
      <c r="AD263" s="9"/>
      <c r="AE263" s="201"/>
      <c r="AF263" s="201"/>
      <c r="AG263" s="201"/>
      <c r="AH263" s="201"/>
      <c r="AI263" s="201"/>
      <c r="AJ263" s="201"/>
      <c r="AK263" s="201"/>
      <c r="AL263" s="201"/>
      <c r="AM263" s="201"/>
      <c r="AN263" s="201"/>
      <c r="AO263" s="201"/>
      <c r="AP263" s="201"/>
      <c r="AQ263" s="201"/>
      <c r="AR263" s="201"/>
      <c r="AS263" s="201"/>
      <c r="AT263" s="201"/>
      <c r="AU263" s="201"/>
    </row>
    <row r="264" spans="1:47" ht="12.75" hidden="1" customHeight="1" outlineLevel="1">
      <c r="A264" s="12"/>
      <c r="B264" s="12"/>
      <c r="C264" s="12"/>
      <c r="D264" s="12"/>
      <c r="E264" s="12"/>
      <c r="F264" s="177">
        <f>Asset20</f>
        <v>0</v>
      </c>
      <c r="G264" s="303"/>
      <c r="H264" s="66"/>
      <c r="I264" s="66"/>
      <c r="J264" s="66"/>
      <c r="K264" s="66"/>
      <c r="L264" s="66"/>
      <c r="M264" s="198"/>
      <c r="N264" s="199"/>
      <c r="O264" s="199"/>
      <c r="P264" s="199"/>
      <c r="Q264" s="199"/>
      <c r="R264" s="36"/>
      <c r="S264" s="36"/>
      <c r="T264" s="36"/>
      <c r="U264" s="36"/>
      <c r="V264" s="36"/>
      <c r="W264" s="36"/>
      <c r="X264" s="36"/>
      <c r="Y264" s="8"/>
      <c r="Z264" s="8"/>
      <c r="AA264" s="42"/>
      <c r="AB264" s="9"/>
      <c r="AC264" s="9"/>
      <c r="AD264" s="9"/>
      <c r="AE264" s="201"/>
      <c r="AF264" s="201"/>
      <c r="AG264" s="201"/>
      <c r="AH264" s="201"/>
      <c r="AI264" s="201"/>
      <c r="AJ264" s="201"/>
      <c r="AK264" s="201"/>
      <c r="AL264" s="201"/>
      <c r="AM264" s="201"/>
      <c r="AN264" s="201"/>
      <c r="AO264" s="201"/>
      <c r="AP264" s="201"/>
      <c r="AQ264" s="201"/>
      <c r="AR264" s="201"/>
      <c r="AS264" s="201"/>
      <c r="AT264" s="201"/>
      <c r="AU264" s="201"/>
    </row>
    <row r="265" spans="1:47" ht="12.75" hidden="1" customHeight="1" outlineLevel="1">
      <c r="A265" s="12"/>
      <c r="B265" s="12"/>
      <c r="C265" s="12"/>
      <c r="D265" s="12"/>
      <c r="E265" s="12"/>
      <c r="F265" s="304">
        <f>Asset21</f>
        <v>0</v>
      </c>
      <c r="G265" s="303"/>
      <c r="H265" s="66"/>
      <c r="I265" s="66"/>
      <c r="J265" s="66"/>
      <c r="K265" s="66"/>
      <c r="L265" s="66"/>
      <c r="M265" s="198"/>
      <c r="N265" s="199"/>
      <c r="O265" s="199"/>
      <c r="P265" s="199"/>
      <c r="Q265" s="199"/>
      <c r="R265" s="36"/>
      <c r="S265" s="36"/>
      <c r="T265" s="36"/>
      <c r="U265" s="36"/>
      <c r="V265" s="36"/>
      <c r="W265" s="36"/>
      <c r="X265" s="36"/>
      <c r="Y265" s="8"/>
      <c r="Z265" s="8"/>
      <c r="AA265" s="42"/>
      <c r="AB265" s="9"/>
      <c r="AC265" s="9"/>
      <c r="AD265" s="9"/>
      <c r="AE265" s="201"/>
      <c r="AF265" s="201"/>
      <c r="AG265" s="201"/>
      <c r="AH265" s="201"/>
      <c r="AI265" s="201"/>
      <c r="AJ265" s="201"/>
      <c r="AK265" s="201"/>
      <c r="AL265" s="201"/>
      <c r="AM265" s="201"/>
      <c r="AN265" s="201"/>
      <c r="AO265" s="201"/>
      <c r="AP265" s="201"/>
      <c r="AQ265" s="201"/>
      <c r="AR265" s="201"/>
      <c r="AS265" s="201"/>
      <c r="AT265" s="201"/>
      <c r="AU265" s="201"/>
    </row>
    <row r="266" spans="1:47" ht="12.75" hidden="1" customHeight="1" outlineLevel="1">
      <c r="A266" s="12"/>
      <c r="B266" s="12"/>
      <c r="C266" s="12"/>
      <c r="D266" s="12"/>
      <c r="E266" s="12"/>
      <c r="F266" s="304">
        <f>Asset22</f>
        <v>0</v>
      </c>
      <c r="G266" s="303"/>
      <c r="H266" s="66"/>
      <c r="I266" s="66"/>
      <c r="J266" s="66"/>
      <c r="K266" s="66"/>
      <c r="L266" s="66"/>
      <c r="M266" s="198"/>
      <c r="N266" s="199"/>
      <c r="O266" s="199"/>
      <c r="P266" s="199"/>
      <c r="Q266" s="199"/>
      <c r="R266" s="36"/>
      <c r="S266" s="36"/>
      <c r="T266" s="36"/>
      <c r="U266" s="36"/>
      <c r="V266" s="36"/>
      <c r="W266" s="36"/>
      <c r="X266" s="36"/>
      <c r="Y266" s="8"/>
      <c r="Z266" s="8"/>
      <c r="AA266" s="42"/>
      <c r="AB266" s="9"/>
      <c r="AC266" s="9"/>
      <c r="AD266" s="9"/>
      <c r="AE266" s="201"/>
      <c r="AF266" s="201"/>
      <c r="AG266" s="201"/>
      <c r="AH266" s="201"/>
      <c r="AI266" s="201"/>
      <c r="AJ266" s="201"/>
      <c r="AK266" s="201"/>
      <c r="AL266" s="201"/>
      <c r="AM266" s="201"/>
      <c r="AN266" s="201"/>
      <c r="AO266" s="201"/>
      <c r="AP266" s="201"/>
      <c r="AQ266" s="201"/>
      <c r="AR266" s="201"/>
      <c r="AS266" s="201"/>
      <c r="AT266" s="201"/>
      <c r="AU266" s="201"/>
    </row>
    <row r="267" spans="1:47" ht="12.75" hidden="1" customHeight="1" outlineLevel="1">
      <c r="A267" s="12"/>
      <c r="B267" s="12"/>
      <c r="C267" s="12"/>
      <c r="D267" s="12"/>
      <c r="E267" s="12"/>
      <c r="F267" s="304">
        <f>Asset23</f>
        <v>0</v>
      </c>
      <c r="G267" s="303"/>
      <c r="H267" s="66"/>
      <c r="I267" s="66"/>
      <c r="J267" s="66"/>
      <c r="K267" s="66"/>
      <c r="L267" s="66"/>
      <c r="M267" s="198"/>
      <c r="N267" s="199"/>
      <c r="O267" s="199"/>
      <c r="P267" s="199"/>
      <c r="Q267" s="199"/>
      <c r="R267" s="36"/>
      <c r="S267" s="36"/>
      <c r="T267" s="36"/>
      <c r="U267" s="36"/>
      <c r="V267" s="36"/>
      <c r="W267" s="36"/>
      <c r="X267" s="36"/>
      <c r="Y267" s="8"/>
      <c r="Z267" s="8"/>
      <c r="AA267" s="42"/>
      <c r="AB267" s="9"/>
      <c r="AC267" s="9"/>
      <c r="AD267" s="9"/>
      <c r="AE267" s="201"/>
      <c r="AF267" s="201"/>
      <c r="AG267" s="201"/>
      <c r="AH267" s="201"/>
      <c r="AI267" s="201"/>
      <c r="AJ267" s="201"/>
      <c r="AK267" s="201"/>
      <c r="AL267" s="201"/>
      <c r="AM267" s="201"/>
      <c r="AN267" s="201"/>
      <c r="AO267" s="201"/>
      <c r="AP267" s="201"/>
      <c r="AQ267" s="201"/>
      <c r="AR267" s="201"/>
      <c r="AS267" s="201"/>
      <c r="AT267" s="201"/>
      <c r="AU267" s="201"/>
    </row>
    <row r="268" spans="1:47" ht="12.75" hidden="1" customHeight="1" outlineLevel="1">
      <c r="A268" s="12"/>
      <c r="B268" s="12"/>
      <c r="C268" s="12"/>
      <c r="D268" s="12"/>
      <c r="E268" s="12"/>
      <c r="F268" s="304">
        <f>Asset24</f>
        <v>0</v>
      </c>
      <c r="G268" s="303"/>
      <c r="H268" s="66"/>
      <c r="I268" s="66"/>
      <c r="J268" s="66"/>
      <c r="K268" s="66"/>
      <c r="L268" s="66"/>
      <c r="M268" s="198"/>
      <c r="N268" s="199"/>
      <c r="O268" s="199"/>
      <c r="P268" s="199"/>
      <c r="Q268" s="199"/>
      <c r="R268" s="36"/>
      <c r="S268" s="36"/>
      <c r="T268" s="36"/>
      <c r="U268" s="36"/>
      <c r="V268" s="36"/>
      <c r="W268" s="36"/>
      <c r="X268" s="36"/>
      <c r="Y268" s="8"/>
      <c r="Z268" s="8"/>
      <c r="AA268" s="42"/>
      <c r="AB268" s="9"/>
      <c r="AC268" s="9"/>
      <c r="AD268" s="9"/>
      <c r="AE268" s="201"/>
      <c r="AF268" s="201"/>
      <c r="AG268" s="201"/>
      <c r="AH268" s="201"/>
      <c r="AI268" s="201"/>
      <c r="AJ268" s="201"/>
      <c r="AK268" s="201"/>
      <c r="AL268" s="201"/>
      <c r="AM268" s="201"/>
      <c r="AN268" s="201"/>
      <c r="AO268" s="201"/>
      <c r="AP268" s="201"/>
      <c r="AQ268" s="201"/>
      <c r="AR268" s="201"/>
      <c r="AS268" s="201"/>
      <c r="AT268" s="201"/>
      <c r="AU268" s="201"/>
    </row>
    <row r="269" spans="1:47" ht="12.75" hidden="1" customHeight="1" outlineLevel="1">
      <c r="A269" s="12"/>
      <c r="B269" s="12"/>
      <c r="C269" s="12"/>
      <c r="D269" s="12"/>
      <c r="E269" s="12"/>
      <c r="F269" s="304">
        <f>Asset25</f>
        <v>0</v>
      </c>
      <c r="G269" s="303"/>
      <c r="H269" s="66"/>
      <c r="I269" s="66"/>
      <c r="J269" s="66"/>
      <c r="K269" s="66"/>
      <c r="L269" s="66"/>
      <c r="M269" s="198"/>
      <c r="N269" s="199"/>
      <c r="O269" s="199"/>
      <c r="P269" s="199"/>
      <c r="Q269" s="199"/>
      <c r="R269" s="36"/>
      <c r="S269" s="36"/>
      <c r="T269" s="36"/>
      <c r="U269" s="36"/>
      <c r="V269" s="36"/>
      <c r="W269" s="36"/>
      <c r="X269" s="36"/>
      <c r="Y269" s="8"/>
      <c r="Z269" s="8"/>
      <c r="AA269" s="42"/>
      <c r="AB269" s="9"/>
      <c r="AC269" s="9"/>
      <c r="AD269" s="9"/>
      <c r="AE269" s="201"/>
      <c r="AF269" s="201"/>
      <c r="AG269" s="201"/>
      <c r="AH269" s="201"/>
      <c r="AI269" s="201"/>
      <c r="AJ269" s="201"/>
      <c r="AK269" s="201"/>
      <c r="AL269" s="201"/>
      <c r="AM269" s="201"/>
      <c r="AN269" s="201"/>
      <c r="AO269" s="201"/>
      <c r="AP269" s="201"/>
      <c r="AQ269" s="201"/>
      <c r="AR269" s="201"/>
      <c r="AS269" s="201"/>
      <c r="AT269" s="201"/>
      <c r="AU269" s="201"/>
    </row>
    <row r="270" spans="1:47" ht="12.75" hidden="1" customHeight="1" outlineLevel="1">
      <c r="A270" s="12"/>
      <c r="B270" s="12"/>
      <c r="C270" s="12"/>
      <c r="D270" s="12"/>
      <c r="E270" s="12"/>
      <c r="F270" s="304">
        <f>Asset26</f>
        <v>0</v>
      </c>
      <c r="G270" s="303"/>
      <c r="H270" s="66"/>
      <c r="I270" s="66"/>
      <c r="J270" s="66"/>
      <c r="K270" s="66"/>
      <c r="L270" s="66"/>
      <c r="M270" s="198"/>
      <c r="N270" s="199"/>
      <c r="O270" s="199"/>
      <c r="P270" s="199"/>
      <c r="Q270" s="199"/>
      <c r="R270" s="36"/>
      <c r="S270" s="36"/>
      <c r="T270" s="36"/>
      <c r="U270" s="36"/>
      <c r="V270" s="36"/>
      <c r="W270" s="36"/>
      <c r="X270" s="36"/>
      <c r="Y270" s="8"/>
      <c r="Z270" s="8"/>
      <c r="AA270" s="42"/>
      <c r="AB270" s="9"/>
      <c r="AC270" s="9"/>
      <c r="AD270" s="9"/>
      <c r="AE270" s="201"/>
      <c r="AF270" s="201"/>
      <c r="AG270" s="201"/>
      <c r="AH270" s="201"/>
      <c r="AI270" s="201"/>
      <c r="AJ270" s="201"/>
      <c r="AK270" s="201"/>
      <c r="AL270" s="201"/>
      <c r="AM270" s="201"/>
      <c r="AN270" s="201"/>
      <c r="AO270" s="201"/>
      <c r="AP270" s="201"/>
      <c r="AQ270" s="201"/>
      <c r="AR270" s="201"/>
      <c r="AS270" s="201"/>
      <c r="AT270" s="201"/>
      <c r="AU270" s="201"/>
    </row>
    <row r="271" spans="1:47" ht="12.75" hidden="1" customHeight="1" outlineLevel="1">
      <c r="A271" s="12"/>
      <c r="B271" s="12"/>
      <c r="C271" s="12"/>
      <c r="D271" s="12"/>
      <c r="E271" s="12"/>
      <c r="F271" s="304">
        <f>Asset27</f>
        <v>0</v>
      </c>
      <c r="G271" s="303"/>
      <c r="H271" s="66"/>
      <c r="I271" s="66"/>
      <c r="J271" s="66"/>
      <c r="K271" s="66"/>
      <c r="L271" s="66"/>
      <c r="M271" s="198"/>
      <c r="N271" s="199"/>
      <c r="O271" s="199"/>
      <c r="P271" s="199"/>
      <c r="Q271" s="199"/>
      <c r="R271" s="36"/>
      <c r="S271" s="36"/>
      <c r="T271" s="36"/>
      <c r="U271" s="36"/>
      <c r="V271" s="36"/>
      <c r="W271" s="36"/>
      <c r="X271" s="36"/>
      <c r="Y271" s="8"/>
      <c r="Z271" s="8"/>
      <c r="AA271" s="42"/>
      <c r="AB271" s="9"/>
      <c r="AC271" s="9"/>
      <c r="AD271" s="9"/>
      <c r="AE271" s="201"/>
      <c r="AF271" s="201"/>
      <c r="AG271" s="201"/>
      <c r="AH271" s="201"/>
      <c r="AI271" s="201"/>
      <c r="AJ271" s="201"/>
      <c r="AK271" s="201"/>
      <c r="AL271" s="201"/>
      <c r="AM271" s="201"/>
      <c r="AN271" s="201"/>
      <c r="AO271" s="201"/>
      <c r="AP271" s="201"/>
      <c r="AQ271" s="201"/>
      <c r="AR271" s="201"/>
      <c r="AS271" s="201"/>
      <c r="AT271" s="201"/>
      <c r="AU271" s="201"/>
    </row>
    <row r="272" spans="1:47" ht="12.75" hidden="1" customHeight="1" outlineLevel="1">
      <c r="A272" s="12"/>
      <c r="B272" s="12"/>
      <c r="C272" s="12"/>
      <c r="D272" s="12"/>
      <c r="E272" s="12"/>
      <c r="F272" s="304">
        <f>Asset28</f>
        <v>0</v>
      </c>
      <c r="G272" s="303"/>
      <c r="H272" s="66"/>
      <c r="I272" s="66"/>
      <c r="J272" s="66"/>
      <c r="K272" s="66"/>
      <c r="L272" s="66"/>
      <c r="M272" s="198"/>
      <c r="N272" s="199"/>
      <c r="O272" s="199"/>
      <c r="P272" s="199"/>
      <c r="Q272" s="199"/>
      <c r="R272" s="36"/>
      <c r="S272" s="36"/>
      <c r="T272" s="36"/>
      <c r="U272" s="36"/>
      <c r="V272" s="36"/>
      <c r="W272" s="36"/>
      <c r="X272" s="36"/>
      <c r="Y272" s="8"/>
      <c r="Z272" s="8"/>
      <c r="AA272" s="42"/>
      <c r="AB272" s="9"/>
      <c r="AC272" s="9"/>
      <c r="AD272" s="9"/>
      <c r="AE272" s="201"/>
      <c r="AF272" s="201"/>
      <c r="AG272" s="201"/>
      <c r="AH272" s="201"/>
      <c r="AI272" s="201"/>
      <c r="AJ272" s="201"/>
      <c r="AK272" s="201"/>
      <c r="AL272" s="201"/>
      <c r="AM272" s="201"/>
      <c r="AN272" s="201"/>
      <c r="AO272" s="201"/>
      <c r="AP272" s="201"/>
      <c r="AQ272" s="201"/>
      <c r="AR272" s="201"/>
      <c r="AS272" s="201"/>
      <c r="AT272" s="201"/>
      <c r="AU272" s="201"/>
    </row>
    <row r="273" spans="1:47" ht="12.75" hidden="1" customHeight="1" outlineLevel="1">
      <c r="A273" s="12"/>
      <c r="B273" s="12"/>
      <c r="C273" s="12"/>
      <c r="D273" s="12"/>
      <c r="E273" s="12"/>
      <c r="F273" s="304">
        <f>Asset29</f>
        <v>0</v>
      </c>
      <c r="G273" s="303"/>
      <c r="H273" s="66"/>
      <c r="I273" s="66"/>
      <c r="J273" s="66"/>
      <c r="K273" s="66"/>
      <c r="L273" s="66"/>
      <c r="M273" s="198"/>
      <c r="N273" s="199"/>
      <c r="O273" s="199"/>
      <c r="P273" s="199"/>
      <c r="Q273" s="199"/>
      <c r="R273" s="36"/>
      <c r="S273" s="36"/>
      <c r="T273" s="36"/>
      <c r="U273" s="36"/>
      <c r="V273" s="36"/>
      <c r="W273" s="36"/>
      <c r="X273" s="36"/>
      <c r="Y273" s="8"/>
      <c r="Z273" s="8"/>
      <c r="AA273" s="42"/>
      <c r="AB273" s="9"/>
      <c r="AC273" s="9"/>
      <c r="AD273" s="9"/>
      <c r="AE273" s="201"/>
      <c r="AF273" s="201"/>
      <c r="AG273" s="201"/>
      <c r="AH273" s="201"/>
      <c r="AI273" s="201"/>
      <c r="AJ273" s="201"/>
      <c r="AK273" s="201"/>
      <c r="AL273" s="201"/>
      <c r="AM273" s="201"/>
      <c r="AN273" s="201"/>
      <c r="AO273" s="201"/>
      <c r="AP273" s="201"/>
      <c r="AQ273" s="201"/>
      <c r="AR273" s="201"/>
      <c r="AS273" s="201"/>
      <c r="AT273" s="201"/>
      <c r="AU273" s="201"/>
    </row>
    <row r="274" spans="1:47" ht="12.75" hidden="1" customHeight="1" outlineLevel="1">
      <c r="A274" s="12"/>
      <c r="B274" s="12"/>
      <c r="C274" s="12"/>
      <c r="D274" s="12"/>
      <c r="E274" s="12"/>
      <c r="F274" s="304">
        <f>Asset30</f>
        <v>0</v>
      </c>
      <c r="G274" s="303"/>
      <c r="H274" s="66"/>
      <c r="I274" s="66"/>
      <c r="J274" s="66"/>
      <c r="K274" s="66"/>
      <c r="L274" s="66"/>
      <c r="M274" s="198"/>
      <c r="N274" s="199"/>
      <c r="O274" s="199"/>
      <c r="P274" s="199"/>
      <c r="Q274" s="199"/>
      <c r="R274" s="36"/>
      <c r="S274" s="36"/>
      <c r="T274" s="36"/>
      <c r="U274" s="36"/>
      <c r="V274" s="36"/>
      <c r="W274" s="36"/>
      <c r="X274" s="36"/>
      <c r="Y274" s="8"/>
      <c r="Z274" s="8"/>
      <c r="AA274" s="42"/>
      <c r="AB274" s="9"/>
      <c r="AC274" s="9"/>
      <c r="AD274" s="9"/>
      <c r="AE274" s="201"/>
      <c r="AF274" s="201"/>
      <c r="AG274" s="201"/>
      <c r="AH274" s="201"/>
      <c r="AI274" s="201"/>
      <c r="AJ274" s="201"/>
      <c r="AK274" s="201"/>
      <c r="AL274" s="201"/>
      <c r="AM274" s="201"/>
      <c r="AN274" s="201"/>
      <c r="AO274" s="201"/>
      <c r="AP274" s="201"/>
      <c r="AQ274" s="201"/>
      <c r="AR274" s="201"/>
      <c r="AS274" s="201"/>
      <c r="AT274" s="201"/>
      <c r="AU274" s="201"/>
    </row>
    <row r="275" spans="1:47" collapsed="1">
      <c r="A275" s="12"/>
      <c r="B275" s="12"/>
      <c r="C275" s="12"/>
      <c r="D275" s="12"/>
      <c r="E275" s="12"/>
      <c r="F275" s="177" t="s">
        <v>2</v>
      </c>
      <c r="G275" s="309">
        <f>SUM(G245:G274)</f>
        <v>32.713460590000004</v>
      </c>
      <c r="H275" s="309">
        <f t="shared" ref="H275:L275" si="95">SUM(H245:H274)</f>
        <v>29.614305869999999</v>
      </c>
      <c r="I275" s="309">
        <f t="shared" si="95"/>
        <v>24.698322760000003</v>
      </c>
      <c r="J275" s="309">
        <f t="shared" si="95"/>
        <v>22.796053150000002</v>
      </c>
      <c r="K275" s="309">
        <f t="shared" si="95"/>
        <v>44.588195179126274</v>
      </c>
      <c r="L275" s="309">
        <f t="shared" si="95"/>
        <v>36.283072508676049</v>
      </c>
      <c r="M275" s="309">
        <f>SUM(M245:M274)</f>
        <v>0</v>
      </c>
      <c r="N275" s="309">
        <f t="shared" ref="N275:Q275" si="96">SUM(N245:N274)</f>
        <v>0</v>
      </c>
      <c r="O275" s="309">
        <f t="shared" si="96"/>
        <v>0</v>
      </c>
      <c r="P275" s="309">
        <f t="shared" si="96"/>
        <v>0</v>
      </c>
      <c r="Q275" s="309">
        <f t="shared" si="96"/>
        <v>0</v>
      </c>
      <c r="R275" s="36"/>
      <c r="S275" s="36"/>
      <c r="T275" s="36"/>
      <c r="U275" s="36"/>
      <c r="V275" s="36"/>
      <c r="W275" s="36"/>
      <c r="X275" s="36"/>
      <c r="Y275" s="8"/>
      <c r="Z275" s="8"/>
      <c r="AA275" s="42"/>
      <c r="AB275" s="9"/>
      <c r="AC275" s="9"/>
      <c r="AD275" s="9"/>
      <c r="AE275" s="201"/>
      <c r="AF275" s="201"/>
      <c r="AG275" s="201"/>
      <c r="AH275" s="201"/>
      <c r="AI275" s="201"/>
      <c r="AJ275" s="201"/>
      <c r="AK275" s="201"/>
      <c r="AL275" s="201"/>
      <c r="AM275" s="201"/>
      <c r="AN275" s="201"/>
      <c r="AO275" s="201"/>
      <c r="AP275" s="201"/>
      <c r="AQ275" s="201"/>
      <c r="AR275" s="201"/>
      <c r="AS275" s="201"/>
      <c r="AT275" s="201"/>
      <c r="AU275" s="201"/>
    </row>
    <row r="276" spans="1:47" ht="19.5" customHeight="1">
      <c r="A276" s="12"/>
      <c r="B276" s="12"/>
      <c r="C276" s="12"/>
      <c r="D276" s="12"/>
      <c r="E276" s="12"/>
      <c r="F276" s="38"/>
      <c r="G276" s="62"/>
      <c r="H276" s="62"/>
      <c r="I276" s="62"/>
      <c r="J276" s="62"/>
      <c r="K276" s="62"/>
      <c r="L276" s="62"/>
      <c r="M276" s="62"/>
      <c r="N276" s="36"/>
      <c r="O276" s="36"/>
      <c r="P276" s="36"/>
      <c r="Q276" s="36"/>
      <c r="R276" s="245">
        <f>SUM(G241:Q241)</f>
        <v>6.1823189197864554</v>
      </c>
      <c r="S276" s="36"/>
      <c r="T276" s="36"/>
      <c r="U276" s="36"/>
      <c r="V276" s="36"/>
      <c r="W276" s="36"/>
      <c r="X276" s="36"/>
      <c r="Y276" s="8"/>
      <c r="Z276" s="8"/>
      <c r="AA276" s="42"/>
      <c r="AB276" s="9"/>
      <c r="AC276" s="9"/>
      <c r="AD276" s="9"/>
      <c r="AE276" s="201"/>
      <c r="AF276" s="201"/>
      <c r="AG276" s="201"/>
      <c r="AH276" s="201"/>
      <c r="AI276" s="201"/>
      <c r="AJ276" s="201"/>
      <c r="AK276" s="201"/>
      <c r="AL276" s="201"/>
      <c r="AM276" s="201"/>
      <c r="AN276" s="201"/>
      <c r="AO276" s="201"/>
      <c r="AP276" s="201"/>
      <c r="AQ276" s="201"/>
      <c r="AR276" s="201"/>
      <c r="AS276" s="201"/>
      <c r="AT276" s="201"/>
      <c r="AU276" s="201"/>
    </row>
    <row r="277" spans="1:47">
      <c r="A277" s="78"/>
      <c r="B277" s="78"/>
      <c r="C277" s="78"/>
      <c r="D277" s="78"/>
      <c r="E277" s="78"/>
      <c r="F277" s="530" t="str">
        <f>"Actual Net Capital Expenditure – As Commissioned ($m Real "&amp;X7-1&amp;")"</f>
        <v>Actual Net Capital Expenditure – As Commissioned ($m Real 2010)</v>
      </c>
      <c r="G277" s="530"/>
      <c r="H277" s="530"/>
      <c r="I277" s="530"/>
      <c r="J277" s="170"/>
      <c r="K277" s="170"/>
      <c r="L277" s="170"/>
      <c r="M277" s="170"/>
      <c r="N277" s="171"/>
      <c r="O277" s="171"/>
      <c r="P277" s="171"/>
      <c r="Q277" s="171"/>
      <c r="R277" s="171"/>
      <c r="S277" s="171"/>
      <c r="T277" s="171"/>
      <c r="U277" s="171"/>
      <c r="V277" s="171"/>
      <c r="W277" s="171"/>
      <c r="X277" s="36"/>
      <c r="Y277" s="8"/>
      <c r="Z277" s="8"/>
      <c r="AA277" s="42"/>
      <c r="AB277" s="9"/>
      <c r="AC277" s="9"/>
      <c r="AD277" s="9"/>
      <c r="AE277" s="201"/>
      <c r="AF277" s="201"/>
      <c r="AG277" s="201"/>
      <c r="AH277" s="201"/>
      <c r="AI277" s="201"/>
      <c r="AJ277" s="201"/>
      <c r="AK277" s="201"/>
      <c r="AL277" s="201"/>
      <c r="AM277" s="201"/>
      <c r="AN277" s="201"/>
      <c r="AO277" s="201"/>
      <c r="AP277" s="201"/>
      <c r="AQ277" s="201"/>
      <c r="AR277" s="201"/>
      <c r="AS277" s="201"/>
      <c r="AT277" s="201"/>
      <c r="AU277" s="201"/>
    </row>
    <row r="278" spans="1:47">
      <c r="A278" s="12"/>
      <c r="B278" s="12"/>
      <c r="C278" s="12"/>
      <c r="D278" s="12"/>
      <c r="E278" s="12"/>
      <c r="F278" s="37" t="s">
        <v>1</v>
      </c>
      <c r="G278" s="244">
        <f t="shared" ref="G278:Q278" si="97">G40</f>
        <v>2010</v>
      </c>
      <c r="H278" s="244">
        <f t="shared" si="97"/>
        <v>2011</v>
      </c>
      <c r="I278" s="244">
        <f t="shared" si="97"/>
        <v>2012</v>
      </c>
      <c r="J278" s="244">
        <f t="shared" si="97"/>
        <v>2013</v>
      </c>
      <c r="K278" s="244">
        <f t="shared" si="97"/>
        <v>2014</v>
      </c>
      <c r="L278" s="244">
        <f t="shared" si="97"/>
        <v>2015</v>
      </c>
      <c r="M278" s="244">
        <f t="shared" si="97"/>
        <v>2016</v>
      </c>
      <c r="N278" s="244">
        <f t="shared" si="97"/>
        <v>2017</v>
      </c>
      <c r="O278" s="244">
        <f t="shared" si="97"/>
        <v>2018</v>
      </c>
      <c r="P278" s="244">
        <f t="shared" si="97"/>
        <v>2019</v>
      </c>
      <c r="Q278" s="244">
        <f t="shared" si="97"/>
        <v>2020</v>
      </c>
      <c r="R278" s="36"/>
      <c r="S278" s="36"/>
      <c r="T278" s="36"/>
      <c r="U278" s="36"/>
      <c r="V278" s="36"/>
      <c r="W278" s="36"/>
      <c r="X278" s="36"/>
      <c r="Y278" s="8"/>
      <c r="Z278" s="8"/>
      <c r="AA278" s="42"/>
      <c r="AB278" s="9"/>
      <c r="AC278" s="9"/>
      <c r="AD278" s="9"/>
      <c r="AE278" s="201"/>
      <c r="AF278" s="201"/>
      <c r="AG278" s="201"/>
      <c r="AH278" s="201"/>
      <c r="AI278" s="201"/>
      <c r="AJ278" s="201"/>
      <c r="AK278" s="201"/>
      <c r="AL278" s="201"/>
      <c r="AM278" s="201"/>
      <c r="AN278" s="201"/>
      <c r="AO278" s="201"/>
      <c r="AP278" s="201"/>
      <c r="AQ278" s="201"/>
      <c r="AR278" s="201"/>
      <c r="AS278" s="201"/>
      <c r="AT278" s="201"/>
      <c r="AU278" s="201"/>
    </row>
    <row r="279" spans="1:47" hidden="1" outlineLevel="1">
      <c r="A279" s="12"/>
      <c r="B279" s="12"/>
      <c r="C279" s="12"/>
      <c r="D279" s="12"/>
      <c r="E279" s="12"/>
      <c r="F279" s="177" t="str">
        <f>Asset1</f>
        <v>Subtransmission</v>
      </c>
      <c r="G279" s="179">
        <f>(G177-G211-G245)/H$314</f>
        <v>25.126956947635545</v>
      </c>
      <c r="H279" s="178">
        <f t="shared" ref="H279:L279" si="98">(H177-H211-H245)/I$314</f>
        <v>21.618758808313785</v>
      </c>
      <c r="I279" s="178">
        <f t="shared" si="98"/>
        <v>41.415329827529128</v>
      </c>
      <c r="J279" s="178">
        <f t="shared" si="98"/>
        <v>58.784441654482563</v>
      </c>
      <c r="K279" s="178">
        <f t="shared" si="98"/>
        <v>56.921645754623455</v>
      </c>
      <c r="L279" s="178">
        <f t="shared" si="98"/>
        <v>55.457351495318512</v>
      </c>
      <c r="M279" s="178">
        <f t="shared" ref="M279:Q288" si="99">(M177-M211)/N$314</f>
        <v>0</v>
      </c>
      <c r="N279" s="178">
        <f t="shared" si="99"/>
        <v>0</v>
      </c>
      <c r="O279" s="178">
        <f t="shared" si="99"/>
        <v>0</v>
      </c>
      <c r="P279" s="178">
        <f t="shared" si="99"/>
        <v>0</v>
      </c>
      <c r="Q279" s="178">
        <f t="shared" si="99"/>
        <v>0</v>
      </c>
      <c r="R279" s="36"/>
      <c r="S279" s="36"/>
      <c r="T279" s="36"/>
      <c r="U279" s="36"/>
      <c r="V279" s="36"/>
      <c r="W279" s="36"/>
      <c r="X279" s="36"/>
      <c r="Y279" s="8"/>
      <c r="Z279" s="8"/>
      <c r="AA279" s="42"/>
      <c r="AB279" s="9"/>
      <c r="AC279" s="9"/>
      <c r="AD279" s="9"/>
      <c r="AE279" s="201"/>
      <c r="AF279" s="201"/>
      <c r="AG279" s="201"/>
      <c r="AH279" s="201"/>
      <c r="AI279" s="201"/>
      <c r="AJ279" s="201"/>
      <c r="AK279" s="201"/>
      <c r="AL279" s="201"/>
      <c r="AM279" s="201"/>
      <c r="AN279" s="201"/>
      <c r="AO279" s="201"/>
      <c r="AP279" s="201"/>
      <c r="AQ279" s="201"/>
      <c r="AR279" s="201"/>
      <c r="AS279" s="201"/>
      <c r="AT279" s="201"/>
      <c r="AU279" s="201"/>
    </row>
    <row r="280" spans="1:47" hidden="1" outlineLevel="1">
      <c r="A280" s="12"/>
      <c r="B280" s="12"/>
      <c r="C280" s="12"/>
      <c r="D280" s="12"/>
      <c r="E280" s="12"/>
      <c r="F280" s="177" t="str">
        <f>Asset2</f>
        <v>Distribution system assets</v>
      </c>
      <c r="G280" s="180">
        <f t="shared" ref="G280:L280" si="100">(G178-G212-G246)/H$314</f>
        <v>171.28113622238632</v>
      </c>
      <c r="H280" s="96">
        <f t="shared" si="100"/>
        <v>179.59802700128603</v>
      </c>
      <c r="I280" s="96">
        <f t="shared" si="100"/>
        <v>192.05522880291321</v>
      </c>
      <c r="J280" s="96">
        <f t="shared" si="100"/>
        <v>222.41888547240089</v>
      </c>
      <c r="K280" s="96">
        <f t="shared" si="100"/>
        <v>254.14503827795434</v>
      </c>
      <c r="L280" s="96">
        <f t="shared" si="100"/>
        <v>231.13698357950713</v>
      </c>
      <c r="M280" s="96">
        <f t="shared" si="99"/>
        <v>0</v>
      </c>
      <c r="N280" s="96">
        <f t="shared" si="99"/>
        <v>0</v>
      </c>
      <c r="O280" s="96">
        <f t="shared" si="99"/>
        <v>0</v>
      </c>
      <c r="P280" s="96">
        <f t="shared" si="99"/>
        <v>0</v>
      </c>
      <c r="Q280" s="96">
        <f t="shared" si="99"/>
        <v>0</v>
      </c>
      <c r="R280" s="36"/>
      <c r="S280" s="36"/>
      <c r="T280" s="36"/>
      <c r="U280" s="36"/>
      <c r="V280" s="36"/>
      <c r="W280" s="36"/>
      <c r="X280" s="36"/>
      <c r="Y280" s="8"/>
      <c r="Z280" s="8"/>
      <c r="AA280" s="42"/>
      <c r="AB280" s="9"/>
      <c r="AC280" s="9"/>
      <c r="AD280" s="9"/>
      <c r="AE280" s="201"/>
      <c r="AF280" s="201"/>
      <c r="AG280" s="201"/>
      <c r="AH280" s="201"/>
      <c r="AI280" s="201"/>
      <c r="AJ280" s="201"/>
      <c r="AK280" s="201"/>
      <c r="AL280" s="201"/>
      <c r="AM280" s="201"/>
      <c r="AN280" s="201"/>
      <c r="AO280" s="201"/>
      <c r="AP280" s="201"/>
      <c r="AQ280" s="201"/>
      <c r="AR280" s="201"/>
      <c r="AS280" s="201"/>
      <c r="AT280" s="201"/>
      <c r="AU280" s="201"/>
    </row>
    <row r="281" spans="1:47" hidden="1" outlineLevel="1">
      <c r="A281" s="12"/>
      <c r="B281" s="12"/>
      <c r="C281" s="12"/>
      <c r="D281" s="12"/>
      <c r="E281" s="12"/>
      <c r="F281" s="177" t="str">
        <f>Asset3</f>
        <v>Standard metering</v>
      </c>
      <c r="G281" s="180">
        <f t="shared" ref="G281:L281" si="101">(G179-G213-G247)/H$314</f>
        <v>0</v>
      </c>
      <c r="H281" s="96">
        <f t="shared" si="101"/>
        <v>0</v>
      </c>
      <c r="I281" s="96">
        <f t="shared" si="101"/>
        <v>0</v>
      </c>
      <c r="J281" s="96">
        <f t="shared" si="101"/>
        <v>0</v>
      </c>
      <c r="K281" s="96">
        <f t="shared" si="101"/>
        <v>0</v>
      </c>
      <c r="L281" s="96">
        <f t="shared" si="101"/>
        <v>0</v>
      </c>
      <c r="M281" s="96">
        <f t="shared" si="99"/>
        <v>0</v>
      </c>
      <c r="N281" s="96">
        <f t="shared" si="99"/>
        <v>0</v>
      </c>
      <c r="O281" s="96">
        <f t="shared" si="99"/>
        <v>0</v>
      </c>
      <c r="P281" s="96">
        <f t="shared" si="99"/>
        <v>0</v>
      </c>
      <c r="Q281" s="96">
        <f t="shared" si="99"/>
        <v>0</v>
      </c>
      <c r="R281" s="36"/>
      <c r="S281" s="36"/>
      <c r="T281" s="36"/>
      <c r="U281" s="36"/>
      <c r="V281" s="36"/>
      <c r="W281" s="36"/>
      <c r="X281" s="36"/>
      <c r="Y281" s="8"/>
      <c r="Z281" s="8"/>
      <c r="AA281" s="42"/>
      <c r="AB281" s="9"/>
      <c r="AC281" s="9"/>
      <c r="AD281" s="9"/>
      <c r="AE281" s="201"/>
      <c r="AF281" s="201"/>
      <c r="AG281" s="201"/>
      <c r="AH281" s="201"/>
      <c r="AI281" s="201"/>
      <c r="AJ281" s="201"/>
      <c r="AK281" s="201"/>
      <c r="AL281" s="201"/>
      <c r="AM281" s="201"/>
      <c r="AN281" s="201"/>
      <c r="AO281" s="201"/>
      <c r="AP281" s="201"/>
      <c r="AQ281" s="201"/>
      <c r="AR281" s="201"/>
      <c r="AS281" s="201"/>
      <c r="AT281" s="201"/>
      <c r="AU281" s="201"/>
    </row>
    <row r="282" spans="1:47" hidden="1" outlineLevel="1">
      <c r="A282" s="12"/>
      <c r="B282" s="12"/>
      <c r="C282" s="12"/>
      <c r="D282" s="12"/>
      <c r="E282" s="12"/>
      <c r="F282" s="177" t="str">
        <f>Asset4</f>
        <v>Public lighting</v>
      </c>
      <c r="G282" s="180">
        <f t="shared" ref="G282:L282" si="102">(G180-G214-G248)/H$314</f>
        <v>0</v>
      </c>
      <c r="H282" s="96">
        <f t="shared" si="102"/>
        <v>0</v>
      </c>
      <c r="I282" s="96">
        <f t="shared" si="102"/>
        <v>0</v>
      </c>
      <c r="J282" s="96">
        <f t="shared" si="102"/>
        <v>0</v>
      </c>
      <c r="K282" s="96">
        <f t="shared" si="102"/>
        <v>0</v>
      </c>
      <c r="L282" s="96">
        <f t="shared" si="102"/>
        <v>0</v>
      </c>
      <c r="M282" s="96">
        <f t="shared" si="99"/>
        <v>0</v>
      </c>
      <c r="N282" s="96">
        <f t="shared" si="99"/>
        <v>0</v>
      </c>
      <c r="O282" s="96">
        <f t="shared" si="99"/>
        <v>0</v>
      </c>
      <c r="P282" s="96">
        <f t="shared" si="99"/>
        <v>0</v>
      </c>
      <c r="Q282" s="96">
        <f t="shared" si="99"/>
        <v>0</v>
      </c>
      <c r="R282" s="36"/>
      <c r="S282" s="36"/>
      <c r="T282" s="36"/>
      <c r="U282" s="36"/>
      <c r="V282" s="36"/>
      <c r="W282" s="36"/>
      <c r="X282" s="36"/>
      <c r="Y282" s="8"/>
      <c r="Z282" s="8"/>
      <c r="AA282" s="42"/>
      <c r="AB282" s="9"/>
      <c r="AC282" s="9"/>
      <c r="AD282" s="9"/>
      <c r="AE282" s="201"/>
      <c r="AF282" s="201"/>
      <c r="AG282" s="201"/>
      <c r="AH282" s="201"/>
      <c r="AI282" s="201"/>
      <c r="AJ282" s="201"/>
      <c r="AK282" s="201"/>
      <c r="AL282" s="201"/>
      <c r="AM282" s="201"/>
      <c r="AN282" s="201"/>
      <c r="AO282" s="201"/>
      <c r="AP282" s="201"/>
      <c r="AQ282" s="201"/>
      <c r="AR282" s="201"/>
      <c r="AS282" s="201"/>
      <c r="AT282" s="201"/>
      <c r="AU282" s="201"/>
    </row>
    <row r="283" spans="1:47" hidden="1" outlineLevel="1">
      <c r="A283" s="12"/>
      <c r="B283" s="12"/>
      <c r="C283" s="12"/>
      <c r="D283" s="12"/>
      <c r="E283" s="12"/>
      <c r="F283" s="177" t="str">
        <f>Asset5</f>
        <v>SCADA/Network control</v>
      </c>
      <c r="G283" s="180">
        <f t="shared" ref="G283:L283" si="103">(G181-G215-G249)/H$314</f>
        <v>3.0959421498995483</v>
      </c>
      <c r="H283" s="96">
        <f t="shared" si="103"/>
        <v>1.234530573850507</v>
      </c>
      <c r="I283" s="96">
        <f t="shared" si="103"/>
        <v>5.5574968290616171</v>
      </c>
      <c r="J283" s="96">
        <f t="shared" si="103"/>
        <v>1.7736386403189979</v>
      </c>
      <c r="K283" s="96">
        <f t="shared" si="103"/>
        <v>0.66367770058824349</v>
      </c>
      <c r="L283" s="96">
        <f t="shared" si="103"/>
        <v>2.5682263049943446</v>
      </c>
      <c r="M283" s="96">
        <f t="shared" si="99"/>
        <v>0</v>
      </c>
      <c r="N283" s="96">
        <f t="shared" si="99"/>
        <v>0</v>
      </c>
      <c r="O283" s="96">
        <f t="shared" si="99"/>
        <v>0</v>
      </c>
      <c r="P283" s="96">
        <f t="shared" si="99"/>
        <v>0</v>
      </c>
      <c r="Q283" s="96">
        <f t="shared" si="99"/>
        <v>0</v>
      </c>
      <c r="R283" s="36"/>
      <c r="S283" s="36"/>
      <c r="T283" s="36"/>
      <c r="U283" s="36"/>
      <c r="V283" s="36"/>
      <c r="W283" s="36"/>
      <c r="X283" s="36"/>
      <c r="Y283" s="8"/>
      <c r="Z283" s="8"/>
      <c r="AA283" s="42"/>
      <c r="AB283" s="9"/>
      <c r="AC283" s="9"/>
      <c r="AD283" s="9"/>
      <c r="AE283" s="201"/>
      <c r="AF283" s="201"/>
      <c r="AG283" s="201"/>
      <c r="AH283" s="201"/>
      <c r="AI283" s="201"/>
      <c r="AJ283" s="201"/>
      <c r="AK283" s="201"/>
      <c r="AL283" s="201"/>
      <c r="AM283" s="201"/>
      <c r="AN283" s="201"/>
      <c r="AO283" s="201"/>
      <c r="AP283" s="201"/>
      <c r="AQ283" s="201"/>
      <c r="AR283" s="201"/>
      <c r="AS283" s="201"/>
      <c r="AT283" s="201"/>
      <c r="AU283" s="201"/>
    </row>
    <row r="284" spans="1:47" hidden="1" outlineLevel="1">
      <c r="A284" s="12"/>
      <c r="B284" s="12"/>
      <c r="C284" s="12"/>
      <c r="D284" s="12"/>
      <c r="E284" s="12"/>
      <c r="F284" s="177" t="str">
        <f>Asset6</f>
        <v>Non-network general assets - IT</v>
      </c>
      <c r="G284" s="180">
        <f t="shared" ref="G284:L284" si="104">(G182-G216-G250)/H$314</f>
        <v>35.090722072477305</v>
      </c>
      <c r="H284" s="96">
        <f t="shared" si="104"/>
        <v>45.354884071754668</v>
      </c>
      <c r="I284" s="96">
        <f t="shared" si="104"/>
        <v>42.776053834919516</v>
      </c>
      <c r="J284" s="96">
        <f t="shared" si="104"/>
        <v>46.259021947784689</v>
      </c>
      <c r="K284" s="96">
        <f t="shared" si="104"/>
        <v>29.784433489677799</v>
      </c>
      <c r="L284" s="96">
        <f t="shared" si="104"/>
        <v>17.169346852856155</v>
      </c>
      <c r="M284" s="96">
        <f t="shared" si="99"/>
        <v>0</v>
      </c>
      <c r="N284" s="96">
        <f t="shared" si="99"/>
        <v>0</v>
      </c>
      <c r="O284" s="96">
        <f t="shared" si="99"/>
        <v>0</v>
      </c>
      <c r="P284" s="96">
        <f t="shared" si="99"/>
        <v>0</v>
      </c>
      <c r="Q284" s="96">
        <f t="shared" si="99"/>
        <v>0</v>
      </c>
      <c r="R284" s="36"/>
      <c r="S284" s="36"/>
      <c r="T284" s="36"/>
      <c r="U284" s="36"/>
      <c r="V284" s="36"/>
      <c r="W284" s="36"/>
      <c r="X284" s="36"/>
      <c r="Y284" s="8"/>
      <c r="Z284" s="8"/>
      <c r="AA284" s="42"/>
      <c r="AB284" s="9"/>
      <c r="AC284" s="9"/>
      <c r="AD284" s="9"/>
      <c r="AE284" s="201"/>
      <c r="AF284" s="201"/>
      <c r="AG284" s="201"/>
      <c r="AH284" s="201"/>
      <c r="AI284" s="201"/>
      <c r="AJ284" s="201"/>
      <c r="AK284" s="201"/>
      <c r="AL284" s="201"/>
      <c r="AM284" s="201"/>
      <c r="AN284" s="201"/>
      <c r="AO284" s="201"/>
      <c r="AP284" s="201"/>
      <c r="AQ284" s="201"/>
      <c r="AR284" s="201"/>
      <c r="AS284" s="201"/>
      <c r="AT284" s="201"/>
      <c r="AU284" s="201"/>
    </row>
    <row r="285" spans="1:47" hidden="1" outlineLevel="1">
      <c r="A285" s="12"/>
      <c r="B285" s="12"/>
      <c r="C285" s="12"/>
      <c r="D285" s="12"/>
      <c r="E285" s="12"/>
      <c r="F285" s="177" t="str">
        <f>Asset7</f>
        <v>Non-network general assets - Other</v>
      </c>
      <c r="G285" s="180">
        <f t="shared" ref="G285:L285" si="105">(G183-G217-G251)/H$314</f>
        <v>3.3639845689372425</v>
      </c>
      <c r="H285" s="96">
        <f t="shared" si="105"/>
        <v>4.7806172417737107</v>
      </c>
      <c r="I285" s="96">
        <f t="shared" si="105"/>
        <v>3.4706282366843131</v>
      </c>
      <c r="J285" s="96">
        <f t="shared" si="105"/>
        <v>5.0598901897362136</v>
      </c>
      <c r="K285" s="96">
        <f t="shared" si="105"/>
        <v>3.979964237836632</v>
      </c>
      <c r="L285" s="96">
        <f t="shared" si="105"/>
        <v>2.1282647275763584</v>
      </c>
      <c r="M285" s="96">
        <f t="shared" si="99"/>
        <v>0</v>
      </c>
      <c r="N285" s="96">
        <f t="shared" si="99"/>
        <v>0</v>
      </c>
      <c r="O285" s="96">
        <f t="shared" si="99"/>
        <v>0</v>
      </c>
      <c r="P285" s="96">
        <f t="shared" si="99"/>
        <v>0</v>
      </c>
      <c r="Q285" s="96">
        <f t="shared" si="99"/>
        <v>0</v>
      </c>
      <c r="R285" s="36"/>
      <c r="S285" s="36"/>
      <c r="T285" s="36"/>
      <c r="U285" s="36"/>
      <c r="V285" s="36"/>
      <c r="W285" s="36"/>
      <c r="X285" s="36"/>
      <c r="Y285" s="8"/>
      <c r="Z285" s="8"/>
      <c r="AA285" s="42"/>
      <c r="AB285" s="9"/>
      <c r="AC285" s="9"/>
      <c r="AD285" s="9"/>
      <c r="AE285" s="201"/>
      <c r="AF285" s="201"/>
      <c r="AG285" s="201"/>
      <c r="AH285" s="201"/>
      <c r="AI285" s="201"/>
      <c r="AJ285" s="201"/>
      <c r="AK285" s="201"/>
      <c r="AL285" s="201"/>
      <c r="AM285" s="201"/>
      <c r="AN285" s="201"/>
      <c r="AO285" s="201"/>
      <c r="AP285" s="201"/>
      <c r="AQ285" s="201"/>
      <c r="AR285" s="201"/>
      <c r="AS285" s="201"/>
      <c r="AT285" s="201"/>
      <c r="AU285" s="201"/>
    </row>
    <row r="286" spans="1:47" hidden="1" outlineLevel="1">
      <c r="A286" s="12"/>
      <c r="B286" s="12"/>
      <c r="C286" s="12"/>
      <c r="D286" s="12"/>
      <c r="E286" s="12"/>
      <c r="F286" s="177" t="str">
        <f>Asset8</f>
        <v>Equity Raising Costs</v>
      </c>
      <c r="G286" s="180">
        <f t="shared" ref="G286:L286" si="106">(G184-G218-G252)/H$314</f>
        <v>0</v>
      </c>
      <c r="H286" s="96">
        <f t="shared" si="106"/>
        <v>1.4428919516944863</v>
      </c>
      <c r="I286" s="96">
        <f t="shared" si="106"/>
        <v>0</v>
      </c>
      <c r="J286" s="96">
        <f t="shared" si="106"/>
        <v>0</v>
      </c>
      <c r="K286" s="96">
        <f t="shared" si="106"/>
        <v>0</v>
      </c>
      <c r="L286" s="96">
        <f t="shared" si="106"/>
        <v>0</v>
      </c>
      <c r="M286" s="96">
        <f t="shared" si="99"/>
        <v>0</v>
      </c>
      <c r="N286" s="96">
        <f t="shared" si="99"/>
        <v>0</v>
      </c>
      <c r="O286" s="96">
        <f t="shared" si="99"/>
        <v>0</v>
      </c>
      <c r="P286" s="96">
        <f t="shared" si="99"/>
        <v>0</v>
      </c>
      <c r="Q286" s="96">
        <f t="shared" si="99"/>
        <v>0</v>
      </c>
      <c r="R286" s="36"/>
      <c r="S286" s="36"/>
      <c r="T286" s="36"/>
      <c r="U286" s="36"/>
      <c r="V286" s="36"/>
      <c r="W286" s="36"/>
      <c r="X286" s="36"/>
      <c r="Y286" s="8"/>
      <c r="Z286" s="8"/>
      <c r="AA286" s="42"/>
      <c r="AB286" s="9"/>
      <c r="AC286" s="9"/>
      <c r="AD286" s="9"/>
      <c r="AE286" s="201"/>
      <c r="AF286" s="201"/>
      <c r="AG286" s="201"/>
      <c r="AH286" s="201"/>
      <c r="AI286" s="201"/>
      <c r="AJ286" s="201"/>
      <c r="AK286" s="201"/>
      <c r="AL286" s="201"/>
      <c r="AM286" s="201"/>
      <c r="AN286" s="201"/>
      <c r="AO286" s="201"/>
      <c r="AP286" s="201"/>
      <c r="AQ286" s="201"/>
      <c r="AR286" s="201"/>
      <c r="AS286" s="201"/>
      <c r="AT286" s="201"/>
      <c r="AU286" s="201"/>
    </row>
    <row r="287" spans="1:47" hidden="1" outlineLevel="1">
      <c r="A287" s="12"/>
      <c r="B287" s="12"/>
      <c r="C287" s="12"/>
      <c r="D287" s="12"/>
      <c r="E287" s="12"/>
      <c r="F287" s="177">
        <f>Asset9</f>
        <v>0</v>
      </c>
      <c r="G287" s="180">
        <f t="shared" ref="G287:L296" si="107">(G185-G219)/H$314</f>
        <v>0</v>
      </c>
      <c r="H287" s="96">
        <f t="shared" si="107"/>
        <v>0</v>
      </c>
      <c r="I287" s="96">
        <f t="shared" si="107"/>
        <v>0</v>
      </c>
      <c r="J287" s="96">
        <f t="shared" si="107"/>
        <v>0</v>
      </c>
      <c r="K287" s="96">
        <f t="shared" si="107"/>
        <v>0</v>
      </c>
      <c r="L287" s="96">
        <f t="shared" si="107"/>
        <v>0</v>
      </c>
      <c r="M287" s="96">
        <f t="shared" si="99"/>
        <v>0</v>
      </c>
      <c r="N287" s="96">
        <f t="shared" si="99"/>
        <v>0</v>
      </c>
      <c r="O287" s="96">
        <f t="shared" si="99"/>
        <v>0</v>
      </c>
      <c r="P287" s="96">
        <f t="shared" si="99"/>
        <v>0</v>
      </c>
      <c r="Q287" s="96">
        <f t="shared" si="99"/>
        <v>0</v>
      </c>
      <c r="R287" s="36"/>
      <c r="S287" s="36"/>
      <c r="T287" s="36"/>
      <c r="U287" s="36"/>
      <c r="V287" s="36"/>
      <c r="W287" s="36"/>
      <c r="X287" s="36"/>
      <c r="Y287" s="8"/>
      <c r="Z287" s="8"/>
      <c r="AA287" s="42"/>
      <c r="AB287" s="9"/>
      <c r="AC287" s="9"/>
      <c r="AD287" s="9"/>
      <c r="AE287" s="201"/>
      <c r="AF287" s="201"/>
      <c r="AG287" s="201"/>
      <c r="AH287" s="201"/>
      <c r="AI287" s="201"/>
      <c r="AJ287" s="201"/>
      <c r="AK287" s="201"/>
      <c r="AL287" s="201"/>
      <c r="AM287" s="201"/>
      <c r="AN287" s="201"/>
      <c r="AO287" s="201"/>
      <c r="AP287" s="201"/>
      <c r="AQ287" s="201"/>
      <c r="AR287" s="201"/>
      <c r="AS287" s="201"/>
      <c r="AT287" s="201"/>
      <c r="AU287" s="201"/>
    </row>
    <row r="288" spans="1:47" hidden="1" outlineLevel="1">
      <c r="A288" s="12"/>
      <c r="B288" s="12"/>
      <c r="C288" s="12"/>
      <c r="D288" s="12"/>
      <c r="E288" s="12"/>
      <c r="F288" s="177">
        <f>Asset10</f>
        <v>0</v>
      </c>
      <c r="G288" s="180">
        <f t="shared" si="107"/>
        <v>0</v>
      </c>
      <c r="H288" s="96">
        <f t="shared" si="107"/>
        <v>0</v>
      </c>
      <c r="I288" s="96">
        <f t="shared" si="107"/>
        <v>0</v>
      </c>
      <c r="J288" s="96">
        <f t="shared" si="107"/>
        <v>0</v>
      </c>
      <c r="K288" s="96">
        <f t="shared" si="107"/>
        <v>0</v>
      </c>
      <c r="L288" s="96">
        <f t="shared" si="107"/>
        <v>0</v>
      </c>
      <c r="M288" s="96">
        <f t="shared" si="99"/>
        <v>0</v>
      </c>
      <c r="N288" s="96">
        <f t="shared" si="99"/>
        <v>0</v>
      </c>
      <c r="O288" s="96">
        <f t="shared" si="99"/>
        <v>0</v>
      </c>
      <c r="P288" s="96">
        <f t="shared" si="99"/>
        <v>0</v>
      </c>
      <c r="Q288" s="96">
        <f t="shared" si="99"/>
        <v>0</v>
      </c>
      <c r="R288" s="36"/>
      <c r="S288" s="36"/>
      <c r="T288" s="36"/>
      <c r="U288" s="36"/>
      <c r="V288" s="36"/>
      <c r="W288" s="36"/>
      <c r="X288" s="36"/>
      <c r="Y288" s="8"/>
      <c r="Z288" s="8"/>
      <c r="AA288" s="42"/>
      <c r="AB288" s="9"/>
      <c r="AC288" s="9"/>
      <c r="AD288" s="9"/>
      <c r="AE288" s="201"/>
      <c r="AF288" s="201"/>
      <c r="AG288" s="201"/>
      <c r="AH288" s="201"/>
      <c r="AI288" s="201"/>
      <c r="AJ288" s="201"/>
      <c r="AK288" s="201"/>
      <c r="AL288" s="201"/>
      <c r="AM288" s="201"/>
      <c r="AN288" s="201"/>
      <c r="AO288" s="201"/>
      <c r="AP288" s="201"/>
      <c r="AQ288" s="201"/>
      <c r="AR288" s="201"/>
      <c r="AS288" s="201"/>
      <c r="AT288" s="201"/>
      <c r="AU288" s="201"/>
    </row>
    <row r="289" spans="1:47" hidden="1" outlineLevel="1">
      <c r="A289" s="12"/>
      <c r="B289" s="12"/>
      <c r="C289" s="12"/>
      <c r="D289" s="12"/>
      <c r="E289" s="12"/>
      <c r="F289" s="177">
        <f>Asset11</f>
        <v>0</v>
      </c>
      <c r="G289" s="180">
        <f t="shared" si="107"/>
        <v>0</v>
      </c>
      <c r="H289" s="96">
        <f t="shared" si="107"/>
        <v>0</v>
      </c>
      <c r="I289" s="96">
        <f t="shared" si="107"/>
        <v>0</v>
      </c>
      <c r="J289" s="96">
        <f t="shared" si="107"/>
        <v>0</v>
      </c>
      <c r="K289" s="96">
        <f t="shared" si="107"/>
        <v>0</v>
      </c>
      <c r="L289" s="96">
        <f t="shared" si="107"/>
        <v>0</v>
      </c>
      <c r="M289" s="96">
        <f t="shared" ref="M289:Q298" si="108">(M187-M221)/N$314</f>
        <v>0</v>
      </c>
      <c r="N289" s="96">
        <f t="shared" si="108"/>
        <v>0</v>
      </c>
      <c r="O289" s="96">
        <f t="shared" si="108"/>
        <v>0</v>
      </c>
      <c r="P289" s="96">
        <f t="shared" si="108"/>
        <v>0</v>
      </c>
      <c r="Q289" s="96">
        <f t="shared" si="108"/>
        <v>0</v>
      </c>
      <c r="R289" s="36"/>
      <c r="S289" s="36"/>
      <c r="T289" s="36"/>
      <c r="U289" s="36"/>
      <c r="V289" s="36"/>
      <c r="W289" s="36"/>
      <c r="X289" s="36"/>
      <c r="Y289" s="8"/>
      <c r="Z289" s="8"/>
      <c r="AA289" s="42"/>
      <c r="AB289" s="9"/>
      <c r="AC289" s="9"/>
      <c r="AD289" s="9"/>
      <c r="AE289" s="201"/>
      <c r="AF289" s="201"/>
      <c r="AG289" s="201"/>
      <c r="AH289" s="201"/>
      <c r="AI289" s="201"/>
      <c r="AJ289" s="201"/>
      <c r="AK289" s="201"/>
      <c r="AL289" s="201"/>
      <c r="AM289" s="201"/>
      <c r="AN289" s="201"/>
      <c r="AO289" s="201"/>
      <c r="AP289" s="201"/>
      <c r="AQ289" s="201"/>
      <c r="AR289" s="201"/>
      <c r="AS289" s="201"/>
      <c r="AT289" s="201"/>
      <c r="AU289" s="201"/>
    </row>
    <row r="290" spans="1:47" hidden="1" outlineLevel="1">
      <c r="A290" s="12"/>
      <c r="B290" s="12"/>
      <c r="C290" s="12"/>
      <c r="D290" s="12"/>
      <c r="E290" s="12"/>
      <c r="F290" s="177">
        <f>Asset12</f>
        <v>0</v>
      </c>
      <c r="G290" s="180">
        <f t="shared" si="107"/>
        <v>0</v>
      </c>
      <c r="H290" s="96">
        <f t="shared" si="107"/>
        <v>0</v>
      </c>
      <c r="I290" s="96">
        <f t="shared" si="107"/>
        <v>0</v>
      </c>
      <c r="J290" s="96">
        <f t="shared" si="107"/>
        <v>0</v>
      </c>
      <c r="K290" s="96">
        <f t="shared" si="107"/>
        <v>0</v>
      </c>
      <c r="L290" s="96">
        <f t="shared" si="107"/>
        <v>0</v>
      </c>
      <c r="M290" s="96">
        <f t="shared" si="108"/>
        <v>0</v>
      </c>
      <c r="N290" s="96">
        <f t="shared" si="108"/>
        <v>0</v>
      </c>
      <c r="O290" s="96">
        <f t="shared" si="108"/>
        <v>0</v>
      </c>
      <c r="P290" s="96">
        <f t="shared" si="108"/>
        <v>0</v>
      </c>
      <c r="Q290" s="96">
        <f t="shared" si="108"/>
        <v>0</v>
      </c>
      <c r="R290" s="36"/>
      <c r="S290" s="36"/>
      <c r="T290" s="36"/>
      <c r="U290" s="36"/>
      <c r="V290" s="36"/>
      <c r="W290" s="36"/>
      <c r="X290" s="36"/>
      <c r="Y290" s="8"/>
      <c r="Z290" s="8"/>
      <c r="AA290" s="42"/>
      <c r="AB290" s="9"/>
      <c r="AC290" s="9"/>
      <c r="AD290" s="9"/>
      <c r="AE290" s="201"/>
      <c r="AF290" s="201"/>
      <c r="AG290" s="201"/>
      <c r="AH290" s="201"/>
      <c r="AI290" s="201"/>
      <c r="AJ290" s="201"/>
      <c r="AK290" s="201"/>
      <c r="AL290" s="201"/>
      <c r="AM290" s="201"/>
      <c r="AN290" s="201"/>
      <c r="AO290" s="201"/>
      <c r="AP290" s="201"/>
      <c r="AQ290" s="201"/>
      <c r="AR290" s="201"/>
      <c r="AS290" s="201"/>
      <c r="AT290" s="201"/>
      <c r="AU290" s="201"/>
    </row>
    <row r="291" spans="1:47" hidden="1" outlineLevel="1">
      <c r="A291" s="12"/>
      <c r="B291" s="12"/>
      <c r="C291" s="12"/>
      <c r="D291" s="12"/>
      <c r="E291" s="12"/>
      <c r="F291" s="177">
        <f>Asset13</f>
        <v>0</v>
      </c>
      <c r="G291" s="180">
        <f t="shared" si="107"/>
        <v>0</v>
      </c>
      <c r="H291" s="96">
        <f t="shared" si="107"/>
        <v>0</v>
      </c>
      <c r="I291" s="96">
        <f t="shared" si="107"/>
        <v>0</v>
      </c>
      <c r="J291" s="96">
        <f t="shared" si="107"/>
        <v>0</v>
      </c>
      <c r="K291" s="96">
        <f t="shared" si="107"/>
        <v>0</v>
      </c>
      <c r="L291" s="96">
        <f t="shared" si="107"/>
        <v>0</v>
      </c>
      <c r="M291" s="96">
        <f t="shared" si="108"/>
        <v>0</v>
      </c>
      <c r="N291" s="96">
        <f t="shared" si="108"/>
        <v>0</v>
      </c>
      <c r="O291" s="96">
        <f t="shared" si="108"/>
        <v>0</v>
      </c>
      <c r="P291" s="96">
        <f t="shared" si="108"/>
        <v>0</v>
      </c>
      <c r="Q291" s="96">
        <f t="shared" si="108"/>
        <v>0</v>
      </c>
      <c r="R291" s="36"/>
      <c r="S291" s="36"/>
      <c r="T291" s="36"/>
      <c r="U291" s="36"/>
      <c r="V291" s="36"/>
      <c r="W291" s="36"/>
      <c r="X291" s="36"/>
      <c r="Y291" s="8"/>
      <c r="Z291" s="8"/>
      <c r="AA291" s="42"/>
      <c r="AB291" s="9"/>
      <c r="AC291" s="9"/>
      <c r="AD291" s="9"/>
      <c r="AE291" s="201"/>
      <c r="AF291" s="201"/>
      <c r="AG291" s="201"/>
      <c r="AH291" s="201"/>
      <c r="AI291" s="201"/>
      <c r="AJ291" s="201"/>
      <c r="AK291" s="201"/>
      <c r="AL291" s="201"/>
      <c r="AM291" s="201"/>
      <c r="AN291" s="201"/>
      <c r="AO291" s="201"/>
      <c r="AP291" s="201"/>
      <c r="AQ291" s="201"/>
      <c r="AR291" s="201"/>
      <c r="AS291" s="201"/>
      <c r="AT291" s="201"/>
      <c r="AU291" s="201"/>
    </row>
    <row r="292" spans="1:47" hidden="1" outlineLevel="1">
      <c r="A292" s="12"/>
      <c r="B292" s="12"/>
      <c r="C292" s="12"/>
      <c r="D292" s="12"/>
      <c r="E292" s="12"/>
      <c r="F292" s="177">
        <f>Asset14</f>
        <v>0</v>
      </c>
      <c r="G292" s="180">
        <f t="shared" si="107"/>
        <v>0</v>
      </c>
      <c r="H292" s="96">
        <f t="shared" si="107"/>
        <v>0</v>
      </c>
      <c r="I292" s="96">
        <f t="shared" si="107"/>
        <v>0</v>
      </c>
      <c r="J292" s="96">
        <f t="shared" si="107"/>
        <v>0</v>
      </c>
      <c r="K292" s="96">
        <f t="shared" si="107"/>
        <v>0</v>
      </c>
      <c r="L292" s="96">
        <f t="shared" si="107"/>
        <v>0</v>
      </c>
      <c r="M292" s="96">
        <f t="shared" si="108"/>
        <v>0</v>
      </c>
      <c r="N292" s="96">
        <f t="shared" si="108"/>
        <v>0</v>
      </c>
      <c r="O292" s="96">
        <f t="shared" si="108"/>
        <v>0</v>
      </c>
      <c r="P292" s="96">
        <f t="shared" si="108"/>
        <v>0</v>
      </c>
      <c r="Q292" s="96">
        <f t="shared" si="108"/>
        <v>0</v>
      </c>
      <c r="R292" s="36"/>
      <c r="S292" s="36"/>
      <c r="T292" s="36"/>
      <c r="U292" s="36"/>
      <c r="V292" s="36"/>
      <c r="W292" s="36"/>
      <c r="X292" s="36"/>
      <c r="Y292" s="8"/>
      <c r="Z292" s="8"/>
      <c r="AA292" s="42"/>
      <c r="AB292" s="9"/>
      <c r="AC292" s="9"/>
      <c r="AD292" s="9"/>
      <c r="AE292" s="201"/>
      <c r="AF292" s="201"/>
      <c r="AG292" s="201"/>
      <c r="AH292" s="201"/>
      <c r="AI292" s="201"/>
      <c r="AJ292" s="201"/>
      <c r="AK292" s="201"/>
      <c r="AL292" s="201"/>
      <c r="AM292" s="201"/>
      <c r="AN292" s="201"/>
      <c r="AO292" s="201"/>
      <c r="AP292" s="201"/>
      <c r="AQ292" s="201"/>
      <c r="AR292" s="201"/>
      <c r="AS292" s="201"/>
      <c r="AT292" s="201"/>
      <c r="AU292" s="201"/>
    </row>
    <row r="293" spans="1:47" hidden="1" outlineLevel="1">
      <c r="A293" s="12"/>
      <c r="B293" s="12"/>
      <c r="C293" s="12"/>
      <c r="D293" s="12"/>
      <c r="E293" s="12"/>
      <c r="F293" s="177">
        <f>Asset15</f>
        <v>0</v>
      </c>
      <c r="G293" s="180">
        <f t="shared" si="107"/>
        <v>0</v>
      </c>
      <c r="H293" s="96">
        <f t="shared" si="107"/>
        <v>0</v>
      </c>
      <c r="I293" s="96">
        <f t="shared" si="107"/>
        <v>0</v>
      </c>
      <c r="J293" s="96">
        <f t="shared" si="107"/>
        <v>0</v>
      </c>
      <c r="K293" s="96">
        <f t="shared" si="107"/>
        <v>0</v>
      </c>
      <c r="L293" s="96">
        <f t="shared" si="107"/>
        <v>0</v>
      </c>
      <c r="M293" s="96">
        <f t="shared" si="108"/>
        <v>0</v>
      </c>
      <c r="N293" s="96">
        <f t="shared" si="108"/>
        <v>0</v>
      </c>
      <c r="O293" s="96">
        <f t="shared" si="108"/>
        <v>0</v>
      </c>
      <c r="P293" s="96">
        <f t="shared" si="108"/>
        <v>0</v>
      </c>
      <c r="Q293" s="96">
        <f t="shared" si="108"/>
        <v>0</v>
      </c>
      <c r="R293" s="36"/>
      <c r="S293" s="36"/>
      <c r="T293" s="36"/>
      <c r="U293" s="36"/>
      <c r="V293" s="36"/>
      <c r="W293" s="36"/>
      <c r="X293" s="36"/>
      <c r="Y293" s="8"/>
      <c r="Z293" s="8"/>
      <c r="AA293" s="42"/>
      <c r="AB293" s="9"/>
      <c r="AC293" s="9"/>
      <c r="AD293" s="9"/>
      <c r="AE293" s="201"/>
      <c r="AF293" s="201"/>
      <c r="AG293" s="201"/>
      <c r="AH293" s="201"/>
      <c r="AI293" s="201"/>
      <c r="AJ293" s="201"/>
      <c r="AK293" s="201"/>
      <c r="AL293" s="201"/>
      <c r="AM293" s="201"/>
      <c r="AN293" s="201"/>
      <c r="AO293" s="201"/>
      <c r="AP293" s="201"/>
      <c r="AQ293" s="201"/>
      <c r="AR293" s="201"/>
      <c r="AS293" s="201"/>
      <c r="AT293" s="201"/>
      <c r="AU293" s="201"/>
    </row>
    <row r="294" spans="1:47" hidden="1" outlineLevel="1">
      <c r="A294" s="12"/>
      <c r="B294" s="12"/>
      <c r="C294" s="12"/>
      <c r="D294" s="12"/>
      <c r="E294" s="12"/>
      <c r="F294" s="177">
        <f>Asset16</f>
        <v>0</v>
      </c>
      <c r="G294" s="180">
        <f t="shared" si="107"/>
        <v>0</v>
      </c>
      <c r="H294" s="96">
        <f t="shared" si="107"/>
        <v>0</v>
      </c>
      <c r="I294" s="96">
        <f t="shared" si="107"/>
        <v>0</v>
      </c>
      <c r="J294" s="96">
        <f t="shared" si="107"/>
        <v>0</v>
      </c>
      <c r="K294" s="96">
        <f t="shared" si="107"/>
        <v>0</v>
      </c>
      <c r="L294" s="96">
        <f t="shared" si="107"/>
        <v>0</v>
      </c>
      <c r="M294" s="96">
        <f t="shared" si="108"/>
        <v>0</v>
      </c>
      <c r="N294" s="96">
        <f t="shared" si="108"/>
        <v>0</v>
      </c>
      <c r="O294" s="96">
        <f t="shared" si="108"/>
        <v>0</v>
      </c>
      <c r="P294" s="96">
        <f t="shared" si="108"/>
        <v>0</v>
      </c>
      <c r="Q294" s="96">
        <f t="shared" si="108"/>
        <v>0</v>
      </c>
      <c r="R294" s="36"/>
      <c r="S294" s="36"/>
      <c r="T294" s="36"/>
      <c r="U294" s="36"/>
      <c r="V294" s="36"/>
      <c r="W294" s="36"/>
      <c r="X294" s="36"/>
      <c r="Y294" s="8"/>
      <c r="Z294" s="8"/>
      <c r="AA294" s="42"/>
      <c r="AB294" s="9"/>
      <c r="AC294" s="9"/>
      <c r="AD294" s="9"/>
      <c r="AE294" s="201"/>
      <c r="AF294" s="201"/>
      <c r="AG294" s="201"/>
      <c r="AH294" s="201"/>
      <c r="AI294" s="201"/>
      <c r="AJ294" s="201"/>
      <c r="AK294" s="201"/>
      <c r="AL294" s="201"/>
      <c r="AM294" s="201"/>
      <c r="AN294" s="201"/>
      <c r="AO294" s="201"/>
      <c r="AP294" s="201"/>
      <c r="AQ294" s="201"/>
      <c r="AR294" s="201"/>
      <c r="AS294" s="201"/>
      <c r="AT294" s="201"/>
      <c r="AU294" s="201"/>
    </row>
    <row r="295" spans="1:47" hidden="1" outlineLevel="1">
      <c r="A295" s="12"/>
      <c r="B295" s="12"/>
      <c r="C295" s="12"/>
      <c r="D295" s="12"/>
      <c r="E295" s="12"/>
      <c r="F295" s="177">
        <f>Asset17</f>
        <v>0</v>
      </c>
      <c r="G295" s="180">
        <f t="shared" si="107"/>
        <v>0</v>
      </c>
      <c r="H295" s="96">
        <f t="shared" si="107"/>
        <v>0</v>
      </c>
      <c r="I295" s="96">
        <f t="shared" si="107"/>
        <v>0</v>
      </c>
      <c r="J295" s="96">
        <f t="shared" si="107"/>
        <v>0</v>
      </c>
      <c r="K295" s="96">
        <f t="shared" si="107"/>
        <v>0</v>
      </c>
      <c r="L295" s="96">
        <f t="shared" si="107"/>
        <v>0</v>
      </c>
      <c r="M295" s="96">
        <f t="shared" si="108"/>
        <v>0</v>
      </c>
      <c r="N295" s="96">
        <f t="shared" si="108"/>
        <v>0</v>
      </c>
      <c r="O295" s="96">
        <f t="shared" si="108"/>
        <v>0</v>
      </c>
      <c r="P295" s="96">
        <f t="shared" si="108"/>
        <v>0</v>
      </c>
      <c r="Q295" s="96">
        <f t="shared" si="108"/>
        <v>0</v>
      </c>
      <c r="R295" s="36"/>
      <c r="S295" s="36"/>
      <c r="T295" s="36"/>
      <c r="U295" s="36"/>
      <c r="V295" s="36"/>
      <c r="W295" s="36"/>
      <c r="X295" s="36"/>
      <c r="Y295" s="8"/>
      <c r="Z295" s="8"/>
      <c r="AA295" s="42"/>
      <c r="AB295" s="9"/>
      <c r="AC295" s="9"/>
      <c r="AD295" s="9"/>
      <c r="AE295" s="201"/>
      <c r="AF295" s="201"/>
      <c r="AG295" s="201"/>
      <c r="AH295" s="201"/>
      <c r="AI295" s="201"/>
      <c r="AJ295" s="201"/>
      <c r="AK295" s="201"/>
      <c r="AL295" s="201"/>
      <c r="AM295" s="201"/>
      <c r="AN295" s="201"/>
      <c r="AO295" s="201"/>
      <c r="AP295" s="201"/>
      <c r="AQ295" s="201"/>
      <c r="AR295" s="201"/>
      <c r="AS295" s="201"/>
      <c r="AT295" s="201"/>
      <c r="AU295" s="201"/>
    </row>
    <row r="296" spans="1:47" hidden="1" outlineLevel="1">
      <c r="A296" s="12"/>
      <c r="B296" s="12"/>
      <c r="C296" s="12"/>
      <c r="D296" s="12"/>
      <c r="E296" s="12"/>
      <c r="F296" s="177">
        <f>Asset18</f>
        <v>0</v>
      </c>
      <c r="G296" s="180">
        <f t="shared" si="107"/>
        <v>0</v>
      </c>
      <c r="H296" s="96">
        <f t="shared" si="107"/>
        <v>0</v>
      </c>
      <c r="I296" s="96">
        <f t="shared" si="107"/>
        <v>0</v>
      </c>
      <c r="J296" s="96">
        <f t="shared" si="107"/>
        <v>0</v>
      </c>
      <c r="K296" s="96">
        <f t="shared" si="107"/>
        <v>0</v>
      </c>
      <c r="L296" s="96">
        <f t="shared" si="107"/>
        <v>0</v>
      </c>
      <c r="M296" s="96">
        <f t="shared" si="108"/>
        <v>0</v>
      </c>
      <c r="N296" s="96">
        <f t="shared" si="108"/>
        <v>0</v>
      </c>
      <c r="O296" s="96">
        <f t="shared" si="108"/>
        <v>0</v>
      </c>
      <c r="P296" s="96">
        <f t="shared" si="108"/>
        <v>0</v>
      </c>
      <c r="Q296" s="96">
        <f t="shared" si="108"/>
        <v>0</v>
      </c>
      <c r="R296" s="36"/>
      <c r="S296" s="36"/>
      <c r="T296" s="36"/>
      <c r="U296" s="36"/>
      <c r="V296" s="36"/>
      <c r="W296" s="36"/>
      <c r="X296" s="36"/>
      <c r="Y296" s="8"/>
      <c r="Z296" s="8"/>
      <c r="AA296" s="42"/>
      <c r="AB296" s="9"/>
      <c r="AC296" s="9"/>
      <c r="AD296" s="9"/>
      <c r="AE296" s="201"/>
      <c r="AF296" s="201"/>
      <c r="AG296" s="201"/>
      <c r="AH296" s="201"/>
      <c r="AI296" s="201"/>
      <c r="AJ296" s="201"/>
      <c r="AK296" s="201"/>
      <c r="AL296" s="201"/>
      <c r="AM296" s="201"/>
      <c r="AN296" s="201"/>
      <c r="AO296" s="201"/>
      <c r="AP296" s="201"/>
      <c r="AQ296" s="201"/>
      <c r="AR296" s="201"/>
      <c r="AS296" s="201"/>
      <c r="AT296" s="201"/>
      <c r="AU296" s="201"/>
    </row>
    <row r="297" spans="1:47" hidden="1" outlineLevel="1">
      <c r="A297" s="12"/>
      <c r="B297" s="12"/>
      <c r="C297" s="12"/>
      <c r="D297" s="12"/>
      <c r="E297" s="12"/>
      <c r="F297" s="177">
        <f>Asset19</f>
        <v>0</v>
      </c>
      <c r="G297" s="180">
        <f t="shared" ref="G297:L306" si="109">(G195-G229)/H$314</f>
        <v>0</v>
      </c>
      <c r="H297" s="96">
        <f t="shared" si="109"/>
        <v>0</v>
      </c>
      <c r="I297" s="96">
        <f t="shared" si="109"/>
        <v>0</v>
      </c>
      <c r="J297" s="96">
        <f t="shared" si="109"/>
        <v>0</v>
      </c>
      <c r="K297" s="96">
        <f t="shared" si="109"/>
        <v>0</v>
      </c>
      <c r="L297" s="96">
        <f t="shared" si="109"/>
        <v>0</v>
      </c>
      <c r="M297" s="96">
        <f t="shared" si="108"/>
        <v>0</v>
      </c>
      <c r="N297" s="96">
        <f t="shared" si="108"/>
        <v>0</v>
      </c>
      <c r="O297" s="96">
        <f t="shared" si="108"/>
        <v>0</v>
      </c>
      <c r="P297" s="96">
        <f t="shared" si="108"/>
        <v>0</v>
      </c>
      <c r="Q297" s="96">
        <f t="shared" si="108"/>
        <v>0</v>
      </c>
      <c r="R297" s="36"/>
      <c r="S297" s="36"/>
      <c r="T297" s="36"/>
      <c r="U297" s="36"/>
      <c r="V297" s="36"/>
      <c r="W297" s="36"/>
      <c r="X297" s="36"/>
      <c r="Y297" s="8"/>
      <c r="Z297" s="8"/>
      <c r="AA297" s="42"/>
      <c r="AB297" s="9"/>
      <c r="AC297" s="9"/>
      <c r="AD297" s="9"/>
      <c r="AE297" s="201"/>
      <c r="AF297" s="201"/>
      <c r="AG297" s="201"/>
      <c r="AH297" s="201"/>
      <c r="AI297" s="201"/>
      <c r="AJ297" s="201"/>
      <c r="AK297" s="201"/>
      <c r="AL297" s="201"/>
      <c r="AM297" s="201"/>
      <c r="AN297" s="201"/>
      <c r="AO297" s="201"/>
      <c r="AP297" s="201"/>
      <c r="AQ297" s="201"/>
      <c r="AR297" s="201"/>
      <c r="AS297" s="201"/>
      <c r="AT297" s="201"/>
      <c r="AU297" s="201"/>
    </row>
    <row r="298" spans="1:47" hidden="1" outlineLevel="1">
      <c r="A298" s="12"/>
      <c r="B298" s="12"/>
      <c r="C298" s="12"/>
      <c r="D298" s="12"/>
      <c r="E298" s="12"/>
      <c r="F298" s="304">
        <f>Asset20</f>
        <v>0</v>
      </c>
      <c r="G298" s="305">
        <f t="shared" si="109"/>
        <v>0</v>
      </c>
      <c r="H298" s="96">
        <f t="shared" si="109"/>
        <v>0</v>
      </c>
      <c r="I298" s="96">
        <f t="shared" si="109"/>
        <v>0</v>
      </c>
      <c r="J298" s="96">
        <f t="shared" si="109"/>
        <v>0</v>
      </c>
      <c r="K298" s="96">
        <f t="shared" si="109"/>
        <v>0</v>
      </c>
      <c r="L298" s="96">
        <f t="shared" si="109"/>
        <v>0</v>
      </c>
      <c r="M298" s="96">
        <f t="shared" si="108"/>
        <v>0</v>
      </c>
      <c r="N298" s="96">
        <f t="shared" si="108"/>
        <v>0</v>
      </c>
      <c r="O298" s="96">
        <f t="shared" si="108"/>
        <v>0</v>
      </c>
      <c r="P298" s="96">
        <f t="shared" si="108"/>
        <v>0</v>
      </c>
      <c r="Q298" s="96">
        <f t="shared" si="108"/>
        <v>0</v>
      </c>
      <c r="R298" s="36"/>
      <c r="S298" s="36"/>
      <c r="T298" s="36"/>
      <c r="U298" s="36"/>
      <c r="V298" s="36"/>
      <c r="W298" s="36"/>
      <c r="X298" s="36"/>
      <c r="Y298" s="8"/>
      <c r="Z298" s="8"/>
      <c r="AA298" s="42"/>
      <c r="AB298" s="9"/>
      <c r="AC298" s="9"/>
      <c r="AD298" s="9"/>
      <c r="AE298" s="201"/>
      <c r="AF298" s="201"/>
      <c r="AG298" s="201"/>
      <c r="AH298" s="201"/>
      <c r="AI298" s="201"/>
      <c r="AJ298" s="201"/>
      <c r="AK298" s="201"/>
      <c r="AL298" s="201"/>
      <c r="AM298" s="201"/>
      <c r="AN298" s="201"/>
      <c r="AO298" s="201"/>
      <c r="AP298" s="201"/>
      <c r="AQ298" s="201"/>
      <c r="AR298" s="201"/>
      <c r="AS298" s="201"/>
      <c r="AT298" s="201"/>
      <c r="AU298" s="201"/>
    </row>
    <row r="299" spans="1:47" hidden="1" outlineLevel="1">
      <c r="A299" s="12"/>
      <c r="B299" s="12"/>
      <c r="C299" s="12"/>
      <c r="D299" s="12"/>
      <c r="E299" s="12"/>
      <c r="F299" s="304">
        <f>Asset21</f>
        <v>0</v>
      </c>
      <c r="G299" s="305">
        <f t="shared" si="109"/>
        <v>0</v>
      </c>
      <c r="H299" s="96">
        <f t="shared" si="109"/>
        <v>0</v>
      </c>
      <c r="I299" s="96">
        <f t="shared" si="109"/>
        <v>0</v>
      </c>
      <c r="J299" s="96">
        <f t="shared" si="109"/>
        <v>0</v>
      </c>
      <c r="K299" s="96">
        <f t="shared" si="109"/>
        <v>0</v>
      </c>
      <c r="L299" s="96">
        <f t="shared" si="109"/>
        <v>0</v>
      </c>
      <c r="M299" s="96">
        <f t="shared" ref="M299:Q308" si="110">(M197-M231)/N$314</f>
        <v>0</v>
      </c>
      <c r="N299" s="96">
        <f t="shared" si="110"/>
        <v>0</v>
      </c>
      <c r="O299" s="96">
        <f t="shared" si="110"/>
        <v>0</v>
      </c>
      <c r="P299" s="96">
        <f t="shared" si="110"/>
        <v>0</v>
      </c>
      <c r="Q299" s="96">
        <f t="shared" si="110"/>
        <v>0</v>
      </c>
      <c r="R299" s="36"/>
      <c r="S299" s="36"/>
      <c r="T299" s="36"/>
      <c r="U299" s="36"/>
      <c r="V299" s="36"/>
      <c r="W299" s="36"/>
      <c r="X299" s="36"/>
      <c r="Y299" s="8"/>
      <c r="Z299" s="8"/>
      <c r="AA299" s="42"/>
      <c r="AB299" s="9"/>
      <c r="AC299" s="9"/>
      <c r="AD299" s="9"/>
      <c r="AE299" s="201"/>
      <c r="AF299" s="201"/>
      <c r="AG299" s="201"/>
      <c r="AH299" s="201"/>
      <c r="AI299" s="201"/>
      <c r="AJ299" s="201"/>
      <c r="AK299" s="201"/>
      <c r="AL299" s="201"/>
      <c r="AM299" s="201"/>
      <c r="AN299" s="201"/>
      <c r="AO299" s="201"/>
      <c r="AP299" s="201"/>
      <c r="AQ299" s="201"/>
      <c r="AR299" s="201"/>
      <c r="AS299" s="201"/>
      <c r="AT299" s="201"/>
      <c r="AU299" s="201"/>
    </row>
    <row r="300" spans="1:47" hidden="1" outlineLevel="1">
      <c r="A300" s="12"/>
      <c r="B300" s="12"/>
      <c r="C300" s="12"/>
      <c r="D300" s="12"/>
      <c r="E300" s="12"/>
      <c r="F300" s="304">
        <f>Asset22</f>
        <v>0</v>
      </c>
      <c r="G300" s="305">
        <f t="shared" si="109"/>
        <v>0</v>
      </c>
      <c r="H300" s="96">
        <f t="shared" si="109"/>
        <v>0</v>
      </c>
      <c r="I300" s="96">
        <f t="shared" si="109"/>
        <v>0</v>
      </c>
      <c r="J300" s="96">
        <f t="shared" si="109"/>
        <v>0</v>
      </c>
      <c r="K300" s="96">
        <f t="shared" si="109"/>
        <v>0</v>
      </c>
      <c r="L300" s="96">
        <f t="shared" si="109"/>
        <v>0</v>
      </c>
      <c r="M300" s="96">
        <f t="shared" si="110"/>
        <v>0</v>
      </c>
      <c r="N300" s="96">
        <f t="shared" si="110"/>
        <v>0</v>
      </c>
      <c r="O300" s="96">
        <f t="shared" si="110"/>
        <v>0</v>
      </c>
      <c r="P300" s="96">
        <f t="shared" si="110"/>
        <v>0</v>
      </c>
      <c r="Q300" s="96">
        <f t="shared" si="110"/>
        <v>0</v>
      </c>
      <c r="R300" s="36"/>
      <c r="S300" s="36"/>
      <c r="T300" s="36"/>
      <c r="U300" s="36"/>
      <c r="V300" s="36"/>
      <c r="W300" s="36"/>
      <c r="X300" s="36"/>
      <c r="Y300" s="8"/>
      <c r="Z300" s="8"/>
      <c r="AA300" s="42"/>
      <c r="AB300" s="9"/>
      <c r="AC300" s="9"/>
      <c r="AD300" s="9"/>
      <c r="AE300" s="201"/>
      <c r="AF300" s="201"/>
      <c r="AG300" s="201"/>
      <c r="AH300" s="201"/>
      <c r="AI300" s="201"/>
      <c r="AJ300" s="201"/>
      <c r="AK300" s="201"/>
      <c r="AL300" s="201"/>
      <c r="AM300" s="201"/>
      <c r="AN300" s="201"/>
      <c r="AO300" s="201"/>
      <c r="AP300" s="201"/>
      <c r="AQ300" s="201"/>
      <c r="AR300" s="201"/>
      <c r="AS300" s="201"/>
      <c r="AT300" s="201"/>
      <c r="AU300" s="201"/>
    </row>
    <row r="301" spans="1:47" hidden="1" outlineLevel="1">
      <c r="A301" s="12"/>
      <c r="B301" s="12"/>
      <c r="C301" s="12"/>
      <c r="D301" s="12"/>
      <c r="E301" s="12"/>
      <c r="F301" s="304">
        <f>Asset23</f>
        <v>0</v>
      </c>
      <c r="G301" s="305">
        <f t="shared" si="109"/>
        <v>0</v>
      </c>
      <c r="H301" s="96">
        <f t="shared" si="109"/>
        <v>0</v>
      </c>
      <c r="I301" s="96">
        <f t="shared" si="109"/>
        <v>0</v>
      </c>
      <c r="J301" s="96">
        <f t="shared" si="109"/>
        <v>0</v>
      </c>
      <c r="K301" s="96">
        <f t="shared" si="109"/>
        <v>0</v>
      </c>
      <c r="L301" s="96">
        <f t="shared" si="109"/>
        <v>0</v>
      </c>
      <c r="M301" s="96">
        <f t="shared" si="110"/>
        <v>0</v>
      </c>
      <c r="N301" s="96">
        <f t="shared" si="110"/>
        <v>0</v>
      </c>
      <c r="O301" s="96">
        <f t="shared" si="110"/>
        <v>0</v>
      </c>
      <c r="P301" s="96">
        <f t="shared" si="110"/>
        <v>0</v>
      </c>
      <c r="Q301" s="96">
        <f t="shared" si="110"/>
        <v>0</v>
      </c>
      <c r="R301" s="36"/>
      <c r="S301" s="36"/>
      <c r="T301" s="36"/>
      <c r="U301" s="36"/>
      <c r="V301" s="36"/>
      <c r="W301" s="36"/>
      <c r="X301" s="36"/>
      <c r="Y301" s="8"/>
      <c r="Z301" s="8"/>
      <c r="AA301" s="42"/>
      <c r="AB301" s="9"/>
      <c r="AC301" s="9"/>
      <c r="AD301" s="9"/>
      <c r="AE301" s="201"/>
      <c r="AF301" s="201"/>
      <c r="AG301" s="201"/>
      <c r="AH301" s="201"/>
      <c r="AI301" s="201"/>
      <c r="AJ301" s="201"/>
      <c r="AK301" s="201"/>
      <c r="AL301" s="201"/>
      <c r="AM301" s="201"/>
      <c r="AN301" s="201"/>
      <c r="AO301" s="201"/>
      <c r="AP301" s="201"/>
      <c r="AQ301" s="201"/>
      <c r="AR301" s="201"/>
      <c r="AS301" s="201"/>
      <c r="AT301" s="201"/>
      <c r="AU301" s="201"/>
    </row>
    <row r="302" spans="1:47" hidden="1" outlineLevel="1">
      <c r="A302" s="12"/>
      <c r="B302" s="12"/>
      <c r="C302" s="12"/>
      <c r="D302" s="12"/>
      <c r="E302" s="12"/>
      <c r="F302" s="304">
        <f>Asset24</f>
        <v>0</v>
      </c>
      <c r="G302" s="305">
        <f t="shared" si="109"/>
        <v>0</v>
      </c>
      <c r="H302" s="96">
        <f t="shared" si="109"/>
        <v>0</v>
      </c>
      <c r="I302" s="96">
        <f t="shared" si="109"/>
        <v>0</v>
      </c>
      <c r="J302" s="96">
        <f t="shared" si="109"/>
        <v>0</v>
      </c>
      <c r="K302" s="96">
        <f t="shared" si="109"/>
        <v>0</v>
      </c>
      <c r="L302" s="96">
        <f t="shared" si="109"/>
        <v>0</v>
      </c>
      <c r="M302" s="96">
        <f t="shared" si="110"/>
        <v>0</v>
      </c>
      <c r="N302" s="96">
        <f t="shared" si="110"/>
        <v>0</v>
      </c>
      <c r="O302" s="96">
        <f t="shared" si="110"/>
        <v>0</v>
      </c>
      <c r="P302" s="96">
        <f t="shared" si="110"/>
        <v>0</v>
      </c>
      <c r="Q302" s="96">
        <f t="shared" si="110"/>
        <v>0</v>
      </c>
      <c r="R302" s="36"/>
      <c r="S302" s="36"/>
      <c r="T302" s="36"/>
      <c r="U302" s="36"/>
      <c r="V302" s="36"/>
      <c r="W302" s="36"/>
      <c r="X302" s="36"/>
      <c r="Y302" s="8"/>
      <c r="Z302" s="8"/>
      <c r="AA302" s="42"/>
      <c r="AB302" s="9"/>
      <c r="AC302" s="9"/>
      <c r="AD302" s="9"/>
      <c r="AE302" s="201"/>
      <c r="AF302" s="201"/>
      <c r="AG302" s="201"/>
      <c r="AH302" s="201"/>
      <c r="AI302" s="201"/>
      <c r="AJ302" s="201"/>
      <c r="AK302" s="201"/>
      <c r="AL302" s="201"/>
      <c r="AM302" s="201"/>
      <c r="AN302" s="201"/>
      <c r="AO302" s="201"/>
      <c r="AP302" s="201"/>
      <c r="AQ302" s="201"/>
      <c r="AR302" s="201"/>
      <c r="AS302" s="201"/>
      <c r="AT302" s="201"/>
      <c r="AU302" s="201"/>
    </row>
    <row r="303" spans="1:47" hidden="1" outlineLevel="1">
      <c r="A303" s="12"/>
      <c r="B303" s="12"/>
      <c r="C303" s="12"/>
      <c r="D303" s="12"/>
      <c r="E303" s="12"/>
      <c r="F303" s="304">
        <f>Asset25</f>
        <v>0</v>
      </c>
      <c r="G303" s="305">
        <f t="shared" si="109"/>
        <v>0</v>
      </c>
      <c r="H303" s="96">
        <f t="shared" si="109"/>
        <v>0</v>
      </c>
      <c r="I303" s="96">
        <f t="shared" si="109"/>
        <v>0</v>
      </c>
      <c r="J303" s="96">
        <f t="shared" si="109"/>
        <v>0</v>
      </c>
      <c r="K303" s="96">
        <f t="shared" si="109"/>
        <v>0</v>
      </c>
      <c r="L303" s="96">
        <f t="shared" si="109"/>
        <v>0</v>
      </c>
      <c r="M303" s="96">
        <f t="shared" si="110"/>
        <v>0</v>
      </c>
      <c r="N303" s="96">
        <f t="shared" si="110"/>
        <v>0</v>
      </c>
      <c r="O303" s="96">
        <f t="shared" si="110"/>
        <v>0</v>
      </c>
      <c r="P303" s="96">
        <f t="shared" si="110"/>
        <v>0</v>
      </c>
      <c r="Q303" s="96">
        <f t="shared" si="110"/>
        <v>0</v>
      </c>
      <c r="R303" s="36"/>
      <c r="S303" s="36"/>
      <c r="T303" s="36"/>
      <c r="U303" s="36"/>
      <c r="V303" s="36"/>
      <c r="W303" s="36"/>
      <c r="X303" s="36"/>
      <c r="Y303" s="8"/>
      <c r="Z303" s="8"/>
      <c r="AA303" s="42"/>
      <c r="AB303" s="9"/>
      <c r="AC303" s="9"/>
      <c r="AD303" s="9"/>
      <c r="AE303" s="201"/>
      <c r="AF303" s="201"/>
      <c r="AG303" s="201"/>
      <c r="AH303" s="201"/>
      <c r="AI303" s="201"/>
      <c r="AJ303" s="201"/>
      <c r="AK303" s="201"/>
      <c r="AL303" s="201"/>
      <c r="AM303" s="201"/>
      <c r="AN303" s="201"/>
      <c r="AO303" s="201"/>
      <c r="AP303" s="201"/>
      <c r="AQ303" s="201"/>
      <c r="AR303" s="201"/>
      <c r="AS303" s="201"/>
      <c r="AT303" s="201"/>
      <c r="AU303" s="201"/>
    </row>
    <row r="304" spans="1:47" hidden="1" outlineLevel="1">
      <c r="A304" s="12"/>
      <c r="B304" s="12"/>
      <c r="C304" s="12"/>
      <c r="D304" s="12"/>
      <c r="E304" s="12"/>
      <c r="F304" s="304">
        <f>Asset26</f>
        <v>0</v>
      </c>
      <c r="G304" s="305">
        <f t="shared" si="109"/>
        <v>0</v>
      </c>
      <c r="H304" s="96">
        <f t="shared" si="109"/>
        <v>0</v>
      </c>
      <c r="I304" s="96">
        <f t="shared" si="109"/>
        <v>0</v>
      </c>
      <c r="J304" s="96">
        <f t="shared" si="109"/>
        <v>0</v>
      </c>
      <c r="K304" s="96">
        <f t="shared" si="109"/>
        <v>0</v>
      </c>
      <c r="L304" s="96">
        <f t="shared" si="109"/>
        <v>0</v>
      </c>
      <c r="M304" s="96">
        <f t="shared" si="110"/>
        <v>0</v>
      </c>
      <c r="N304" s="96">
        <f t="shared" si="110"/>
        <v>0</v>
      </c>
      <c r="O304" s="96">
        <f t="shared" si="110"/>
        <v>0</v>
      </c>
      <c r="P304" s="96">
        <f t="shared" si="110"/>
        <v>0</v>
      </c>
      <c r="Q304" s="96">
        <f t="shared" si="110"/>
        <v>0</v>
      </c>
      <c r="R304" s="36"/>
      <c r="S304" s="36"/>
      <c r="T304" s="36"/>
      <c r="U304" s="36"/>
      <c r="V304" s="36"/>
      <c r="W304" s="36"/>
      <c r="X304" s="36"/>
      <c r="Y304" s="8"/>
      <c r="Z304" s="8"/>
      <c r="AA304" s="42"/>
      <c r="AB304" s="9"/>
      <c r="AC304" s="9"/>
      <c r="AD304" s="9"/>
      <c r="AE304" s="201"/>
      <c r="AF304" s="201"/>
      <c r="AG304" s="201"/>
      <c r="AH304" s="201"/>
      <c r="AI304" s="201"/>
      <c r="AJ304" s="201"/>
      <c r="AK304" s="201"/>
      <c r="AL304" s="201"/>
      <c r="AM304" s="201"/>
      <c r="AN304" s="201"/>
      <c r="AO304" s="201"/>
      <c r="AP304" s="201"/>
      <c r="AQ304" s="201"/>
      <c r="AR304" s="201"/>
      <c r="AS304" s="201"/>
      <c r="AT304" s="201"/>
      <c r="AU304" s="201"/>
    </row>
    <row r="305" spans="1:47" hidden="1" outlineLevel="1">
      <c r="A305" s="12"/>
      <c r="B305" s="12"/>
      <c r="C305" s="12"/>
      <c r="D305" s="12"/>
      <c r="E305" s="12"/>
      <c r="F305" s="304">
        <f>Asset27</f>
        <v>0</v>
      </c>
      <c r="G305" s="305">
        <f t="shared" si="109"/>
        <v>0</v>
      </c>
      <c r="H305" s="96">
        <f t="shared" si="109"/>
        <v>0</v>
      </c>
      <c r="I305" s="96">
        <f t="shared" si="109"/>
        <v>0</v>
      </c>
      <c r="J305" s="96">
        <f t="shared" si="109"/>
        <v>0</v>
      </c>
      <c r="K305" s="96">
        <f t="shared" si="109"/>
        <v>0</v>
      </c>
      <c r="L305" s="96">
        <f t="shared" si="109"/>
        <v>0</v>
      </c>
      <c r="M305" s="96">
        <f t="shared" si="110"/>
        <v>0</v>
      </c>
      <c r="N305" s="96">
        <f t="shared" si="110"/>
        <v>0</v>
      </c>
      <c r="O305" s="96">
        <f t="shared" si="110"/>
        <v>0</v>
      </c>
      <c r="P305" s="96">
        <f t="shared" si="110"/>
        <v>0</v>
      </c>
      <c r="Q305" s="96">
        <f t="shared" si="110"/>
        <v>0</v>
      </c>
      <c r="R305" s="36"/>
      <c r="S305" s="36"/>
      <c r="T305" s="36"/>
      <c r="U305" s="36"/>
      <c r="V305" s="36"/>
      <c r="W305" s="36"/>
      <c r="X305" s="36"/>
      <c r="Y305" s="8"/>
      <c r="Z305" s="8"/>
      <c r="AA305" s="42"/>
      <c r="AB305" s="9"/>
      <c r="AC305" s="9"/>
      <c r="AD305" s="9"/>
      <c r="AE305" s="201"/>
      <c r="AF305" s="201"/>
      <c r="AG305" s="201"/>
      <c r="AH305" s="201"/>
      <c r="AI305" s="201"/>
      <c r="AJ305" s="201"/>
      <c r="AK305" s="201"/>
      <c r="AL305" s="201"/>
      <c r="AM305" s="201"/>
      <c r="AN305" s="201"/>
      <c r="AO305" s="201"/>
      <c r="AP305" s="201"/>
      <c r="AQ305" s="201"/>
      <c r="AR305" s="201"/>
      <c r="AS305" s="201"/>
      <c r="AT305" s="201"/>
      <c r="AU305" s="201"/>
    </row>
    <row r="306" spans="1:47" hidden="1" outlineLevel="1">
      <c r="A306" s="12"/>
      <c r="B306" s="12"/>
      <c r="C306" s="12"/>
      <c r="D306" s="12"/>
      <c r="E306" s="12"/>
      <c r="F306" s="304">
        <f>Asset28</f>
        <v>0</v>
      </c>
      <c r="G306" s="305">
        <f t="shared" si="109"/>
        <v>0</v>
      </c>
      <c r="H306" s="96">
        <f t="shared" si="109"/>
        <v>0</v>
      </c>
      <c r="I306" s="96">
        <f t="shared" si="109"/>
        <v>0</v>
      </c>
      <c r="J306" s="96">
        <f t="shared" si="109"/>
        <v>0</v>
      </c>
      <c r="K306" s="96">
        <f t="shared" si="109"/>
        <v>0</v>
      </c>
      <c r="L306" s="96">
        <f t="shared" si="109"/>
        <v>0</v>
      </c>
      <c r="M306" s="96">
        <f t="shared" si="110"/>
        <v>0</v>
      </c>
      <c r="N306" s="96">
        <f t="shared" si="110"/>
        <v>0</v>
      </c>
      <c r="O306" s="96">
        <f t="shared" si="110"/>
        <v>0</v>
      </c>
      <c r="P306" s="96">
        <f t="shared" si="110"/>
        <v>0</v>
      </c>
      <c r="Q306" s="96">
        <f t="shared" si="110"/>
        <v>0</v>
      </c>
      <c r="R306" s="36"/>
      <c r="S306" s="36"/>
      <c r="T306" s="36"/>
      <c r="U306" s="36"/>
      <c r="V306" s="36"/>
      <c r="W306" s="36"/>
      <c r="X306" s="36"/>
      <c r="Y306" s="8"/>
      <c r="Z306" s="8"/>
      <c r="AA306" s="42"/>
      <c r="AB306" s="9"/>
      <c r="AC306" s="9"/>
      <c r="AD306" s="9"/>
      <c r="AE306" s="201"/>
      <c r="AF306" s="201"/>
      <c r="AG306" s="201"/>
      <c r="AH306" s="201"/>
      <c r="AI306" s="201"/>
      <c r="AJ306" s="201"/>
      <c r="AK306" s="201"/>
      <c r="AL306" s="201"/>
      <c r="AM306" s="201"/>
      <c r="AN306" s="201"/>
      <c r="AO306" s="201"/>
      <c r="AP306" s="201"/>
      <c r="AQ306" s="201"/>
      <c r="AR306" s="201"/>
      <c r="AS306" s="201"/>
      <c r="AT306" s="201"/>
      <c r="AU306" s="201"/>
    </row>
    <row r="307" spans="1:47" hidden="1" outlineLevel="1">
      <c r="A307" s="12"/>
      <c r="B307" s="12"/>
      <c r="C307" s="12"/>
      <c r="D307" s="12"/>
      <c r="E307" s="12"/>
      <c r="F307" s="304">
        <f>Asset29</f>
        <v>0</v>
      </c>
      <c r="G307" s="305">
        <f t="shared" ref="G307:L308" si="111">(G205-G239)/H$314</f>
        <v>0</v>
      </c>
      <c r="H307" s="96">
        <f t="shared" si="111"/>
        <v>0</v>
      </c>
      <c r="I307" s="96">
        <f t="shared" si="111"/>
        <v>0</v>
      </c>
      <c r="J307" s="96">
        <f t="shared" si="111"/>
        <v>0</v>
      </c>
      <c r="K307" s="96">
        <f t="shared" si="111"/>
        <v>0</v>
      </c>
      <c r="L307" s="96">
        <f t="shared" si="111"/>
        <v>0</v>
      </c>
      <c r="M307" s="96">
        <f t="shared" si="110"/>
        <v>0</v>
      </c>
      <c r="N307" s="96">
        <f t="shared" si="110"/>
        <v>0</v>
      </c>
      <c r="O307" s="96">
        <f t="shared" si="110"/>
        <v>0</v>
      </c>
      <c r="P307" s="96">
        <f t="shared" si="110"/>
        <v>0</v>
      </c>
      <c r="Q307" s="96">
        <f t="shared" si="110"/>
        <v>0</v>
      </c>
      <c r="R307" s="36"/>
      <c r="S307" s="36"/>
      <c r="T307" s="36"/>
      <c r="U307" s="36"/>
      <c r="V307" s="36"/>
      <c r="W307" s="36"/>
      <c r="X307" s="36"/>
      <c r="Y307" s="8"/>
      <c r="Z307" s="8"/>
      <c r="AA307" s="42"/>
      <c r="AB307" s="9"/>
      <c r="AC307" s="9"/>
      <c r="AD307" s="9"/>
      <c r="AE307" s="201"/>
      <c r="AF307" s="201"/>
      <c r="AG307" s="201"/>
      <c r="AH307" s="201"/>
      <c r="AI307" s="201"/>
      <c r="AJ307" s="201"/>
      <c r="AK307" s="201"/>
      <c r="AL307" s="201"/>
      <c r="AM307" s="201"/>
      <c r="AN307" s="201"/>
      <c r="AO307" s="201"/>
      <c r="AP307" s="201"/>
      <c r="AQ307" s="201"/>
      <c r="AR307" s="201"/>
      <c r="AS307" s="201"/>
      <c r="AT307" s="201"/>
      <c r="AU307" s="201"/>
    </row>
    <row r="308" spans="1:47" hidden="1" outlineLevel="1">
      <c r="A308" s="12"/>
      <c r="B308" s="12"/>
      <c r="C308" s="12"/>
      <c r="D308" s="12"/>
      <c r="E308" s="12"/>
      <c r="F308" s="304">
        <f>Asset30</f>
        <v>0</v>
      </c>
      <c r="G308" s="305">
        <f t="shared" si="111"/>
        <v>0</v>
      </c>
      <c r="H308" s="96">
        <f t="shared" si="111"/>
        <v>0</v>
      </c>
      <c r="I308" s="96">
        <f t="shared" si="111"/>
        <v>0</v>
      </c>
      <c r="J308" s="96">
        <f t="shared" si="111"/>
        <v>0</v>
      </c>
      <c r="K308" s="96">
        <f t="shared" si="111"/>
        <v>0</v>
      </c>
      <c r="L308" s="96">
        <f t="shared" si="111"/>
        <v>0</v>
      </c>
      <c r="M308" s="96">
        <f t="shared" si="110"/>
        <v>0</v>
      </c>
      <c r="N308" s="96">
        <f t="shared" si="110"/>
        <v>0</v>
      </c>
      <c r="O308" s="96">
        <f t="shared" si="110"/>
        <v>0</v>
      </c>
      <c r="P308" s="96">
        <f t="shared" si="110"/>
        <v>0</v>
      </c>
      <c r="Q308" s="96">
        <f t="shared" si="110"/>
        <v>0</v>
      </c>
      <c r="R308" s="36"/>
      <c r="S308" s="36"/>
      <c r="T308" s="36"/>
      <c r="U308" s="36"/>
      <c r="V308" s="36"/>
      <c r="W308" s="36"/>
      <c r="X308" s="36"/>
      <c r="Y308" s="8"/>
      <c r="Z308" s="8"/>
      <c r="AA308" s="42"/>
      <c r="AB308" s="9"/>
      <c r="AC308" s="9"/>
      <c r="AD308" s="9"/>
      <c r="AE308" s="201"/>
      <c r="AF308" s="201"/>
      <c r="AG308" s="201"/>
      <c r="AH308" s="201"/>
      <c r="AI308" s="201"/>
      <c r="AJ308" s="201"/>
      <c r="AK308" s="201"/>
      <c r="AL308" s="201"/>
      <c r="AM308" s="201"/>
      <c r="AN308" s="201"/>
      <c r="AO308" s="201"/>
      <c r="AP308" s="201"/>
      <c r="AQ308" s="201"/>
      <c r="AR308" s="201"/>
      <c r="AS308" s="201"/>
      <c r="AT308" s="201"/>
      <c r="AU308" s="201"/>
    </row>
    <row r="309" spans="1:47" collapsed="1">
      <c r="A309" s="12"/>
      <c r="B309" s="12"/>
      <c r="C309" s="12"/>
      <c r="D309" s="12"/>
      <c r="E309" s="12"/>
      <c r="F309" s="177" t="s">
        <v>2</v>
      </c>
      <c r="G309" s="309">
        <f>SUM(G279:G308)</f>
        <v>237.95874196133596</v>
      </c>
      <c r="H309" s="309">
        <f t="shared" ref="H309:Q309" si="112">SUM(H279:H308)</f>
        <v>254.02970964867319</v>
      </c>
      <c r="I309" s="309">
        <f t="shared" si="112"/>
        <v>285.2747375311078</v>
      </c>
      <c r="J309" s="309">
        <f t="shared" si="112"/>
        <v>334.29587790472334</v>
      </c>
      <c r="K309" s="309">
        <f t="shared" si="112"/>
        <v>345.49475946068043</v>
      </c>
      <c r="L309" s="309">
        <f t="shared" si="112"/>
        <v>308.46017296025258</v>
      </c>
      <c r="M309" s="309">
        <f t="shared" si="112"/>
        <v>0</v>
      </c>
      <c r="N309" s="309">
        <f t="shared" si="112"/>
        <v>0</v>
      </c>
      <c r="O309" s="309">
        <f t="shared" si="112"/>
        <v>0</v>
      </c>
      <c r="P309" s="309">
        <f t="shared" si="112"/>
        <v>0</v>
      </c>
      <c r="Q309" s="309">
        <f t="shared" si="112"/>
        <v>0</v>
      </c>
      <c r="R309" s="36"/>
      <c r="S309" s="36"/>
      <c r="T309" s="36"/>
      <c r="U309" s="36"/>
      <c r="V309" s="36"/>
      <c r="W309" s="36"/>
      <c r="X309" s="36"/>
      <c r="Y309" s="8"/>
      <c r="Z309" s="8"/>
      <c r="AA309" s="42"/>
      <c r="AB309" s="9"/>
      <c r="AC309" s="9"/>
      <c r="AD309" s="9"/>
      <c r="AE309" s="201"/>
      <c r="AF309" s="201"/>
      <c r="AG309" s="201"/>
      <c r="AH309" s="201"/>
      <c r="AI309" s="201"/>
      <c r="AJ309" s="201"/>
      <c r="AK309" s="201"/>
      <c r="AL309" s="201"/>
      <c r="AM309" s="201"/>
      <c r="AN309" s="201"/>
      <c r="AO309" s="201"/>
      <c r="AP309" s="201"/>
      <c r="AQ309" s="201"/>
      <c r="AR309" s="201"/>
      <c r="AS309" s="201"/>
      <c r="AT309" s="201"/>
      <c r="AU309" s="201"/>
    </row>
    <row r="310" spans="1:47" ht="21" customHeight="1">
      <c r="A310" s="12"/>
      <c r="B310" s="12"/>
      <c r="C310" s="12"/>
      <c r="D310" s="12"/>
      <c r="E310" s="12"/>
      <c r="F310" s="37"/>
      <c r="G310" s="37"/>
      <c r="H310" s="46"/>
      <c r="I310" s="46"/>
      <c r="J310" s="46"/>
      <c r="K310" s="46"/>
      <c r="L310" s="46"/>
      <c r="M310" s="46"/>
      <c r="N310" s="9"/>
      <c r="O310" s="9"/>
      <c r="P310" s="9"/>
      <c r="Q310" s="9"/>
      <c r="R310" s="245">
        <f>SUM(G309:Q309)</f>
        <v>1765.5139994667732</v>
      </c>
      <c r="S310" s="9"/>
      <c r="T310" s="9"/>
      <c r="U310" s="9"/>
      <c r="V310" s="9"/>
      <c r="W310" s="9"/>
      <c r="X310" s="9"/>
      <c r="Y310" s="9"/>
      <c r="Z310" s="9"/>
      <c r="AA310" s="8"/>
      <c r="AB310" s="42"/>
      <c r="AC310" s="9"/>
      <c r="AD310" s="9"/>
      <c r="AE310" s="201"/>
      <c r="AF310" s="201"/>
      <c r="AG310" s="201"/>
      <c r="AH310" s="201"/>
      <c r="AI310" s="201"/>
      <c r="AJ310" s="201"/>
      <c r="AK310" s="201"/>
      <c r="AL310" s="201"/>
      <c r="AM310" s="201"/>
      <c r="AN310" s="201"/>
      <c r="AO310" s="201"/>
      <c r="AP310" s="201"/>
      <c r="AQ310" s="201"/>
      <c r="AR310" s="201"/>
      <c r="AS310" s="201"/>
      <c r="AT310" s="201"/>
      <c r="AU310" s="201"/>
    </row>
    <row r="311" spans="1:47" ht="14.25" customHeight="1">
      <c r="A311" s="82"/>
      <c r="B311" s="82"/>
      <c r="C311" s="82"/>
      <c r="D311" s="82"/>
      <c r="E311" s="82"/>
      <c r="F311" s="529" t="s">
        <v>4</v>
      </c>
      <c r="G311" s="529"/>
      <c r="H311" s="101"/>
      <c r="I311" s="101"/>
      <c r="J311" s="83"/>
      <c r="K311" s="84"/>
      <c r="L311" s="84"/>
      <c r="M311" s="84"/>
      <c r="N311" s="84"/>
      <c r="O311" s="84"/>
      <c r="P311" s="84"/>
      <c r="Q311" s="84"/>
      <c r="R311" s="84"/>
      <c r="S311" s="84"/>
      <c r="T311" s="84"/>
      <c r="U311" s="84"/>
      <c r="V311" s="84"/>
      <c r="W311" s="84"/>
      <c r="X311" s="9"/>
      <c r="Y311" s="9"/>
      <c r="Z311" s="9"/>
      <c r="AA311" s="43"/>
      <c r="AB311" s="9"/>
      <c r="AC311" s="9"/>
      <c r="AD311" s="9"/>
      <c r="AE311" s="201"/>
      <c r="AF311" s="201"/>
      <c r="AG311" s="201"/>
      <c r="AH311" s="201"/>
      <c r="AI311" s="201"/>
      <c r="AJ311" s="201"/>
      <c r="AK311" s="201"/>
      <c r="AL311" s="201"/>
      <c r="AM311" s="201"/>
      <c r="AN311" s="201"/>
      <c r="AO311" s="201"/>
      <c r="AP311" s="201"/>
      <c r="AQ311" s="201"/>
      <c r="AR311" s="201"/>
      <c r="AS311" s="201"/>
      <c r="AT311" s="201"/>
      <c r="AU311" s="201"/>
    </row>
    <row r="312" spans="1:47" ht="14.25" customHeight="1">
      <c r="A312" s="12"/>
      <c r="B312" s="12"/>
      <c r="C312" s="12"/>
      <c r="D312" s="12"/>
      <c r="E312" s="12"/>
      <c r="F312" s="15"/>
      <c r="G312" s="147">
        <f>H312-1</f>
        <v>2009</v>
      </c>
      <c r="H312" s="147">
        <f t="shared" ref="H312:R312" si="113">G40</f>
        <v>2010</v>
      </c>
      <c r="I312" s="147">
        <f t="shared" si="113"/>
        <v>2011</v>
      </c>
      <c r="J312" s="147">
        <f t="shared" si="113"/>
        <v>2012</v>
      </c>
      <c r="K312" s="147">
        <f t="shared" si="113"/>
        <v>2013</v>
      </c>
      <c r="L312" s="147">
        <f t="shared" si="113"/>
        <v>2014</v>
      </c>
      <c r="M312" s="147">
        <f t="shared" si="113"/>
        <v>2015</v>
      </c>
      <c r="N312" s="147">
        <f t="shared" si="113"/>
        <v>2016</v>
      </c>
      <c r="O312" s="147">
        <f t="shared" si="113"/>
        <v>2017</v>
      </c>
      <c r="P312" s="147">
        <f t="shared" si="113"/>
        <v>2018</v>
      </c>
      <c r="Q312" s="147">
        <f t="shared" si="113"/>
        <v>2019</v>
      </c>
      <c r="R312" s="147">
        <f t="shared" si="113"/>
        <v>2020</v>
      </c>
      <c r="S312" s="13"/>
      <c r="T312" s="13"/>
      <c r="U312" s="13"/>
      <c r="V312" s="13"/>
      <c r="W312" s="13"/>
      <c r="X312" s="9"/>
      <c r="Y312" s="9"/>
      <c r="Z312" s="9"/>
      <c r="AA312" s="9"/>
      <c r="AB312" s="9"/>
      <c r="AC312" s="9"/>
      <c r="AD312" s="9"/>
      <c r="AE312" s="201"/>
      <c r="AF312" s="201"/>
      <c r="AG312" s="201"/>
      <c r="AH312" s="201"/>
      <c r="AI312" s="201"/>
      <c r="AJ312" s="201"/>
      <c r="AK312" s="201"/>
      <c r="AL312" s="201"/>
      <c r="AM312" s="201"/>
      <c r="AN312" s="201"/>
      <c r="AO312" s="201"/>
      <c r="AP312" s="201"/>
      <c r="AQ312" s="201"/>
      <c r="AR312" s="201"/>
      <c r="AS312" s="201"/>
      <c r="AT312" s="201"/>
      <c r="AU312" s="201"/>
    </row>
    <row r="313" spans="1:47" ht="12.75" customHeight="1">
      <c r="A313" s="12"/>
      <c r="B313" s="12"/>
      <c r="C313" s="12"/>
      <c r="D313" s="12"/>
      <c r="E313" s="12"/>
      <c r="F313" s="269" t="s">
        <v>11</v>
      </c>
      <c r="G313" s="520">
        <v>4.9810844892812067E-2</v>
      </c>
      <c r="H313" s="520">
        <v>1.2612612612612484E-2</v>
      </c>
      <c r="I313" s="520">
        <v>2.7876631079478242E-2</v>
      </c>
      <c r="J313" s="520">
        <v>3.5199076745527913E-2</v>
      </c>
      <c r="K313" s="520">
        <v>2.0040080160320661E-2</v>
      </c>
      <c r="L313" s="520">
        <v>2.16110019646365E-2</v>
      </c>
      <c r="M313" s="111">
        <v>2.3076923076923217E-2</v>
      </c>
      <c r="N313" s="225">
        <v>1.5037593984962294E-2</v>
      </c>
      <c r="O313" s="225">
        <v>2.1899999999999999E-2</v>
      </c>
      <c r="P313" s="225">
        <v>2.1899999999999999E-2</v>
      </c>
      <c r="Q313" s="225">
        <v>2.1899999999999999E-2</v>
      </c>
      <c r="R313" s="225">
        <v>2.1899999999999999E-2</v>
      </c>
      <c r="S313" s="14"/>
      <c r="T313" s="14"/>
      <c r="U313" s="14"/>
      <c r="V313" s="14"/>
      <c r="W313" s="14"/>
      <c r="X313" s="14"/>
      <c r="Y313" s="14"/>
      <c r="Z313" s="8"/>
      <c r="AA313" s="9"/>
      <c r="AB313" s="9"/>
      <c r="AC313" s="9"/>
      <c r="AD313" s="9"/>
      <c r="AE313" s="201"/>
      <c r="AF313" s="201"/>
      <c r="AG313" s="201"/>
      <c r="AH313" s="201"/>
      <c r="AI313" s="201"/>
      <c r="AJ313" s="201"/>
      <c r="AK313" s="201"/>
      <c r="AL313" s="201"/>
      <c r="AM313" s="201"/>
      <c r="AN313" s="201"/>
      <c r="AO313" s="201"/>
      <c r="AP313" s="201"/>
      <c r="AQ313" s="201"/>
      <c r="AR313" s="201"/>
      <c r="AS313" s="201"/>
      <c r="AT313" s="201"/>
      <c r="AU313" s="201"/>
    </row>
    <row r="314" spans="1:47" ht="13.5" customHeight="1">
      <c r="A314" s="12"/>
      <c r="B314" s="12"/>
      <c r="C314" s="12"/>
      <c r="D314" s="12"/>
      <c r="E314" s="12"/>
      <c r="F314" s="269" t="s">
        <v>51</v>
      </c>
      <c r="G314" s="97"/>
      <c r="H314" s="243">
        <v>1</v>
      </c>
      <c r="I314" s="523">
        <f>H314*(1+I313)</f>
        <v>1.0278766310794782</v>
      </c>
      <c r="J314" s="523">
        <f t="shared" ref="J314:R314" si="114">I314*(1+J313)</f>
        <v>1.0640569395017794</v>
      </c>
      <c r="K314" s="523">
        <f t="shared" si="114"/>
        <v>1.0853807258645405</v>
      </c>
      <c r="L314" s="523">
        <f t="shared" si="114"/>
        <v>1.1088368908635777</v>
      </c>
      <c r="M314" s="523">
        <f t="shared" si="114"/>
        <v>1.1344254344988911</v>
      </c>
      <c r="N314" s="523">
        <f t="shared" si="114"/>
        <v>1.1514844635890999</v>
      </c>
      <c r="O314" s="523">
        <f t="shared" si="114"/>
        <v>1.1767019733417012</v>
      </c>
      <c r="P314" s="523">
        <f t="shared" si="114"/>
        <v>1.2024717465578845</v>
      </c>
      <c r="Q314" s="523">
        <f t="shared" si="114"/>
        <v>1.2288058778075022</v>
      </c>
      <c r="R314" s="523">
        <f t="shared" si="114"/>
        <v>1.2557167265314866</v>
      </c>
      <c r="S314" s="524" t="s">
        <v>218</v>
      </c>
      <c r="T314" s="14"/>
      <c r="U314" s="14"/>
      <c r="V314" s="14"/>
      <c r="W314" s="14"/>
      <c r="X314" s="14"/>
      <c r="Y314" s="14"/>
      <c r="Z314" s="8"/>
      <c r="AA314" s="9"/>
      <c r="AB314" s="9"/>
      <c r="AC314" s="9"/>
      <c r="AD314" s="9"/>
      <c r="AE314" s="201"/>
      <c r="AF314" s="201"/>
      <c r="AG314" s="201"/>
      <c r="AH314" s="201"/>
      <c r="AI314" s="201"/>
      <c r="AJ314" s="201"/>
      <c r="AK314" s="201"/>
      <c r="AL314" s="201"/>
      <c r="AM314" s="201"/>
      <c r="AN314" s="201"/>
      <c r="AO314" s="201"/>
      <c r="AP314" s="201"/>
      <c r="AQ314" s="201"/>
      <c r="AR314" s="201"/>
      <c r="AS314" s="201"/>
      <c r="AT314" s="201"/>
      <c r="AU314" s="201"/>
    </row>
    <row r="315" spans="1:47" ht="13.5" customHeight="1">
      <c r="A315" s="12"/>
      <c r="B315" s="12"/>
      <c r="C315" s="12"/>
      <c r="D315" s="12"/>
      <c r="E315" s="12"/>
      <c r="F315" s="269" t="s">
        <v>15</v>
      </c>
      <c r="G315" s="521">
        <v>4.9810844892812067E-2</v>
      </c>
      <c r="H315" s="522">
        <v>1.2612612612612484E-2</v>
      </c>
      <c r="I315" s="420">
        <v>2.5748753401775293E-2</v>
      </c>
      <c r="J315" s="50">
        <f>I315</f>
        <v>2.5748753401775293E-2</v>
      </c>
      <c r="K315" s="50">
        <f t="shared" ref="K315:R315" si="115">J315</f>
        <v>2.5748753401775293E-2</v>
      </c>
      <c r="L315" s="50">
        <f t="shared" si="115"/>
        <v>2.5748753401775293E-2</v>
      </c>
      <c r="M315" s="50">
        <f t="shared" si="115"/>
        <v>2.5748753401775293E-2</v>
      </c>
      <c r="N315" s="50">
        <f t="shared" si="115"/>
        <v>2.5748753401775293E-2</v>
      </c>
      <c r="O315" s="50">
        <f t="shared" si="115"/>
        <v>2.5748753401775293E-2</v>
      </c>
      <c r="P315" s="50">
        <f t="shared" si="115"/>
        <v>2.5748753401775293E-2</v>
      </c>
      <c r="Q315" s="50">
        <f t="shared" si="115"/>
        <v>2.5748753401775293E-2</v>
      </c>
      <c r="R315" s="50">
        <f t="shared" si="115"/>
        <v>2.5748753401775293E-2</v>
      </c>
      <c r="S315" s="14"/>
      <c r="T315" s="14"/>
      <c r="U315" s="14"/>
      <c r="V315" s="14"/>
      <c r="W315" s="14"/>
      <c r="X315" s="14"/>
      <c r="Y315" s="14"/>
      <c r="Z315" s="8"/>
      <c r="AA315" s="9"/>
      <c r="AB315" s="9"/>
      <c r="AC315" s="9"/>
      <c r="AD315" s="9"/>
      <c r="AE315" s="201"/>
      <c r="AF315" s="201"/>
      <c r="AG315" s="201"/>
      <c r="AH315" s="201"/>
      <c r="AI315" s="201"/>
      <c r="AJ315" s="201"/>
      <c r="AK315" s="201"/>
      <c r="AL315" s="201"/>
      <c r="AM315" s="201"/>
      <c r="AN315" s="201"/>
      <c r="AO315" s="201"/>
      <c r="AP315" s="201"/>
      <c r="AQ315" s="201"/>
      <c r="AR315" s="201"/>
      <c r="AS315" s="201"/>
      <c r="AT315" s="201"/>
      <c r="AU315" s="201"/>
    </row>
    <row r="316" spans="1:47" ht="12.75" customHeight="1">
      <c r="A316" s="12"/>
      <c r="B316" s="12"/>
      <c r="C316" s="12"/>
      <c r="D316" s="12"/>
      <c r="E316" s="12"/>
      <c r="F316" s="269" t="s">
        <v>14</v>
      </c>
      <c r="G316" s="97"/>
      <c r="H316" s="243">
        <v>1</v>
      </c>
      <c r="I316" s="97">
        <f>H316*(1+I315)</f>
        <v>1.0257487534017753</v>
      </c>
      <c r="J316" s="97">
        <f t="shared" ref="J316:R316" si="116">I316*(1+J315)</f>
        <v>1.052160505105296</v>
      </c>
      <c r="K316" s="97">
        <f t="shared" si="116"/>
        <v>1.0792523264903395</v>
      </c>
      <c r="L316" s="97">
        <f t="shared" si="116"/>
        <v>1.1070417285034315</v>
      </c>
      <c r="M316" s="97">
        <f t="shared" si="116"/>
        <v>1.1355466729761414</v>
      </c>
      <c r="N316" s="97">
        <f t="shared" si="116"/>
        <v>1.1647855842348105</v>
      </c>
      <c r="O316" s="97">
        <f t="shared" si="116"/>
        <v>1.1947773610092154</v>
      </c>
      <c r="P316" s="97">
        <f t="shared" si="116"/>
        <v>1.2255413886478654</v>
      </c>
      <c r="Q316" s="97">
        <f t="shared" si="116"/>
        <v>1.2570975516478287</v>
      </c>
      <c r="R316" s="97">
        <f t="shared" si="116"/>
        <v>1.289466246507184</v>
      </c>
      <c r="S316" s="14"/>
      <c r="T316" s="14"/>
      <c r="U316" s="14"/>
      <c r="V316" s="14"/>
      <c r="W316" s="14"/>
      <c r="X316" s="14"/>
      <c r="Y316" s="14"/>
      <c r="Z316" s="8"/>
      <c r="AA316" s="9"/>
      <c r="AB316" s="9"/>
      <c r="AC316" s="9"/>
      <c r="AD316" s="9"/>
      <c r="AE316" s="201"/>
      <c r="AF316" s="201"/>
      <c r="AG316" s="201"/>
      <c r="AH316" s="201"/>
      <c r="AI316" s="201"/>
      <c r="AJ316" s="201"/>
      <c r="AK316" s="201"/>
      <c r="AL316" s="201"/>
      <c r="AM316" s="201"/>
      <c r="AN316" s="201"/>
      <c r="AO316" s="201"/>
      <c r="AP316" s="201"/>
      <c r="AQ316" s="201"/>
      <c r="AR316" s="201"/>
      <c r="AS316" s="201"/>
      <c r="AT316" s="201"/>
      <c r="AU316" s="201"/>
    </row>
    <row r="317" spans="1:47" ht="14.25" customHeight="1">
      <c r="A317" s="12"/>
      <c r="B317" s="12"/>
      <c r="C317" s="12"/>
      <c r="D317" s="12"/>
      <c r="E317" s="12"/>
      <c r="F317" s="145"/>
      <c r="G317" s="98"/>
      <c r="H317" s="98"/>
      <c r="I317" s="98"/>
      <c r="J317" s="98"/>
      <c r="K317" s="98"/>
      <c r="L317" s="98"/>
      <c r="M317" s="98"/>
      <c r="N317" s="9"/>
      <c r="O317" s="14"/>
      <c r="P317" s="14"/>
      <c r="Q317" s="14"/>
      <c r="R317" s="14"/>
      <c r="S317" s="14"/>
      <c r="T317" s="14"/>
      <c r="U317" s="14"/>
      <c r="V317" s="14"/>
      <c r="W317" s="14"/>
      <c r="X317" s="14"/>
      <c r="Y317" s="14"/>
      <c r="Z317" s="8"/>
      <c r="AA317" s="9"/>
      <c r="AB317" s="9"/>
      <c r="AC317" s="9"/>
      <c r="AD317" s="9"/>
      <c r="AE317" s="201"/>
      <c r="AF317" s="201"/>
      <c r="AG317" s="201"/>
      <c r="AH317" s="201"/>
      <c r="AI317" s="201"/>
      <c r="AJ317" s="201"/>
      <c r="AK317" s="201"/>
      <c r="AL317" s="201"/>
      <c r="AM317" s="201"/>
      <c r="AN317" s="201"/>
      <c r="AO317" s="201"/>
      <c r="AP317" s="201"/>
      <c r="AQ317" s="201"/>
      <c r="AR317" s="201"/>
      <c r="AS317" s="201"/>
      <c r="AT317" s="201"/>
      <c r="AU317" s="201"/>
    </row>
    <row r="318" spans="1:47">
      <c r="A318" s="12"/>
      <c r="B318" s="12"/>
      <c r="C318" s="12"/>
      <c r="D318" s="12"/>
      <c r="E318" s="12"/>
      <c r="F318" s="269" t="s">
        <v>13</v>
      </c>
      <c r="H318" s="526">
        <v>5.8999999999999997E-2</v>
      </c>
      <c r="I318" s="39">
        <v>6.9947357002023564E-2</v>
      </c>
      <c r="J318" s="39">
        <v>6.9947357002023564E-2</v>
      </c>
      <c r="K318" s="39">
        <v>6.9947357002023564E-2</v>
      </c>
      <c r="L318" s="39">
        <v>6.9947357002023564E-2</v>
      </c>
      <c r="M318" s="39">
        <v>6.9947357002023564E-2</v>
      </c>
      <c r="N318" s="39">
        <v>6.9947357002023564E-2</v>
      </c>
      <c r="O318" s="39">
        <v>6.9947357002023564E-2</v>
      </c>
      <c r="P318" s="39">
        <v>6.9947357002023564E-2</v>
      </c>
      <c r="Q318" s="39">
        <v>6.9947357002023564E-2</v>
      </c>
      <c r="R318" s="39">
        <v>6.9947357002023564E-2</v>
      </c>
      <c r="S318" s="9"/>
      <c r="T318" s="9"/>
      <c r="U318" s="9"/>
      <c r="V318" s="9"/>
      <c r="W318" s="9"/>
      <c r="X318" s="9"/>
      <c r="Y318" s="9"/>
      <c r="Z318" s="19"/>
      <c r="AA318" s="9"/>
      <c r="AB318" s="9"/>
      <c r="AC318" s="9"/>
      <c r="AD318" s="9"/>
      <c r="AE318" s="201"/>
      <c r="AF318" s="201"/>
      <c r="AG318" s="201"/>
      <c r="AH318" s="201"/>
      <c r="AI318" s="201"/>
      <c r="AJ318" s="201"/>
      <c r="AK318" s="201"/>
      <c r="AL318" s="201"/>
      <c r="AM318" s="201"/>
      <c r="AN318" s="201"/>
      <c r="AO318" s="201"/>
      <c r="AP318" s="201"/>
      <c r="AQ318" s="201"/>
      <c r="AR318" s="201"/>
      <c r="AS318" s="201"/>
      <c r="AT318" s="201"/>
      <c r="AU318" s="201"/>
    </row>
    <row r="319" spans="1:47" ht="12.75" customHeight="1">
      <c r="A319" s="12"/>
      <c r="B319" s="12"/>
      <c r="C319" s="12"/>
      <c r="D319" s="12"/>
      <c r="E319" s="12"/>
      <c r="F319" s="270" t="s">
        <v>89</v>
      </c>
      <c r="H319" s="512">
        <f>IF(H313=0,0,(1+H318)*(1+H313)-1)*0</f>
        <v>0</v>
      </c>
      <c r="I319" s="327">
        <f t="shared" ref="I319:R319" si="117">IF(I313=0,0,(1+I318)*(1+I313)-1)</f>
        <v>9.9773884747631714E-2</v>
      </c>
      <c r="J319" s="327">
        <f t="shared" si="117"/>
        <v>0.10760851613481237</v>
      </c>
      <c r="K319" s="327">
        <f t="shared" si="117"/>
        <v>9.1389187803667227E-2</v>
      </c>
      <c r="L319" s="327">
        <f t="shared" si="117"/>
        <v>9.3069991436251831E-2</v>
      </c>
      <c r="M319" s="327">
        <f t="shared" si="117"/>
        <v>9.4638449855916518E-2</v>
      </c>
      <c r="N319" s="327">
        <f t="shared" si="117"/>
        <v>8.6036790941903307E-2</v>
      </c>
      <c r="O319" s="327">
        <f t="shared" si="117"/>
        <v>9.337920412036782E-2</v>
      </c>
      <c r="P319" s="327">
        <f t="shared" si="117"/>
        <v>9.337920412036782E-2</v>
      </c>
      <c r="Q319" s="327">
        <f t="shared" si="117"/>
        <v>9.337920412036782E-2</v>
      </c>
      <c r="R319" s="327">
        <f t="shared" si="117"/>
        <v>9.337920412036782E-2</v>
      </c>
      <c r="S319" s="9"/>
      <c r="T319" s="9"/>
      <c r="U319" s="9"/>
      <c r="V319" s="9"/>
      <c r="W319" s="9"/>
      <c r="X319" s="9"/>
      <c r="Y319" s="9"/>
      <c r="Z319" s="19"/>
      <c r="AA319" s="9"/>
      <c r="AB319" s="9"/>
      <c r="AC319" s="9"/>
      <c r="AD319" s="9"/>
      <c r="AE319" s="201"/>
      <c r="AF319" s="201"/>
      <c r="AG319" s="201"/>
      <c r="AH319" s="201"/>
      <c r="AI319" s="201"/>
      <c r="AJ319" s="201"/>
      <c r="AK319" s="201"/>
      <c r="AL319" s="201"/>
      <c r="AM319" s="201"/>
      <c r="AN319" s="201"/>
      <c r="AO319" s="201"/>
      <c r="AP319" s="201"/>
      <c r="AQ319" s="201"/>
      <c r="AR319" s="201"/>
      <c r="AS319" s="201"/>
      <c r="AT319" s="201"/>
      <c r="AU319" s="201"/>
    </row>
    <row r="320" spans="1:47">
      <c r="A320" s="12"/>
      <c r="B320" s="12"/>
      <c r="C320" s="12"/>
      <c r="D320" s="12"/>
      <c r="E320" s="12"/>
      <c r="F320" s="100"/>
      <c r="G320" s="100"/>
      <c r="H320" s="146"/>
      <c r="I320" s="146"/>
      <c r="J320" s="146"/>
      <c r="K320" s="146"/>
      <c r="L320" s="146"/>
      <c r="M320" s="146"/>
      <c r="N320" s="12"/>
      <c r="O320" s="12"/>
      <c r="P320" s="12"/>
      <c r="Q320" s="12"/>
      <c r="R320" s="12"/>
      <c r="S320" s="12"/>
      <c r="T320" s="12"/>
      <c r="U320" s="12"/>
      <c r="V320" s="9"/>
      <c r="W320" s="9"/>
      <c r="X320" s="9"/>
      <c r="Y320" s="9"/>
      <c r="Z320" s="9"/>
      <c r="AA320" s="19"/>
      <c r="AB320" s="9"/>
      <c r="AC320" s="9"/>
      <c r="AD320" s="9"/>
      <c r="AE320" s="201"/>
      <c r="AF320" s="201"/>
      <c r="AG320" s="201"/>
      <c r="AH320" s="201"/>
      <c r="AI320" s="201"/>
      <c r="AJ320" s="201"/>
      <c r="AK320" s="201"/>
      <c r="AL320" s="201"/>
      <c r="AM320" s="201"/>
      <c r="AN320" s="201"/>
      <c r="AO320" s="201"/>
      <c r="AP320" s="201"/>
      <c r="AQ320" s="201"/>
      <c r="AR320" s="201"/>
      <c r="AS320" s="201"/>
      <c r="AT320" s="201"/>
      <c r="AU320" s="201"/>
    </row>
    <row r="321" spans="1:47" s="9" customFormat="1" ht="22.5" customHeight="1">
      <c r="A321" s="12"/>
      <c r="B321" s="12"/>
      <c r="C321" s="12"/>
      <c r="D321" s="12"/>
      <c r="E321" s="12"/>
      <c r="G321" s="21"/>
      <c r="H321" s="421"/>
      <c r="I321" s="21"/>
      <c r="J321" s="421"/>
      <c r="AA321" s="19"/>
      <c r="AE321" s="201"/>
      <c r="AF321" s="201"/>
      <c r="AG321" s="201"/>
      <c r="AH321" s="201"/>
      <c r="AI321" s="201"/>
      <c r="AJ321" s="201"/>
      <c r="AK321" s="201"/>
      <c r="AL321" s="201"/>
      <c r="AM321" s="201"/>
      <c r="AN321" s="201"/>
      <c r="AO321" s="201"/>
      <c r="AP321" s="201"/>
      <c r="AQ321" s="201"/>
      <c r="AR321" s="201"/>
      <c r="AS321" s="201"/>
      <c r="AT321" s="201"/>
      <c r="AU321" s="201"/>
    </row>
    <row r="322" spans="1:47">
      <c r="A322" s="12"/>
      <c r="B322" s="12"/>
      <c r="C322" s="12"/>
      <c r="D322" s="12"/>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c r="AE322" s="201"/>
      <c r="AF322" s="201"/>
      <c r="AG322" s="201"/>
      <c r="AH322" s="201"/>
      <c r="AI322" s="201"/>
      <c r="AJ322" s="201"/>
      <c r="AK322" s="201"/>
      <c r="AL322" s="201"/>
      <c r="AM322" s="201"/>
      <c r="AN322" s="201"/>
      <c r="AO322" s="201"/>
      <c r="AP322" s="201"/>
      <c r="AQ322" s="201"/>
      <c r="AR322" s="201"/>
      <c r="AS322" s="201"/>
      <c r="AT322" s="201"/>
      <c r="AU322" s="201"/>
    </row>
    <row r="323" spans="1:47">
      <c r="A323" s="12"/>
      <c r="B323" s="12"/>
      <c r="C323" s="12"/>
      <c r="D323" s="12"/>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c r="AE323" s="201"/>
      <c r="AF323" s="201"/>
      <c r="AG323" s="201"/>
      <c r="AH323" s="201"/>
      <c r="AI323" s="201"/>
      <c r="AJ323" s="201"/>
      <c r="AK323" s="201"/>
      <c r="AL323" s="201"/>
      <c r="AM323" s="201"/>
      <c r="AN323" s="201"/>
      <c r="AO323" s="201"/>
      <c r="AP323" s="201"/>
      <c r="AQ323" s="201"/>
      <c r="AR323" s="201"/>
      <c r="AS323" s="201"/>
      <c r="AT323" s="201"/>
      <c r="AU323" s="201"/>
    </row>
    <row r="324" spans="1:47">
      <c r="A324" s="12"/>
      <c r="B324" s="12"/>
      <c r="C324" s="12"/>
      <c r="D324" s="12"/>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c r="AE324" s="201"/>
      <c r="AF324" s="201"/>
      <c r="AG324" s="201"/>
      <c r="AH324" s="201"/>
      <c r="AI324" s="201"/>
      <c r="AJ324" s="201"/>
      <c r="AK324" s="201"/>
      <c r="AL324" s="201"/>
      <c r="AM324" s="201"/>
      <c r="AN324" s="201"/>
      <c r="AO324" s="201"/>
      <c r="AP324" s="201"/>
      <c r="AQ324" s="201"/>
      <c r="AR324" s="201"/>
      <c r="AS324" s="201"/>
      <c r="AT324" s="201"/>
      <c r="AU324" s="201"/>
    </row>
    <row r="325" spans="1:47">
      <c r="A325" s="12"/>
      <c r="B325" s="12"/>
      <c r="C325" s="12"/>
      <c r="D325" s="12"/>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c r="AE325" s="201"/>
      <c r="AF325" s="201"/>
      <c r="AG325" s="201"/>
      <c r="AH325" s="201"/>
      <c r="AI325" s="201"/>
      <c r="AJ325" s="201"/>
      <c r="AK325" s="201"/>
      <c r="AL325" s="201"/>
      <c r="AM325" s="201"/>
      <c r="AN325" s="201"/>
      <c r="AO325" s="201"/>
      <c r="AP325" s="201"/>
      <c r="AQ325" s="201"/>
      <c r="AR325" s="201"/>
      <c r="AS325" s="201"/>
      <c r="AT325" s="201"/>
      <c r="AU325" s="201"/>
    </row>
    <row r="326" spans="1:47">
      <c r="A326" s="12"/>
      <c r="B326" s="12"/>
      <c r="C326" s="12"/>
      <c r="D326" s="12"/>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c r="AE326" s="201"/>
      <c r="AF326" s="201"/>
      <c r="AG326" s="201"/>
      <c r="AH326" s="201"/>
      <c r="AI326" s="201"/>
      <c r="AJ326" s="201"/>
      <c r="AK326" s="201"/>
      <c r="AL326" s="201"/>
      <c r="AM326" s="201"/>
      <c r="AN326" s="201"/>
      <c r="AO326" s="201"/>
      <c r="AP326" s="201"/>
      <c r="AQ326" s="201"/>
      <c r="AR326" s="201"/>
      <c r="AS326" s="201"/>
      <c r="AT326" s="201"/>
      <c r="AU326" s="201"/>
    </row>
    <row r="327" spans="1:47">
      <c r="A327" s="12"/>
      <c r="B327" s="12"/>
      <c r="C327" s="12"/>
      <c r="D327" s="12"/>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c r="AE327" s="201"/>
      <c r="AF327" s="201"/>
      <c r="AG327" s="201"/>
      <c r="AH327" s="201"/>
      <c r="AI327" s="201"/>
      <c r="AJ327" s="201"/>
      <c r="AK327" s="201"/>
      <c r="AL327" s="201"/>
      <c r="AM327" s="201"/>
      <c r="AN327" s="201"/>
      <c r="AO327" s="201"/>
      <c r="AP327" s="201"/>
      <c r="AQ327" s="201"/>
      <c r="AR327" s="201"/>
      <c r="AS327" s="201"/>
      <c r="AT327" s="201"/>
      <c r="AU327" s="201"/>
    </row>
    <row r="328" spans="1:47">
      <c r="A328" s="12"/>
      <c r="B328" s="12"/>
      <c r="C328" s="12"/>
      <c r="D328" s="12"/>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c r="AE328" s="201"/>
      <c r="AF328" s="201"/>
      <c r="AG328" s="201"/>
      <c r="AH328" s="201"/>
      <c r="AI328" s="201"/>
      <c r="AJ328" s="201"/>
      <c r="AK328" s="201"/>
      <c r="AL328" s="201"/>
      <c r="AM328" s="201"/>
      <c r="AN328" s="201"/>
      <c r="AO328" s="201"/>
      <c r="AP328" s="201"/>
      <c r="AQ328" s="201"/>
      <c r="AR328" s="201"/>
      <c r="AS328" s="201"/>
      <c r="AT328" s="201"/>
      <c r="AU328" s="201"/>
    </row>
    <row r="329" spans="1:47">
      <c r="A329" s="12"/>
      <c r="B329" s="12"/>
      <c r="C329" s="12"/>
      <c r="D329" s="12"/>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c r="AE329" s="201"/>
      <c r="AF329" s="201"/>
      <c r="AG329" s="201"/>
      <c r="AH329" s="201"/>
      <c r="AI329" s="201"/>
      <c r="AJ329" s="201"/>
      <c r="AK329" s="201"/>
      <c r="AL329" s="201"/>
      <c r="AM329" s="201"/>
      <c r="AN329" s="201"/>
      <c r="AO329" s="201"/>
      <c r="AP329" s="201"/>
      <c r="AQ329" s="201"/>
      <c r="AR329" s="201"/>
      <c r="AS329" s="201"/>
      <c r="AT329" s="201"/>
      <c r="AU329" s="201"/>
    </row>
    <row r="330" spans="1:47">
      <c r="A330" s="12"/>
      <c r="B330" s="12"/>
      <c r="C330" s="12"/>
      <c r="D330" s="12"/>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c r="AE330" s="201"/>
      <c r="AF330" s="201"/>
      <c r="AG330" s="201"/>
      <c r="AH330" s="201"/>
      <c r="AI330" s="201"/>
      <c r="AJ330" s="201"/>
      <c r="AK330" s="201"/>
      <c r="AL330" s="201"/>
      <c r="AM330" s="201"/>
      <c r="AN330" s="201"/>
      <c r="AO330" s="201"/>
      <c r="AP330" s="201"/>
      <c r="AQ330" s="201"/>
      <c r="AR330" s="201"/>
      <c r="AS330" s="201"/>
      <c r="AT330" s="201"/>
      <c r="AU330" s="201"/>
    </row>
    <row r="331" spans="1:47">
      <c r="A331" s="12"/>
      <c r="B331" s="12"/>
      <c r="C331" s="12"/>
      <c r="D331" s="12"/>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c r="AE331" s="201"/>
      <c r="AF331" s="201"/>
      <c r="AG331" s="201"/>
      <c r="AH331" s="201"/>
      <c r="AI331" s="201"/>
      <c r="AJ331" s="201"/>
      <c r="AK331" s="201"/>
      <c r="AL331" s="201"/>
      <c r="AM331" s="201"/>
      <c r="AN331" s="201"/>
      <c r="AO331" s="201"/>
      <c r="AP331" s="201"/>
      <c r="AQ331" s="201"/>
      <c r="AR331" s="201"/>
      <c r="AS331" s="201"/>
      <c r="AT331" s="201"/>
      <c r="AU331" s="201"/>
    </row>
    <row r="332" spans="1:47">
      <c r="A332" s="12"/>
      <c r="B332" s="12"/>
      <c r="C332" s="12"/>
      <c r="D332" s="12"/>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c r="AE332" s="201"/>
      <c r="AF332" s="201"/>
      <c r="AG332" s="201"/>
      <c r="AH332" s="201"/>
      <c r="AI332" s="201"/>
      <c r="AJ332" s="201"/>
      <c r="AK332" s="201"/>
      <c r="AL332" s="201"/>
      <c r="AM332" s="201"/>
      <c r="AN332" s="201"/>
      <c r="AO332" s="201"/>
      <c r="AP332" s="201"/>
      <c r="AQ332" s="201"/>
      <c r="AR332" s="201"/>
      <c r="AS332" s="201"/>
      <c r="AT332" s="201"/>
      <c r="AU332" s="201"/>
    </row>
    <row r="333" spans="1:47">
      <c r="A333" s="12"/>
      <c r="B333" s="12"/>
      <c r="C333" s="12"/>
      <c r="D333" s="12"/>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c r="AE333" s="201"/>
      <c r="AF333" s="201"/>
      <c r="AG333" s="201"/>
      <c r="AH333" s="201"/>
      <c r="AI333" s="201"/>
      <c r="AJ333" s="201"/>
      <c r="AK333" s="201"/>
      <c r="AL333" s="201"/>
      <c r="AM333" s="201"/>
      <c r="AN333" s="201"/>
      <c r="AO333" s="201"/>
      <c r="AP333" s="201"/>
      <c r="AQ333" s="201"/>
      <c r="AR333" s="201"/>
      <c r="AS333" s="201"/>
      <c r="AT333" s="201"/>
      <c r="AU333" s="201"/>
    </row>
    <row r="334" spans="1:47">
      <c r="A334" s="12"/>
      <c r="B334" s="12"/>
      <c r="C334" s="12"/>
      <c r="D334" s="12"/>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c r="AE334" s="201"/>
      <c r="AF334" s="201"/>
      <c r="AG334" s="201"/>
      <c r="AH334" s="201"/>
      <c r="AI334" s="201"/>
      <c r="AJ334" s="201"/>
      <c r="AK334" s="201"/>
      <c r="AL334" s="201"/>
      <c r="AM334" s="201"/>
      <c r="AN334" s="201"/>
      <c r="AO334" s="201"/>
      <c r="AP334" s="201"/>
      <c r="AQ334" s="201"/>
      <c r="AR334" s="201"/>
      <c r="AS334" s="201"/>
      <c r="AT334" s="201"/>
      <c r="AU334" s="201"/>
    </row>
    <row r="335" spans="1:47">
      <c r="A335" s="12"/>
      <c r="B335" s="12"/>
      <c r="C335" s="12"/>
      <c r="D335" s="12"/>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c r="AE335" s="201"/>
      <c r="AF335" s="201"/>
      <c r="AG335" s="201"/>
      <c r="AH335" s="201"/>
      <c r="AI335" s="201"/>
      <c r="AJ335" s="201"/>
      <c r="AK335" s="201"/>
      <c r="AL335" s="201"/>
      <c r="AM335" s="201"/>
      <c r="AN335" s="201"/>
      <c r="AO335" s="201"/>
      <c r="AP335" s="201"/>
      <c r="AQ335" s="201"/>
      <c r="AR335" s="201"/>
      <c r="AS335" s="201"/>
      <c r="AT335" s="201"/>
      <c r="AU335" s="201"/>
    </row>
    <row r="336" spans="1:47">
      <c r="A336" s="12"/>
      <c r="B336" s="12"/>
      <c r="C336" s="12"/>
      <c r="D336" s="12"/>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c r="AE336" s="201"/>
      <c r="AF336" s="201"/>
      <c r="AG336" s="201"/>
      <c r="AH336" s="201"/>
      <c r="AI336" s="201"/>
      <c r="AJ336" s="201"/>
      <c r="AK336" s="201"/>
      <c r="AL336" s="201"/>
      <c r="AM336" s="201"/>
      <c r="AN336" s="201"/>
      <c r="AO336" s="201"/>
      <c r="AP336" s="201"/>
      <c r="AQ336" s="201"/>
      <c r="AR336" s="201"/>
      <c r="AS336" s="201"/>
      <c r="AT336" s="201"/>
      <c r="AU336" s="201"/>
    </row>
    <row r="337" spans="1:47">
      <c r="A337" s="12"/>
      <c r="B337" s="12"/>
      <c r="C337" s="12"/>
      <c r="D337" s="12"/>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c r="AE337" s="201"/>
      <c r="AF337" s="201"/>
      <c r="AG337" s="201"/>
      <c r="AH337" s="201"/>
      <c r="AI337" s="201"/>
      <c r="AJ337" s="201"/>
      <c r="AK337" s="201"/>
      <c r="AL337" s="201"/>
      <c r="AM337" s="201"/>
      <c r="AN337" s="201"/>
      <c r="AO337" s="201"/>
      <c r="AP337" s="201"/>
      <c r="AQ337" s="201"/>
      <c r="AR337" s="201"/>
      <c r="AS337" s="201"/>
      <c r="AT337" s="201"/>
      <c r="AU337" s="201"/>
    </row>
    <row r="338" spans="1:47">
      <c r="A338" s="12"/>
      <c r="B338" s="12"/>
      <c r="C338" s="12"/>
      <c r="D338" s="12"/>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c r="AE338" s="201"/>
      <c r="AF338" s="201"/>
      <c r="AG338" s="201"/>
      <c r="AH338" s="201"/>
      <c r="AI338" s="201"/>
      <c r="AJ338" s="201"/>
      <c r="AK338" s="201"/>
      <c r="AL338" s="201"/>
      <c r="AM338" s="201"/>
      <c r="AN338" s="201"/>
      <c r="AO338" s="201"/>
      <c r="AP338" s="201"/>
      <c r="AQ338" s="201"/>
      <c r="AR338" s="201"/>
      <c r="AS338" s="201"/>
      <c r="AT338" s="201"/>
      <c r="AU338" s="201"/>
    </row>
    <row r="339" spans="1:47">
      <c r="A339" s="12"/>
      <c r="B339" s="12"/>
      <c r="C339" s="12"/>
      <c r="D339" s="12"/>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c r="AE339" s="201"/>
      <c r="AF339" s="201"/>
      <c r="AG339" s="201"/>
      <c r="AH339" s="201"/>
      <c r="AI339" s="201"/>
      <c r="AJ339" s="201"/>
      <c r="AK339" s="201"/>
      <c r="AL339" s="201"/>
      <c r="AM339" s="201"/>
      <c r="AN339" s="201"/>
      <c r="AO339" s="201"/>
      <c r="AP339" s="201"/>
      <c r="AQ339" s="201"/>
      <c r="AR339" s="201"/>
      <c r="AS339" s="201"/>
      <c r="AT339" s="201"/>
      <c r="AU339" s="201"/>
    </row>
    <row r="340" spans="1:47">
      <c r="A340" s="12"/>
      <c r="B340" s="12"/>
      <c r="C340" s="12"/>
      <c r="D340" s="12"/>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47">
      <c r="A341" s="12"/>
      <c r="B341" s="12"/>
      <c r="C341" s="12"/>
      <c r="D341" s="12"/>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47">
      <c r="A342" s="12"/>
      <c r="B342" s="12"/>
      <c r="C342" s="12"/>
      <c r="D342" s="12"/>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47">
      <c r="A343" s="12"/>
      <c r="B343" s="12"/>
      <c r="C343" s="12"/>
      <c r="D343" s="12"/>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47">
      <c r="A344" s="12"/>
      <c r="B344" s="12"/>
      <c r="C344" s="12"/>
      <c r="D344" s="12"/>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47">
      <c r="A345" s="12"/>
      <c r="B345" s="12"/>
      <c r="C345" s="12"/>
      <c r="D345" s="12"/>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47">
      <c r="A346" s="12"/>
      <c r="B346" s="12"/>
      <c r="C346" s="12"/>
      <c r="D346" s="12"/>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47">
      <c r="A347" s="12"/>
      <c r="B347" s="12"/>
      <c r="C347" s="12"/>
      <c r="D347" s="12"/>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47">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47">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47">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47">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47">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row r="471" spans="1:30">
      <c r="A471" s="9"/>
      <c r="B471" s="9"/>
      <c r="C471" s="9"/>
      <c r="D471" s="9"/>
      <c r="E471" s="12"/>
      <c r="F471" s="9"/>
      <c r="G471" s="9"/>
      <c r="H471" s="18"/>
      <c r="I471" s="20"/>
      <c r="J471" s="9"/>
      <c r="K471" s="9"/>
      <c r="L471" s="9"/>
      <c r="M471" s="9"/>
      <c r="N471" s="9"/>
      <c r="O471" s="9"/>
      <c r="P471" s="9"/>
      <c r="Q471" s="9"/>
      <c r="R471" s="9"/>
      <c r="S471" s="9"/>
      <c r="T471" s="9"/>
      <c r="U471" s="9"/>
      <c r="V471" s="9"/>
      <c r="W471" s="9"/>
      <c r="X471" s="9"/>
      <c r="Y471" s="9"/>
      <c r="Z471" s="9"/>
      <c r="AA471" s="19"/>
      <c r="AB471" s="9"/>
      <c r="AC471" s="9"/>
      <c r="AD471" s="9"/>
    </row>
    <row r="472" spans="1:30">
      <c r="A472" s="9"/>
      <c r="B472" s="9"/>
      <c r="C472" s="9"/>
      <c r="D472" s="9"/>
      <c r="E472" s="12"/>
      <c r="F472" s="9"/>
      <c r="G472" s="9"/>
      <c r="H472" s="18"/>
      <c r="I472" s="20"/>
      <c r="J472" s="9"/>
      <c r="K472" s="9"/>
      <c r="L472" s="9"/>
      <c r="M472" s="9"/>
      <c r="N472" s="9"/>
      <c r="O472" s="9"/>
      <c r="P472" s="9"/>
      <c r="Q472" s="9"/>
      <c r="R472" s="9"/>
      <c r="S472" s="9"/>
      <c r="T472" s="9"/>
      <c r="U472" s="9"/>
      <c r="V472" s="9"/>
      <c r="W472" s="9"/>
      <c r="X472" s="9"/>
      <c r="Y472" s="9"/>
      <c r="Z472" s="9"/>
      <c r="AA472" s="19"/>
      <c r="AB472" s="9"/>
      <c r="AC472" s="9"/>
      <c r="AD472" s="9"/>
    </row>
    <row r="473" spans="1:30">
      <c r="A473" s="9"/>
      <c r="B473" s="9"/>
      <c r="C473" s="9"/>
      <c r="D473" s="9"/>
      <c r="E473" s="12"/>
      <c r="F473" s="9"/>
      <c r="G473" s="9"/>
      <c r="H473" s="18"/>
      <c r="I473" s="20"/>
      <c r="J473" s="9"/>
      <c r="K473" s="9"/>
      <c r="L473" s="9"/>
      <c r="M473" s="9"/>
      <c r="N473" s="9"/>
      <c r="O473" s="9"/>
      <c r="P473" s="9"/>
      <c r="Q473" s="9"/>
      <c r="R473" s="9"/>
      <c r="S473" s="9"/>
      <c r="T473" s="9"/>
      <c r="U473" s="9"/>
      <c r="V473" s="9"/>
      <c r="W473" s="9"/>
      <c r="X473" s="9"/>
      <c r="Y473" s="9"/>
      <c r="Z473" s="9"/>
      <c r="AA473" s="19"/>
      <c r="AB473" s="9"/>
      <c r="AC473" s="9"/>
      <c r="AD473" s="9"/>
    </row>
    <row r="474" spans="1:30">
      <c r="A474" s="9"/>
      <c r="B474" s="9"/>
      <c r="C474" s="9"/>
      <c r="D474" s="9"/>
      <c r="E474" s="12"/>
      <c r="F474" s="9"/>
      <c r="G474" s="9"/>
      <c r="H474" s="18"/>
      <c r="I474" s="20"/>
      <c r="J474" s="9"/>
      <c r="K474" s="9"/>
      <c r="L474" s="9"/>
      <c r="M474" s="9"/>
      <c r="N474" s="9"/>
      <c r="O474" s="9"/>
      <c r="P474" s="9"/>
      <c r="Q474" s="9"/>
      <c r="R474" s="9"/>
      <c r="S474" s="9"/>
      <c r="T474" s="9"/>
      <c r="U474" s="9"/>
      <c r="V474" s="9"/>
      <c r="W474" s="9"/>
      <c r="X474" s="9"/>
      <c r="Y474" s="9"/>
      <c r="Z474" s="9"/>
      <c r="AA474" s="19"/>
      <c r="AB474" s="9"/>
      <c r="AC474" s="9"/>
      <c r="AD474" s="9"/>
    </row>
    <row r="475" spans="1:30">
      <c r="A475" s="9"/>
      <c r="B475" s="9"/>
      <c r="C475" s="9"/>
      <c r="D475" s="9"/>
      <c r="E475" s="12"/>
      <c r="F475" s="9"/>
      <c r="G475" s="9"/>
      <c r="H475" s="18"/>
      <c r="I475" s="20"/>
      <c r="J475" s="9"/>
      <c r="K475" s="9"/>
      <c r="L475" s="9"/>
      <c r="M475" s="9"/>
      <c r="N475" s="9"/>
      <c r="O475" s="9"/>
      <c r="P475" s="9"/>
      <c r="Q475" s="9"/>
      <c r="R475" s="9"/>
      <c r="S475" s="9"/>
      <c r="T475" s="9"/>
      <c r="U475" s="9"/>
      <c r="V475" s="9"/>
      <c r="W475" s="9"/>
      <c r="X475" s="9"/>
      <c r="Y475" s="9"/>
      <c r="Z475" s="9"/>
      <c r="AA475" s="19"/>
      <c r="AB475" s="9"/>
      <c r="AC475" s="9"/>
      <c r="AD475" s="9"/>
    </row>
    <row r="476" spans="1:30">
      <c r="A476" s="9"/>
      <c r="B476" s="9"/>
      <c r="C476" s="9"/>
      <c r="D476" s="9"/>
      <c r="E476" s="12"/>
      <c r="F476" s="9"/>
      <c r="G476" s="9"/>
      <c r="H476" s="18"/>
      <c r="I476" s="20"/>
      <c r="J476" s="9"/>
      <c r="K476" s="9"/>
      <c r="L476" s="9"/>
      <c r="M476" s="9"/>
      <c r="N476" s="9"/>
      <c r="O476" s="9"/>
      <c r="P476" s="9"/>
      <c r="Q476" s="9"/>
      <c r="R476" s="9"/>
      <c r="S476" s="9"/>
      <c r="T476" s="9"/>
      <c r="U476" s="9"/>
      <c r="V476" s="9"/>
      <c r="W476" s="9"/>
      <c r="X476" s="9"/>
      <c r="Y476" s="9"/>
      <c r="Z476" s="9"/>
      <c r="AA476" s="19"/>
      <c r="AB476" s="9"/>
      <c r="AC476" s="9"/>
      <c r="AD476" s="9"/>
    </row>
    <row r="477" spans="1:30">
      <c r="A477" s="9"/>
      <c r="B477" s="9"/>
      <c r="C477" s="9"/>
      <c r="D477" s="9"/>
      <c r="E477" s="12"/>
      <c r="F477" s="9"/>
      <c r="G477" s="9"/>
      <c r="H477" s="18"/>
      <c r="I477" s="20"/>
      <c r="J477" s="9"/>
      <c r="K477" s="9"/>
      <c r="L477" s="9"/>
      <c r="M477" s="9"/>
      <c r="N477" s="9"/>
      <c r="O477" s="9"/>
      <c r="P477" s="9"/>
      <c r="Q477" s="9"/>
      <c r="R477" s="9"/>
      <c r="S477" s="9"/>
      <c r="T477" s="9"/>
      <c r="U477" s="9"/>
      <c r="V477" s="9"/>
      <c r="W477" s="9"/>
      <c r="X477" s="9"/>
      <c r="Y477" s="9"/>
      <c r="Z477" s="9"/>
      <c r="AA477" s="19"/>
      <c r="AB477" s="9"/>
      <c r="AC477" s="9"/>
      <c r="AD477" s="9"/>
    </row>
    <row r="478" spans="1:30">
      <c r="A478" s="9"/>
      <c r="B478" s="9"/>
      <c r="C478" s="9"/>
      <c r="D478" s="9"/>
      <c r="E478" s="12"/>
      <c r="F478" s="9"/>
      <c r="G478" s="9"/>
      <c r="H478" s="18"/>
      <c r="I478" s="20"/>
      <c r="J478" s="9"/>
      <c r="K478" s="9"/>
      <c r="L478" s="9"/>
      <c r="M478" s="9"/>
      <c r="N478" s="9"/>
      <c r="O478" s="9"/>
      <c r="P478" s="9"/>
      <c r="Q478" s="9"/>
      <c r="R478" s="9"/>
      <c r="S478" s="9"/>
      <c r="T478" s="9"/>
      <c r="U478" s="9"/>
      <c r="V478" s="9"/>
      <c r="W478" s="9"/>
      <c r="X478" s="9"/>
      <c r="Y478" s="9"/>
      <c r="Z478" s="9"/>
      <c r="AA478" s="19"/>
      <c r="AB478" s="9"/>
      <c r="AC478" s="9"/>
      <c r="AD478" s="9"/>
    </row>
    <row r="479" spans="1:30">
      <c r="A479" s="9"/>
      <c r="B479" s="9"/>
      <c r="C479" s="9"/>
      <c r="D479" s="9"/>
      <c r="E479" s="12"/>
      <c r="F479" s="9"/>
      <c r="G479" s="9"/>
      <c r="H479" s="18"/>
      <c r="I479" s="20"/>
      <c r="J479" s="9"/>
      <c r="K479" s="9"/>
      <c r="L479" s="9"/>
      <c r="M479" s="9"/>
      <c r="N479" s="9"/>
      <c r="O479" s="9"/>
      <c r="P479" s="9"/>
      <c r="Q479" s="9"/>
      <c r="R479" s="9"/>
      <c r="S479" s="9"/>
      <c r="T479" s="9"/>
      <c r="U479" s="9"/>
      <c r="V479" s="9"/>
      <c r="W479" s="9"/>
      <c r="X479" s="9"/>
      <c r="Y479" s="9"/>
      <c r="Z479" s="9"/>
      <c r="AA479" s="19"/>
      <c r="AB479" s="9"/>
      <c r="AC479" s="9"/>
      <c r="AD479" s="9"/>
    </row>
    <row r="480" spans="1:30">
      <c r="A480" s="9"/>
      <c r="B480" s="9"/>
      <c r="C480" s="9"/>
      <c r="D480" s="9"/>
      <c r="E480" s="12"/>
      <c r="F480" s="9"/>
      <c r="G480" s="9"/>
      <c r="H480" s="18"/>
      <c r="I480" s="20"/>
      <c r="J480" s="9"/>
      <c r="K480" s="9"/>
      <c r="L480" s="9"/>
      <c r="M480" s="9"/>
      <c r="N480" s="9"/>
      <c r="O480" s="9"/>
      <c r="P480" s="9"/>
      <c r="Q480" s="9"/>
      <c r="R480" s="9"/>
      <c r="S480" s="9"/>
      <c r="T480" s="9"/>
      <c r="U480" s="9"/>
      <c r="V480" s="9"/>
      <c r="W480" s="9"/>
      <c r="X480" s="9"/>
      <c r="Y480" s="9"/>
      <c r="Z480" s="9"/>
      <c r="AA480" s="19"/>
      <c r="AB480" s="9"/>
      <c r="AC480" s="9"/>
      <c r="AD480" s="9"/>
    </row>
    <row r="481" spans="1:30">
      <c r="A481" s="9"/>
      <c r="B481" s="9"/>
      <c r="C481" s="9"/>
      <c r="D481" s="9"/>
      <c r="E481" s="12"/>
      <c r="F481" s="9"/>
      <c r="G481" s="9"/>
      <c r="H481" s="18"/>
      <c r="I481" s="20"/>
      <c r="J481" s="9"/>
      <c r="K481" s="9"/>
      <c r="L481" s="9"/>
      <c r="M481" s="9"/>
      <c r="N481" s="9"/>
      <c r="O481" s="9"/>
      <c r="P481" s="9"/>
      <c r="Q481" s="9"/>
      <c r="R481" s="9"/>
      <c r="S481" s="9"/>
      <c r="T481" s="9"/>
      <c r="U481" s="9"/>
      <c r="V481" s="9"/>
      <c r="W481" s="9"/>
      <c r="X481" s="9"/>
      <c r="Y481" s="9"/>
      <c r="Z481" s="9"/>
      <c r="AA481" s="19"/>
      <c r="AB481" s="9"/>
      <c r="AC481" s="9"/>
      <c r="AD481" s="9"/>
    </row>
    <row r="482" spans="1:30">
      <c r="A482" s="9"/>
      <c r="B482" s="9"/>
      <c r="C482" s="9"/>
      <c r="D482" s="9"/>
      <c r="E482" s="12"/>
      <c r="F482" s="9"/>
      <c r="G482" s="9"/>
      <c r="H482" s="18"/>
      <c r="I482" s="20"/>
      <c r="J482" s="9"/>
      <c r="K482" s="9"/>
      <c r="L482" s="9"/>
      <c r="M482" s="9"/>
      <c r="N482" s="9"/>
      <c r="O482" s="9"/>
      <c r="P482" s="9"/>
      <c r="Q482" s="9"/>
      <c r="R482" s="9"/>
      <c r="S482" s="9"/>
      <c r="T482" s="9"/>
      <c r="U482" s="9"/>
      <c r="V482" s="9"/>
      <c r="W482" s="9"/>
      <c r="X482" s="9"/>
      <c r="Y482" s="9"/>
      <c r="Z482" s="9"/>
      <c r="AA482" s="19"/>
      <c r="AB482" s="9"/>
      <c r="AC482" s="9"/>
      <c r="AD482" s="9"/>
    </row>
    <row r="483" spans="1:30">
      <c r="A483" s="9"/>
      <c r="B483" s="9"/>
      <c r="C483" s="9"/>
      <c r="D483" s="9"/>
      <c r="E483" s="12"/>
      <c r="F483" s="9"/>
      <c r="G483" s="9"/>
      <c r="H483" s="18"/>
      <c r="I483" s="20"/>
      <c r="J483" s="9"/>
      <c r="K483" s="9"/>
      <c r="L483" s="9"/>
      <c r="M483" s="9"/>
      <c r="N483" s="9"/>
      <c r="O483" s="9"/>
      <c r="P483" s="9"/>
      <c r="Q483" s="9"/>
      <c r="R483" s="9"/>
      <c r="S483" s="9"/>
      <c r="T483" s="9"/>
      <c r="U483" s="9"/>
      <c r="V483" s="9"/>
      <c r="W483" s="9"/>
      <c r="X483" s="9"/>
      <c r="Y483" s="9"/>
      <c r="Z483" s="9"/>
      <c r="AA483" s="19"/>
      <c r="AB483" s="9"/>
      <c r="AC483" s="9"/>
      <c r="AD483" s="9"/>
    </row>
    <row r="484" spans="1:30">
      <c r="A484" s="9"/>
      <c r="B484" s="9"/>
      <c r="C484" s="9"/>
      <c r="D484" s="9"/>
      <c r="E484" s="12"/>
      <c r="F484" s="9"/>
      <c r="G484" s="9"/>
      <c r="H484" s="18"/>
      <c r="I484" s="20"/>
      <c r="J484" s="9"/>
      <c r="K484" s="9"/>
      <c r="L484" s="9"/>
      <c r="M484" s="9"/>
      <c r="N484" s="9"/>
      <c r="O484" s="9"/>
      <c r="P484" s="9"/>
      <c r="Q484" s="9"/>
      <c r="R484" s="9"/>
      <c r="S484" s="9"/>
      <c r="T484" s="9"/>
      <c r="U484" s="9"/>
      <c r="V484" s="9"/>
      <c r="W484" s="9"/>
      <c r="X484" s="9"/>
      <c r="Y484" s="9"/>
      <c r="Z484" s="9"/>
      <c r="AA484" s="19"/>
      <c r="AB484" s="9"/>
      <c r="AC484" s="9"/>
      <c r="AD484" s="9"/>
    </row>
    <row r="485" spans="1:30">
      <c r="A485" s="9"/>
      <c r="B485" s="9"/>
      <c r="C485" s="9"/>
      <c r="D485" s="9"/>
      <c r="E485" s="12"/>
      <c r="F485" s="9"/>
      <c r="G485" s="9"/>
      <c r="H485" s="18"/>
      <c r="I485" s="20"/>
      <c r="J485" s="9"/>
      <c r="K485" s="9"/>
      <c r="L485" s="9"/>
      <c r="M485" s="9"/>
      <c r="N485" s="9"/>
      <c r="O485" s="9"/>
      <c r="P485" s="9"/>
      <c r="Q485" s="9"/>
      <c r="R485" s="9"/>
      <c r="S485" s="9"/>
      <c r="T485" s="9"/>
      <c r="U485" s="9"/>
      <c r="V485" s="9"/>
      <c r="W485" s="9"/>
      <c r="X485" s="9"/>
      <c r="Y485" s="9"/>
      <c r="Z485" s="9"/>
      <c r="AA485" s="19"/>
      <c r="AB485" s="9"/>
      <c r="AC485" s="9"/>
      <c r="AD485" s="9"/>
    </row>
    <row r="486" spans="1:30">
      <c r="A486" s="9"/>
      <c r="B486" s="9"/>
      <c r="C486" s="9"/>
      <c r="D486" s="9"/>
      <c r="E486" s="12"/>
      <c r="F486" s="9"/>
      <c r="G486" s="9"/>
      <c r="H486" s="18"/>
      <c r="I486" s="20"/>
      <c r="J486" s="9"/>
      <c r="K486" s="9"/>
      <c r="L486" s="9"/>
      <c r="M486" s="9"/>
      <c r="N486" s="9"/>
      <c r="O486" s="9"/>
      <c r="P486" s="9"/>
      <c r="Q486" s="9"/>
      <c r="R486" s="9"/>
      <c r="S486" s="9"/>
      <c r="T486" s="9"/>
      <c r="U486" s="9"/>
      <c r="V486" s="9"/>
      <c r="W486" s="9"/>
      <c r="X486" s="9"/>
      <c r="Y486" s="9"/>
      <c r="Z486" s="9"/>
      <c r="AA486" s="19"/>
      <c r="AB486" s="9"/>
      <c r="AC486" s="9"/>
      <c r="AD486" s="9"/>
    </row>
    <row r="487" spans="1:30">
      <c r="A487" s="9"/>
      <c r="B487" s="9"/>
      <c r="C487" s="9"/>
      <c r="D487" s="9"/>
      <c r="E487" s="12"/>
      <c r="F487" s="9"/>
      <c r="G487" s="9"/>
      <c r="H487" s="18"/>
      <c r="I487" s="20"/>
      <c r="J487" s="9"/>
      <c r="K487" s="9"/>
      <c r="L487" s="9"/>
      <c r="M487" s="9"/>
      <c r="N487" s="9"/>
      <c r="O487" s="9"/>
      <c r="P487" s="9"/>
      <c r="Q487" s="9"/>
      <c r="R487" s="9"/>
      <c r="S487" s="9"/>
      <c r="T487" s="9"/>
      <c r="U487" s="9"/>
      <c r="V487" s="9"/>
      <c r="W487" s="9"/>
      <c r="X487" s="9"/>
      <c r="Y487" s="9"/>
      <c r="Z487" s="9"/>
      <c r="AA487" s="19"/>
      <c r="AB487" s="9"/>
      <c r="AC487" s="9"/>
      <c r="AD487" s="9"/>
    </row>
    <row r="488" spans="1:30">
      <c r="A488" s="9"/>
      <c r="B488" s="9"/>
      <c r="C488" s="9"/>
      <c r="D488" s="9"/>
      <c r="E488" s="12"/>
      <c r="F488" s="9"/>
      <c r="G488" s="9"/>
      <c r="H488" s="18"/>
      <c r="I488" s="20"/>
      <c r="J488" s="9"/>
      <c r="K488" s="9"/>
      <c r="L488" s="9"/>
      <c r="M488" s="9"/>
      <c r="N488" s="9"/>
      <c r="O488" s="9"/>
      <c r="P488" s="9"/>
      <c r="Q488" s="9"/>
      <c r="R488" s="9"/>
      <c r="S488" s="9"/>
      <c r="T488" s="9"/>
      <c r="U488" s="9"/>
      <c r="V488" s="9"/>
      <c r="W488" s="9"/>
      <c r="X488" s="9"/>
      <c r="Y488" s="9"/>
      <c r="Z488" s="9"/>
      <c r="AA488" s="19"/>
      <c r="AB488" s="9"/>
      <c r="AC488" s="9"/>
      <c r="AD488" s="9"/>
    </row>
    <row r="489" spans="1:30">
      <c r="A489" s="9"/>
      <c r="B489" s="9"/>
      <c r="C489" s="9"/>
      <c r="D489" s="9"/>
      <c r="E489" s="12"/>
      <c r="F489" s="9"/>
      <c r="G489" s="9"/>
      <c r="H489" s="18"/>
      <c r="I489" s="20"/>
      <c r="J489" s="9"/>
      <c r="K489" s="9"/>
      <c r="L489" s="9"/>
      <c r="M489" s="9"/>
      <c r="N489" s="9"/>
      <c r="O489" s="9"/>
      <c r="P489" s="9"/>
      <c r="Q489" s="9"/>
      <c r="R489" s="9"/>
      <c r="S489" s="9"/>
      <c r="T489" s="9"/>
      <c r="U489" s="9"/>
      <c r="V489" s="9"/>
      <c r="W489" s="9"/>
      <c r="X489" s="9"/>
      <c r="Y489" s="9"/>
      <c r="Z489" s="9"/>
      <c r="AA489" s="19"/>
      <c r="AB489" s="9"/>
      <c r="AC489" s="9"/>
      <c r="AD489" s="9"/>
    </row>
    <row r="490" spans="1:30">
      <c r="A490" s="9"/>
      <c r="B490" s="9"/>
      <c r="C490" s="9"/>
      <c r="D490" s="9"/>
      <c r="E490" s="12"/>
      <c r="F490" s="9"/>
      <c r="G490" s="9"/>
      <c r="H490" s="18"/>
      <c r="I490" s="20"/>
      <c r="J490" s="9"/>
      <c r="K490" s="9"/>
      <c r="L490" s="9"/>
      <c r="M490" s="9"/>
      <c r="N490" s="9"/>
      <c r="O490" s="9"/>
      <c r="P490" s="9"/>
      <c r="Q490" s="9"/>
      <c r="R490" s="9"/>
      <c r="S490" s="9"/>
      <c r="T490" s="9"/>
      <c r="U490" s="9"/>
      <c r="V490" s="9"/>
      <c r="W490" s="9"/>
      <c r="X490" s="9"/>
      <c r="Y490" s="9"/>
      <c r="Z490" s="9"/>
      <c r="AA490" s="19"/>
      <c r="AB490" s="9"/>
      <c r="AC490" s="9"/>
      <c r="AD490" s="9"/>
    </row>
    <row r="491" spans="1:30">
      <c r="A491" s="9"/>
      <c r="B491" s="9"/>
      <c r="C491" s="9"/>
      <c r="D491" s="9"/>
      <c r="E491" s="12"/>
      <c r="F491" s="9"/>
      <c r="G491" s="9"/>
      <c r="H491" s="18"/>
      <c r="I491" s="20"/>
      <c r="J491" s="9"/>
      <c r="K491" s="9"/>
      <c r="L491" s="9"/>
      <c r="M491" s="9"/>
      <c r="N491" s="9"/>
      <c r="O491" s="9"/>
      <c r="P491" s="9"/>
      <c r="Q491" s="9"/>
      <c r="R491" s="9"/>
      <c r="S491" s="9"/>
      <c r="T491" s="9"/>
      <c r="U491" s="9"/>
      <c r="V491" s="9"/>
      <c r="W491" s="9"/>
      <c r="X491" s="9"/>
      <c r="Y491" s="9"/>
      <c r="Z491" s="9"/>
      <c r="AA491" s="19"/>
      <c r="AB491" s="9"/>
      <c r="AC491" s="9"/>
      <c r="AD491" s="9"/>
    </row>
    <row r="492" spans="1:30">
      <c r="A492" s="9"/>
      <c r="B492" s="9"/>
      <c r="C492" s="9"/>
      <c r="D492" s="9"/>
      <c r="E492" s="12"/>
      <c r="F492" s="9"/>
      <c r="G492" s="9"/>
      <c r="H492" s="18"/>
      <c r="I492" s="20"/>
      <c r="J492" s="9"/>
      <c r="K492" s="9"/>
      <c r="L492" s="9"/>
      <c r="M492" s="9"/>
      <c r="N492" s="9"/>
      <c r="O492" s="9"/>
      <c r="P492" s="9"/>
      <c r="Q492" s="9"/>
      <c r="R492" s="9"/>
      <c r="S492" s="9"/>
      <c r="T492" s="9"/>
      <c r="U492" s="9"/>
      <c r="V492" s="9"/>
      <c r="W492" s="9"/>
      <c r="X492" s="9"/>
      <c r="Y492" s="9"/>
      <c r="Z492" s="9"/>
      <c r="AA492" s="19"/>
      <c r="AB492" s="9"/>
      <c r="AC492" s="9"/>
      <c r="AD492" s="9"/>
    </row>
    <row r="493" spans="1:30">
      <c r="A493" s="9"/>
      <c r="B493" s="9"/>
      <c r="C493" s="9"/>
      <c r="D493" s="9"/>
      <c r="E493" s="12"/>
      <c r="F493" s="9"/>
      <c r="G493" s="9"/>
      <c r="H493" s="18"/>
      <c r="I493" s="20"/>
      <c r="J493" s="9"/>
      <c r="K493" s="9"/>
      <c r="L493" s="9"/>
      <c r="M493" s="9"/>
      <c r="N493" s="9"/>
      <c r="O493" s="9"/>
      <c r="P493" s="9"/>
      <c r="Q493" s="9"/>
      <c r="R493" s="9"/>
      <c r="S493" s="9"/>
      <c r="T493" s="9"/>
      <c r="U493" s="9"/>
      <c r="V493" s="9"/>
      <c r="W493" s="9"/>
      <c r="X493" s="9"/>
      <c r="Y493" s="9"/>
      <c r="Z493" s="9"/>
      <c r="AA493" s="19"/>
      <c r="AB493" s="9"/>
      <c r="AC493" s="9"/>
      <c r="AD493" s="9"/>
    </row>
    <row r="494" spans="1:30">
      <c r="A494" s="9"/>
      <c r="B494" s="9"/>
      <c r="C494" s="9"/>
      <c r="D494" s="9"/>
      <c r="E494" s="12"/>
      <c r="F494" s="9"/>
      <c r="G494" s="9"/>
      <c r="H494" s="18"/>
      <c r="I494" s="20"/>
      <c r="J494" s="9"/>
      <c r="K494" s="9"/>
      <c r="L494" s="9"/>
      <c r="M494" s="9"/>
      <c r="N494" s="9"/>
      <c r="O494" s="9"/>
      <c r="P494" s="9"/>
      <c r="Q494" s="9"/>
      <c r="R494" s="9"/>
      <c r="S494" s="9"/>
      <c r="T494" s="9"/>
      <c r="U494" s="9"/>
      <c r="V494" s="9"/>
      <c r="W494" s="9"/>
      <c r="X494" s="9"/>
      <c r="Y494" s="9"/>
      <c r="Z494" s="9"/>
      <c r="AA494" s="19"/>
      <c r="AB494" s="9"/>
      <c r="AC494" s="9"/>
      <c r="AD494" s="9"/>
    </row>
    <row r="495" spans="1:30">
      <c r="A495" s="9"/>
      <c r="B495" s="9"/>
      <c r="C495" s="9"/>
      <c r="D495" s="9"/>
      <c r="E495" s="12"/>
      <c r="F495" s="9"/>
      <c r="G495" s="9"/>
      <c r="H495" s="18"/>
      <c r="I495" s="20"/>
      <c r="J495" s="9"/>
      <c r="K495" s="9"/>
      <c r="L495" s="9"/>
      <c r="M495" s="9"/>
      <c r="N495" s="9"/>
      <c r="O495" s="9"/>
      <c r="P495" s="9"/>
      <c r="Q495" s="9"/>
      <c r="R495" s="9"/>
      <c r="S495" s="9"/>
      <c r="T495" s="9"/>
      <c r="U495" s="9"/>
      <c r="V495" s="9"/>
      <c r="W495" s="9"/>
      <c r="X495" s="9"/>
      <c r="Y495" s="9"/>
      <c r="Z495" s="9"/>
      <c r="AA495" s="19"/>
      <c r="AB495" s="9"/>
      <c r="AC495" s="9"/>
      <c r="AD495" s="9"/>
    </row>
    <row r="496" spans="1:30">
      <c r="A496" s="9"/>
      <c r="B496" s="9"/>
      <c r="C496" s="9"/>
      <c r="D496" s="9"/>
      <c r="E496" s="12"/>
      <c r="F496" s="9"/>
      <c r="G496" s="9"/>
      <c r="H496" s="18"/>
      <c r="I496" s="20"/>
      <c r="J496" s="9"/>
      <c r="K496" s="9"/>
      <c r="L496" s="9"/>
      <c r="M496" s="9"/>
      <c r="N496" s="9"/>
      <c r="O496" s="9"/>
      <c r="P496" s="9"/>
      <c r="Q496" s="9"/>
      <c r="R496" s="9"/>
      <c r="S496" s="9"/>
      <c r="T496" s="9"/>
      <c r="U496" s="9"/>
      <c r="V496" s="9"/>
      <c r="W496" s="9"/>
      <c r="X496" s="9"/>
      <c r="Y496" s="9"/>
      <c r="Z496" s="9"/>
      <c r="AA496" s="19"/>
      <c r="AB496" s="9"/>
      <c r="AC496" s="9"/>
      <c r="AD496" s="9"/>
    </row>
    <row r="497" spans="1:30">
      <c r="A497" s="9"/>
      <c r="B497" s="9"/>
      <c r="C497" s="9"/>
      <c r="D497" s="9"/>
      <c r="E497" s="12"/>
      <c r="F497" s="9"/>
      <c r="G497" s="9"/>
      <c r="H497" s="18"/>
      <c r="I497" s="20"/>
      <c r="J497" s="9"/>
      <c r="K497" s="9"/>
      <c r="L497" s="9"/>
      <c r="M497" s="9"/>
      <c r="N497" s="9"/>
      <c r="O497" s="9"/>
      <c r="P497" s="9"/>
      <c r="Q497" s="9"/>
      <c r="R497" s="9"/>
      <c r="S497" s="9"/>
      <c r="T497" s="9"/>
      <c r="U497" s="9"/>
      <c r="V497" s="9"/>
      <c r="W497" s="9"/>
      <c r="X497" s="9"/>
      <c r="Y497" s="9"/>
      <c r="Z497" s="9"/>
      <c r="AA497" s="19"/>
      <c r="AB497" s="9"/>
      <c r="AC497" s="9"/>
      <c r="AD497" s="9"/>
    </row>
    <row r="498" spans="1:30">
      <c r="A498" s="9"/>
      <c r="B498" s="9"/>
      <c r="C498" s="9"/>
      <c r="D498" s="9"/>
      <c r="E498" s="12"/>
      <c r="F498" s="9"/>
      <c r="G498" s="9"/>
      <c r="H498" s="18"/>
      <c r="I498" s="20"/>
      <c r="J498" s="9"/>
      <c r="K498" s="9"/>
      <c r="L498" s="9"/>
      <c r="M498" s="9"/>
      <c r="N498" s="9"/>
      <c r="O498" s="9"/>
      <c r="P498" s="9"/>
      <c r="Q498" s="9"/>
      <c r="R498" s="9"/>
      <c r="S498" s="9"/>
      <c r="T498" s="9"/>
      <c r="U498" s="9"/>
      <c r="V498" s="9"/>
      <c r="W498" s="9"/>
      <c r="X498" s="9"/>
      <c r="Y498" s="9"/>
      <c r="Z498" s="9"/>
      <c r="AA498" s="19"/>
      <c r="AB498" s="9"/>
      <c r="AC498" s="9"/>
      <c r="AD498" s="9"/>
    </row>
    <row r="499" spans="1:30">
      <c r="A499" s="9"/>
      <c r="B499" s="9"/>
      <c r="C499" s="9"/>
      <c r="D499" s="9"/>
      <c r="E499" s="12"/>
      <c r="F499" s="9"/>
      <c r="G499" s="9"/>
      <c r="H499" s="18"/>
      <c r="I499" s="20"/>
      <c r="J499" s="9"/>
      <c r="K499" s="9"/>
      <c r="L499" s="9"/>
      <c r="M499" s="9"/>
      <c r="N499" s="9"/>
      <c r="O499" s="9"/>
      <c r="P499" s="9"/>
      <c r="Q499" s="9"/>
      <c r="R499" s="9"/>
      <c r="S499" s="9"/>
      <c r="T499" s="9"/>
      <c r="U499" s="9"/>
      <c r="V499" s="9"/>
      <c r="W499" s="9"/>
      <c r="X499" s="9"/>
      <c r="Y499" s="9"/>
      <c r="Z499" s="9"/>
      <c r="AA499" s="19"/>
      <c r="AB499" s="9"/>
      <c r="AC499" s="9"/>
      <c r="AD499" s="9"/>
    </row>
    <row r="500" spans="1:30">
      <c r="A500" s="9"/>
      <c r="B500" s="9"/>
      <c r="C500" s="9"/>
      <c r="D500" s="9"/>
      <c r="E500" s="12"/>
      <c r="F500" s="9"/>
      <c r="G500" s="9"/>
      <c r="H500" s="18"/>
      <c r="I500" s="20"/>
      <c r="J500" s="9"/>
      <c r="K500" s="9"/>
      <c r="L500" s="9"/>
      <c r="M500" s="9"/>
      <c r="N500" s="9"/>
      <c r="O500" s="9"/>
      <c r="P500" s="9"/>
      <c r="Q500" s="9"/>
      <c r="R500" s="9"/>
      <c r="S500" s="9"/>
      <c r="T500" s="9"/>
      <c r="U500" s="9"/>
      <c r="V500" s="9"/>
      <c r="W500" s="9"/>
      <c r="X500" s="9"/>
      <c r="Y500" s="9"/>
      <c r="Z500" s="9"/>
      <c r="AA500" s="19"/>
      <c r="AB500" s="9"/>
      <c r="AC500" s="9"/>
      <c r="AD500" s="9"/>
    </row>
    <row r="501" spans="1:30">
      <c r="A501" s="9"/>
      <c r="B501" s="9"/>
      <c r="C501" s="9"/>
      <c r="D501" s="9"/>
      <c r="E501" s="12"/>
      <c r="F501" s="9"/>
      <c r="G501" s="9"/>
      <c r="H501" s="18"/>
      <c r="I501" s="20"/>
      <c r="J501" s="9"/>
      <c r="K501" s="9"/>
      <c r="L501" s="9"/>
      <c r="M501" s="9"/>
      <c r="N501" s="9"/>
      <c r="O501" s="9"/>
      <c r="P501" s="9"/>
      <c r="Q501" s="9"/>
      <c r="R501" s="9"/>
      <c r="S501" s="9"/>
      <c r="T501" s="9"/>
      <c r="U501" s="9"/>
      <c r="V501" s="9"/>
      <c r="W501" s="9"/>
      <c r="X501" s="9"/>
      <c r="Y501" s="9"/>
      <c r="Z501" s="9"/>
      <c r="AA501" s="19"/>
      <c r="AB501" s="9"/>
      <c r="AC501" s="9"/>
      <c r="AD501" s="9"/>
    </row>
    <row r="502" spans="1:30">
      <c r="A502" s="9"/>
      <c r="B502" s="9"/>
      <c r="C502" s="9"/>
      <c r="D502" s="9"/>
      <c r="E502" s="12"/>
      <c r="F502" s="9"/>
      <c r="G502" s="9"/>
      <c r="H502" s="18"/>
      <c r="I502" s="20"/>
      <c r="J502" s="9"/>
      <c r="K502" s="9"/>
      <c r="L502" s="9"/>
      <c r="M502" s="9"/>
      <c r="N502" s="9"/>
      <c r="O502" s="9"/>
      <c r="P502" s="9"/>
      <c r="Q502" s="9"/>
      <c r="R502" s="9"/>
      <c r="S502" s="9"/>
      <c r="T502" s="9"/>
      <c r="U502" s="9"/>
      <c r="V502" s="9"/>
      <c r="W502" s="9"/>
      <c r="X502" s="9"/>
      <c r="Y502" s="9"/>
      <c r="Z502" s="9"/>
      <c r="AA502" s="19"/>
      <c r="AB502" s="9"/>
      <c r="AC502" s="9"/>
      <c r="AD502" s="9"/>
    </row>
    <row r="503" spans="1:30">
      <c r="A503" s="9"/>
      <c r="B503" s="9"/>
      <c r="C503" s="9"/>
      <c r="D503" s="9"/>
      <c r="E503" s="12"/>
      <c r="F503" s="9"/>
      <c r="G503" s="9"/>
      <c r="H503" s="18"/>
      <c r="I503" s="20"/>
      <c r="J503" s="9"/>
      <c r="K503" s="9"/>
      <c r="L503" s="9"/>
      <c r="M503" s="9"/>
      <c r="N503" s="9"/>
      <c r="O503" s="9"/>
      <c r="P503" s="9"/>
      <c r="Q503" s="9"/>
      <c r="R503" s="9"/>
      <c r="S503" s="9"/>
      <c r="T503" s="9"/>
      <c r="U503" s="9"/>
      <c r="V503" s="9"/>
      <c r="W503" s="9"/>
      <c r="X503" s="9"/>
      <c r="Y503" s="9"/>
      <c r="Z503" s="9"/>
      <c r="AA503" s="19"/>
      <c r="AB503" s="9"/>
      <c r="AC503" s="9"/>
      <c r="AD503" s="9"/>
    </row>
    <row r="504" spans="1:30">
      <c r="A504" s="9"/>
      <c r="B504" s="9"/>
      <c r="C504" s="9"/>
      <c r="D504" s="9"/>
      <c r="E504" s="12"/>
      <c r="F504" s="9"/>
      <c r="G504" s="9"/>
      <c r="H504" s="18"/>
      <c r="I504" s="20"/>
      <c r="J504" s="9"/>
      <c r="K504" s="9"/>
      <c r="L504" s="9"/>
      <c r="M504" s="9"/>
      <c r="N504" s="9"/>
      <c r="O504" s="9"/>
      <c r="P504" s="9"/>
      <c r="Q504" s="9"/>
      <c r="R504" s="9"/>
      <c r="S504" s="9"/>
      <c r="T504" s="9"/>
      <c r="U504" s="9"/>
      <c r="V504" s="9"/>
      <c r="W504" s="9"/>
      <c r="X504" s="9"/>
      <c r="Y504" s="9"/>
      <c r="Z504" s="9"/>
      <c r="AA504" s="19"/>
      <c r="AB504" s="9"/>
      <c r="AC504" s="9"/>
      <c r="AD504" s="9"/>
    </row>
    <row r="505" spans="1:30">
      <c r="A505" s="9"/>
      <c r="B505" s="9"/>
      <c r="C505" s="9"/>
      <c r="D505" s="9"/>
      <c r="E505" s="12"/>
      <c r="F505" s="9"/>
      <c r="G505" s="9"/>
      <c r="H505" s="18"/>
      <c r="I505" s="20"/>
      <c r="J505" s="9"/>
      <c r="K505" s="9"/>
      <c r="L505" s="9"/>
      <c r="M505" s="9"/>
      <c r="N505" s="9"/>
      <c r="O505" s="9"/>
      <c r="P505" s="9"/>
      <c r="Q505" s="9"/>
      <c r="R505" s="9"/>
      <c r="S505" s="9"/>
      <c r="T505" s="9"/>
      <c r="U505" s="9"/>
      <c r="V505" s="9"/>
      <c r="W505" s="9"/>
      <c r="X505" s="9"/>
      <c r="Y505" s="9"/>
      <c r="Z505" s="9"/>
      <c r="AA505" s="19"/>
      <c r="AB505" s="9"/>
      <c r="AC505" s="9"/>
      <c r="AD505" s="9"/>
    </row>
    <row r="506" spans="1:30">
      <c r="A506" s="9"/>
      <c r="B506" s="9"/>
      <c r="C506" s="9"/>
      <c r="D506" s="9"/>
      <c r="E506" s="12"/>
      <c r="F506" s="9"/>
      <c r="G506" s="9"/>
      <c r="H506" s="18"/>
      <c r="I506" s="20"/>
      <c r="J506" s="9"/>
      <c r="K506" s="9"/>
      <c r="L506" s="9"/>
      <c r="M506" s="9"/>
      <c r="N506" s="9"/>
      <c r="O506" s="9"/>
      <c r="P506" s="9"/>
      <c r="Q506" s="9"/>
      <c r="R506" s="9"/>
      <c r="S506" s="9"/>
      <c r="T506" s="9"/>
      <c r="U506" s="9"/>
      <c r="V506" s="9"/>
      <c r="W506" s="9"/>
      <c r="X506" s="9"/>
      <c r="Y506" s="9"/>
      <c r="Z506" s="9"/>
      <c r="AA506" s="19"/>
      <c r="AB506" s="9"/>
      <c r="AC506" s="9"/>
      <c r="AD506" s="9"/>
    </row>
    <row r="507" spans="1:30">
      <c r="A507" s="9"/>
      <c r="B507" s="9"/>
      <c r="C507" s="9"/>
      <c r="D507" s="9"/>
      <c r="E507" s="12"/>
      <c r="F507" s="9"/>
      <c r="G507" s="9"/>
      <c r="H507" s="18"/>
      <c r="I507" s="20"/>
      <c r="J507" s="9"/>
      <c r="K507" s="9"/>
      <c r="L507" s="9"/>
      <c r="M507" s="9"/>
      <c r="N507" s="9"/>
      <c r="O507" s="9"/>
      <c r="P507" s="9"/>
      <c r="Q507" s="9"/>
      <c r="R507" s="9"/>
      <c r="S507" s="9"/>
      <c r="T507" s="9"/>
      <c r="U507" s="9"/>
      <c r="V507" s="9"/>
      <c r="W507" s="9"/>
      <c r="X507" s="9"/>
      <c r="Y507" s="9"/>
      <c r="Z507" s="9"/>
      <c r="AA507" s="19"/>
      <c r="AB507" s="9"/>
      <c r="AC507" s="9"/>
      <c r="AD507" s="9"/>
    </row>
    <row r="508" spans="1:30">
      <c r="A508" s="9"/>
      <c r="B508" s="9"/>
      <c r="C508" s="9"/>
      <c r="D508" s="9"/>
      <c r="E508" s="12"/>
      <c r="F508" s="9"/>
      <c r="G508" s="9"/>
      <c r="H508" s="18"/>
      <c r="I508" s="20"/>
      <c r="J508" s="9"/>
      <c r="K508" s="9"/>
      <c r="L508" s="9"/>
      <c r="M508" s="9"/>
      <c r="N508" s="9"/>
      <c r="O508" s="9"/>
      <c r="P508" s="9"/>
      <c r="Q508" s="9"/>
      <c r="R508" s="9"/>
      <c r="S508" s="9"/>
      <c r="T508" s="9"/>
      <c r="U508" s="9"/>
      <c r="V508" s="9"/>
      <c r="W508" s="9"/>
      <c r="X508" s="9"/>
      <c r="Y508" s="9"/>
      <c r="Z508" s="9"/>
      <c r="AA508" s="19"/>
      <c r="AB508" s="9"/>
      <c r="AC508" s="9"/>
      <c r="AD508" s="9"/>
    </row>
    <row r="509" spans="1:30">
      <c r="A509" s="9"/>
      <c r="B509" s="9"/>
      <c r="C509" s="9"/>
      <c r="D509" s="9"/>
      <c r="E509" s="12"/>
      <c r="F509" s="9"/>
      <c r="G509" s="9"/>
      <c r="H509" s="18"/>
      <c r="I509" s="20"/>
      <c r="J509" s="9"/>
      <c r="K509" s="9"/>
      <c r="L509" s="9"/>
      <c r="M509" s="9"/>
      <c r="N509" s="9"/>
      <c r="O509" s="9"/>
      <c r="P509" s="9"/>
      <c r="Q509" s="9"/>
      <c r="R509" s="9"/>
      <c r="S509" s="9"/>
      <c r="T509" s="9"/>
      <c r="U509" s="9"/>
      <c r="V509" s="9"/>
      <c r="W509" s="9"/>
      <c r="X509" s="9"/>
      <c r="Y509" s="9"/>
      <c r="Z509" s="9"/>
      <c r="AA509" s="19"/>
      <c r="AB509" s="9"/>
      <c r="AC509" s="9"/>
      <c r="AD509" s="9"/>
    </row>
    <row r="510" spans="1:30">
      <c r="A510" s="9"/>
      <c r="B510" s="9"/>
      <c r="C510" s="9"/>
      <c r="D510" s="9"/>
      <c r="E510" s="12"/>
      <c r="F510" s="9"/>
      <c r="G510" s="9"/>
      <c r="H510" s="18"/>
      <c r="I510" s="20"/>
      <c r="J510" s="9"/>
      <c r="K510" s="9"/>
      <c r="L510" s="9"/>
      <c r="M510" s="9"/>
      <c r="N510" s="9"/>
      <c r="O510" s="9"/>
      <c r="P510" s="9"/>
      <c r="Q510" s="9"/>
      <c r="R510" s="9"/>
      <c r="S510" s="9"/>
      <c r="T510" s="9"/>
      <c r="U510" s="9"/>
      <c r="V510" s="9"/>
      <c r="W510" s="9"/>
      <c r="X510" s="9"/>
      <c r="Y510" s="9"/>
      <c r="Z510" s="9"/>
      <c r="AA510" s="19"/>
      <c r="AB510" s="9"/>
      <c r="AC510" s="9"/>
      <c r="AD510" s="9"/>
    </row>
    <row r="511" spans="1:30">
      <c r="A511" s="9"/>
      <c r="B511" s="9"/>
      <c r="C511" s="9"/>
      <c r="D511" s="9"/>
      <c r="E511" s="12"/>
      <c r="F511" s="9"/>
      <c r="G511" s="9"/>
      <c r="H511" s="18"/>
      <c r="I511" s="20"/>
      <c r="J511" s="9"/>
      <c r="K511" s="9"/>
      <c r="L511" s="9"/>
      <c r="M511" s="9"/>
      <c r="N511" s="9"/>
      <c r="O511" s="9"/>
      <c r="P511" s="9"/>
      <c r="Q511" s="9"/>
      <c r="R511" s="9"/>
      <c r="S511" s="9"/>
      <c r="T511" s="9"/>
      <c r="U511" s="9"/>
      <c r="V511" s="9"/>
      <c r="W511" s="9"/>
      <c r="X511" s="9"/>
      <c r="Y511" s="9"/>
      <c r="Z511" s="9"/>
      <c r="AA511" s="19"/>
      <c r="AB511" s="9"/>
      <c r="AC511" s="9"/>
      <c r="AD511" s="9"/>
    </row>
    <row r="512" spans="1:30">
      <c r="A512" s="9"/>
      <c r="B512" s="9"/>
      <c r="C512" s="9"/>
      <c r="D512" s="9"/>
      <c r="E512" s="12"/>
      <c r="F512" s="9"/>
      <c r="G512" s="9"/>
      <c r="H512" s="18"/>
      <c r="I512" s="20"/>
      <c r="J512" s="9"/>
      <c r="K512" s="9"/>
      <c r="L512" s="9"/>
      <c r="M512" s="9"/>
      <c r="N512" s="9"/>
      <c r="O512" s="9"/>
      <c r="P512" s="9"/>
      <c r="Q512" s="9"/>
      <c r="R512" s="9"/>
      <c r="S512" s="9"/>
      <c r="T512" s="9"/>
      <c r="U512" s="9"/>
      <c r="V512" s="9"/>
      <c r="W512" s="9"/>
      <c r="X512" s="9"/>
      <c r="Y512" s="9"/>
      <c r="Z512" s="9"/>
      <c r="AA512" s="19"/>
      <c r="AB512" s="9"/>
      <c r="AC512" s="9"/>
      <c r="AD512" s="9"/>
    </row>
    <row r="513" spans="1:30">
      <c r="A513" s="9"/>
      <c r="B513" s="9"/>
      <c r="C513" s="9"/>
      <c r="D513" s="9"/>
      <c r="E513" s="12"/>
      <c r="F513" s="9"/>
      <c r="G513" s="9"/>
      <c r="H513" s="18"/>
      <c r="I513" s="20"/>
      <c r="J513" s="9"/>
      <c r="K513" s="9"/>
      <c r="L513" s="9"/>
      <c r="M513" s="9"/>
      <c r="N513" s="9"/>
      <c r="O513" s="9"/>
      <c r="P513" s="9"/>
      <c r="Q513" s="9"/>
      <c r="R513" s="9"/>
      <c r="S513" s="9"/>
      <c r="T513" s="9"/>
      <c r="U513" s="9"/>
      <c r="V513" s="9"/>
      <c r="W513" s="9"/>
      <c r="X513" s="9"/>
      <c r="Y513" s="9"/>
      <c r="Z513" s="9"/>
      <c r="AA513" s="19"/>
      <c r="AB513" s="9"/>
      <c r="AC513" s="9"/>
      <c r="AD513" s="9"/>
    </row>
    <row r="514" spans="1:30">
      <c r="A514" s="9"/>
      <c r="B514" s="9"/>
      <c r="C514" s="9"/>
      <c r="D514" s="9"/>
      <c r="E514" s="12"/>
      <c r="F514" s="9"/>
      <c r="G514" s="9"/>
      <c r="H514" s="18"/>
      <c r="I514" s="20"/>
      <c r="J514" s="9"/>
      <c r="K514" s="9"/>
      <c r="L514" s="9"/>
      <c r="M514" s="9"/>
      <c r="N514" s="9"/>
      <c r="O514" s="9"/>
      <c r="P514" s="9"/>
      <c r="Q514" s="9"/>
      <c r="R514" s="9"/>
      <c r="S514" s="9"/>
      <c r="T514" s="9"/>
      <c r="U514" s="9"/>
      <c r="V514" s="9"/>
      <c r="W514" s="9"/>
      <c r="X514" s="9"/>
      <c r="Y514" s="9"/>
      <c r="Z514" s="9"/>
      <c r="AA514" s="19"/>
      <c r="AB514" s="9"/>
      <c r="AC514" s="9"/>
      <c r="AD514" s="9"/>
    </row>
    <row r="515" spans="1:30">
      <c r="A515" s="9"/>
      <c r="B515" s="9"/>
      <c r="C515" s="9"/>
      <c r="D515" s="9"/>
      <c r="E515" s="12"/>
      <c r="F515" s="9"/>
      <c r="G515" s="9"/>
      <c r="H515" s="18"/>
      <c r="I515" s="20"/>
      <c r="J515" s="9"/>
      <c r="K515" s="9"/>
      <c r="L515" s="9"/>
      <c r="M515" s="9"/>
      <c r="N515" s="9"/>
      <c r="O515" s="9"/>
      <c r="P515" s="9"/>
      <c r="Q515" s="9"/>
      <c r="R515" s="9"/>
      <c r="S515" s="9"/>
      <c r="T515" s="9"/>
      <c r="U515" s="9"/>
      <c r="V515" s="9"/>
      <c r="W515" s="9"/>
      <c r="X515" s="9"/>
      <c r="Y515" s="9"/>
      <c r="Z515" s="9"/>
      <c r="AA515" s="19"/>
      <c r="AB515" s="9"/>
      <c r="AC515" s="9"/>
      <c r="AD515" s="9"/>
    </row>
    <row r="516" spans="1:30">
      <c r="A516" s="9"/>
      <c r="B516" s="9"/>
      <c r="C516" s="9"/>
      <c r="D516" s="9"/>
      <c r="E516" s="12"/>
      <c r="F516" s="9"/>
      <c r="G516" s="9"/>
      <c r="H516" s="18"/>
      <c r="I516" s="20"/>
      <c r="J516" s="9"/>
      <c r="K516" s="9"/>
      <c r="L516" s="9"/>
      <c r="M516" s="9"/>
      <c r="N516" s="9"/>
      <c r="O516" s="9"/>
      <c r="P516" s="9"/>
      <c r="Q516" s="9"/>
      <c r="R516" s="9"/>
      <c r="S516" s="9"/>
      <c r="T516" s="9"/>
      <c r="U516" s="9"/>
      <c r="V516" s="9"/>
      <c r="W516" s="9"/>
      <c r="X516" s="9"/>
      <c r="Y516" s="9"/>
      <c r="Z516" s="9"/>
      <c r="AA516" s="19"/>
      <c r="AB516" s="9"/>
      <c r="AC516" s="9"/>
      <c r="AD516" s="9"/>
    </row>
    <row r="517" spans="1:30">
      <c r="A517" s="9"/>
      <c r="B517" s="9"/>
      <c r="C517" s="9"/>
      <c r="D517" s="9"/>
      <c r="E517" s="12"/>
      <c r="F517" s="9"/>
      <c r="G517" s="9"/>
      <c r="H517" s="18"/>
      <c r="I517" s="20"/>
      <c r="J517" s="9"/>
      <c r="K517" s="9"/>
      <c r="L517" s="9"/>
      <c r="M517" s="9"/>
      <c r="N517" s="9"/>
      <c r="O517" s="9"/>
      <c r="P517" s="9"/>
      <c r="Q517" s="9"/>
      <c r="R517" s="9"/>
      <c r="S517" s="9"/>
      <c r="T517" s="9"/>
      <c r="U517" s="9"/>
      <c r="V517" s="9"/>
      <c r="W517" s="9"/>
      <c r="X517" s="9"/>
      <c r="Y517" s="9"/>
      <c r="Z517" s="9"/>
      <c r="AA517" s="19"/>
      <c r="AB517" s="9"/>
      <c r="AC517" s="9"/>
      <c r="AD517" s="9"/>
    </row>
    <row r="518" spans="1:30">
      <c r="A518" s="9"/>
      <c r="B518" s="9"/>
      <c r="C518" s="9"/>
      <c r="D518" s="9"/>
      <c r="E518" s="12"/>
      <c r="F518" s="9"/>
      <c r="G518" s="9"/>
      <c r="H518" s="18"/>
      <c r="I518" s="20"/>
      <c r="J518" s="9"/>
      <c r="K518" s="9"/>
      <c r="L518" s="9"/>
      <c r="M518" s="9"/>
      <c r="N518" s="9"/>
      <c r="O518" s="9"/>
      <c r="P518" s="9"/>
      <c r="Q518" s="9"/>
      <c r="R518" s="9"/>
      <c r="S518" s="9"/>
      <c r="T518" s="9"/>
      <c r="U518" s="9"/>
      <c r="V518" s="9"/>
      <c r="W518" s="9"/>
      <c r="X518" s="9"/>
      <c r="Y518" s="9"/>
      <c r="Z518" s="9"/>
      <c r="AA518" s="19"/>
      <c r="AB518" s="9"/>
      <c r="AC518" s="9"/>
      <c r="AD518" s="9"/>
    </row>
    <row r="519" spans="1:30">
      <c r="A519" s="9"/>
      <c r="B519" s="9"/>
      <c r="C519" s="9"/>
      <c r="D519" s="9"/>
      <c r="E519" s="12"/>
      <c r="F519" s="9"/>
      <c r="G519" s="9"/>
      <c r="H519" s="18"/>
      <c r="I519" s="20"/>
      <c r="J519" s="9"/>
      <c r="K519" s="9"/>
      <c r="L519" s="9"/>
      <c r="M519" s="9"/>
      <c r="N519" s="9"/>
      <c r="O519" s="9"/>
      <c r="P519" s="9"/>
      <c r="Q519" s="9"/>
      <c r="R519" s="9"/>
      <c r="S519" s="9"/>
      <c r="T519" s="9"/>
      <c r="U519" s="9"/>
      <c r="V519" s="9"/>
      <c r="W519" s="9"/>
      <c r="X519" s="9"/>
      <c r="Y519" s="9"/>
      <c r="Z519" s="9"/>
      <c r="AA519" s="19"/>
      <c r="AB519" s="9"/>
      <c r="AC519" s="9"/>
      <c r="AD519" s="9"/>
    </row>
    <row r="520" spans="1:30">
      <c r="A520" s="9"/>
      <c r="B520" s="9"/>
      <c r="C520" s="9"/>
      <c r="D520" s="9"/>
      <c r="E520" s="12"/>
      <c r="F520" s="9"/>
      <c r="G520" s="9"/>
      <c r="H520" s="18"/>
      <c r="I520" s="20"/>
      <c r="J520" s="9"/>
      <c r="K520" s="9"/>
      <c r="L520" s="9"/>
      <c r="M520" s="9"/>
      <c r="N520" s="9"/>
      <c r="O520" s="9"/>
      <c r="P520" s="9"/>
      <c r="Q520" s="9"/>
      <c r="R520" s="9"/>
      <c r="S520" s="9"/>
      <c r="T520" s="9"/>
      <c r="U520" s="9"/>
      <c r="V520" s="9"/>
      <c r="W520" s="9"/>
      <c r="X520" s="9"/>
      <c r="Y520" s="9"/>
      <c r="Z520" s="9"/>
      <c r="AA520" s="19"/>
      <c r="AB520" s="9"/>
      <c r="AC520" s="9"/>
      <c r="AD520" s="9"/>
    </row>
    <row r="521" spans="1:30">
      <c r="A521" s="9"/>
      <c r="B521" s="9"/>
      <c r="C521" s="9"/>
      <c r="D521" s="9"/>
      <c r="E521" s="12"/>
      <c r="F521" s="9"/>
      <c r="G521" s="9"/>
      <c r="H521" s="18"/>
      <c r="I521" s="20"/>
      <c r="J521" s="9"/>
      <c r="K521" s="9"/>
      <c r="L521" s="9"/>
      <c r="M521" s="9"/>
      <c r="N521" s="9"/>
      <c r="O521" s="9"/>
      <c r="P521" s="9"/>
      <c r="Q521" s="9"/>
      <c r="R521" s="9"/>
      <c r="S521" s="9"/>
      <c r="T521" s="9"/>
      <c r="U521" s="9"/>
      <c r="V521" s="9"/>
      <c r="W521" s="9"/>
      <c r="X521" s="9"/>
      <c r="Y521" s="9"/>
      <c r="Z521" s="9"/>
      <c r="AA521" s="19"/>
      <c r="AB521" s="9"/>
      <c r="AC521" s="9"/>
      <c r="AD521" s="9"/>
    </row>
    <row r="522" spans="1:30">
      <c r="A522" s="9"/>
      <c r="B522" s="9"/>
      <c r="C522" s="9"/>
      <c r="D522" s="9"/>
      <c r="E522" s="12"/>
      <c r="F522" s="9"/>
      <c r="G522" s="9"/>
      <c r="H522" s="18"/>
      <c r="I522" s="20"/>
      <c r="J522" s="9"/>
      <c r="K522" s="9"/>
      <c r="L522" s="9"/>
      <c r="M522" s="9"/>
      <c r="N522" s="9"/>
      <c r="O522" s="9"/>
      <c r="P522" s="9"/>
      <c r="Q522" s="9"/>
      <c r="R522" s="9"/>
      <c r="S522" s="9"/>
      <c r="T522" s="9"/>
      <c r="U522" s="9"/>
      <c r="V522" s="9"/>
      <c r="W522" s="9"/>
      <c r="X522" s="9"/>
      <c r="Y522" s="9"/>
      <c r="Z522" s="9"/>
      <c r="AA522" s="19"/>
      <c r="AB522" s="9"/>
      <c r="AC522" s="9"/>
      <c r="AD522" s="9"/>
    </row>
    <row r="523" spans="1:30">
      <c r="A523" s="9"/>
      <c r="B523" s="9"/>
      <c r="C523" s="9"/>
      <c r="D523" s="9"/>
      <c r="E523" s="12"/>
      <c r="F523" s="9"/>
      <c r="G523" s="9"/>
      <c r="H523" s="18"/>
      <c r="I523" s="20"/>
      <c r="J523" s="9"/>
      <c r="K523" s="9"/>
      <c r="L523" s="9"/>
      <c r="M523" s="9"/>
      <c r="N523" s="9"/>
      <c r="O523" s="9"/>
      <c r="P523" s="9"/>
      <c r="Q523" s="9"/>
      <c r="R523" s="9"/>
      <c r="S523" s="9"/>
      <c r="T523" s="9"/>
      <c r="U523" s="9"/>
      <c r="V523" s="9"/>
      <c r="W523" s="9"/>
      <c r="X523" s="9"/>
      <c r="Y523" s="9"/>
      <c r="Z523" s="9"/>
      <c r="AA523" s="19"/>
      <c r="AB523" s="9"/>
      <c r="AC523" s="9"/>
      <c r="AD523" s="9"/>
    </row>
    <row r="524" spans="1:30">
      <c r="A524" s="9"/>
      <c r="B524" s="9"/>
      <c r="C524" s="9"/>
      <c r="D524" s="9"/>
      <c r="E524" s="12"/>
      <c r="F524" s="9"/>
      <c r="G524" s="9"/>
      <c r="H524" s="18"/>
      <c r="I524" s="20"/>
      <c r="J524" s="9"/>
      <c r="K524" s="9"/>
      <c r="L524" s="9"/>
      <c r="M524" s="9"/>
      <c r="N524" s="9"/>
      <c r="O524" s="9"/>
      <c r="P524" s="9"/>
      <c r="Q524" s="9"/>
      <c r="R524" s="9"/>
      <c r="S524" s="9"/>
      <c r="T524" s="9"/>
      <c r="U524" s="9"/>
      <c r="V524" s="9"/>
      <c r="W524" s="9"/>
      <c r="X524" s="9"/>
      <c r="Y524" s="9"/>
      <c r="Z524" s="9"/>
      <c r="AA524" s="19"/>
      <c r="AB524" s="9"/>
      <c r="AC524" s="9"/>
      <c r="AD524" s="9"/>
    </row>
    <row r="525" spans="1:30">
      <c r="A525" s="9"/>
      <c r="B525" s="9"/>
      <c r="C525" s="9"/>
      <c r="D525" s="9"/>
      <c r="E525" s="12"/>
      <c r="F525" s="9"/>
      <c r="G525" s="9"/>
      <c r="H525" s="18"/>
      <c r="I525" s="20"/>
      <c r="J525" s="9"/>
      <c r="K525" s="9"/>
      <c r="L525" s="9"/>
      <c r="M525" s="9"/>
      <c r="N525" s="9"/>
      <c r="O525" s="9"/>
      <c r="P525" s="9"/>
      <c r="Q525" s="9"/>
      <c r="R525" s="9"/>
      <c r="S525" s="9"/>
      <c r="T525" s="9"/>
      <c r="U525" s="9"/>
      <c r="V525" s="9"/>
      <c r="W525" s="9"/>
      <c r="X525" s="9"/>
      <c r="Y525" s="9"/>
      <c r="Z525" s="9"/>
      <c r="AA525" s="19"/>
      <c r="AB525" s="9"/>
      <c r="AC525" s="9"/>
      <c r="AD525" s="9"/>
    </row>
    <row r="526" spans="1:30">
      <c r="A526" s="9"/>
      <c r="B526" s="9"/>
      <c r="C526" s="9"/>
      <c r="D526" s="9"/>
      <c r="E526" s="12"/>
      <c r="F526" s="9"/>
      <c r="G526" s="9"/>
      <c r="H526" s="18"/>
      <c r="I526" s="20"/>
      <c r="J526" s="9"/>
      <c r="K526" s="9"/>
      <c r="L526" s="9"/>
      <c r="M526" s="9"/>
      <c r="N526" s="9"/>
      <c r="O526" s="9"/>
      <c r="P526" s="9"/>
      <c r="Q526" s="9"/>
      <c r="R526" s="9"/>
      <c r="S526" s="9"/>
      <c r="T526" s="9"/>
      <c r="U526" s="9"/>
      <c r="V526" s="9"/>
      <c r="W526" s="9"/>
      <c r="X526" s="9"/>
      <c r="Y526" s="9"/>
      <c r="Z526" s="9"/>
      <c r="AA526" s="19"/>
      <c r="AB526" s="9"/>
      <c r="AC526" s="9"/>
      <c r="AD526" s="9"/>
    </row>
    <row r="527" spans="1:30">
      <c r="A527" s="9"/>
      <c r="B527" s="9"/>
      <c r="C527" s="9"/>
      <c r="D527" s="9"/>
      <c r="E527" s="12"/>
      <c r="F527" s="9"/>
      <c r="G527" s="9"/>
      <c r="H527" s="18"/>
      <c r="I527" s="20"/>
      <c r="J527" s="9"/>
      <c r="K527" s="9"/>
      <c r="L527" s="9"/>
      <c r="M527" s="9"/>
      <c r="N527" s="9"/>
      <c r="O527" s="9"/>
      <c r="P527" s="9"/>
      <c r="Q527" s="9"/>
      <c r="R527" s="9"/>
      <c r="S527" s="9"/>
      <c r="T527" s="9"/>
      <c r="U527" s="9"/>
      <c r="V527" s="9"/>
      <c r="W527" s="9"/>
      <c r="X527" s="9"/>
      <c r="Y527" s="9"/>
      <c r="Z527" s="9"/>
      <c r="AA527" s="19"/>
      <c r="AB527" s="9"/>
      <c r="AC527" s="9"/>
      <c r="AD527" s="9"/>
    </row>
    <row r="528" spans="1:30">
      <c r="A528" s="9"/>
      <c r="B528" s="9"/>
      <c r="C528" s="9"/>
      <c r="D528" s="9"/>
      <c r="E528" s="12"/>
      <c r="F528" s="9"/>
      <c r="G528" s="9"/>
      <c r="H528" s="18"/>
      <c r="I528" s="20"/>
      <c r="J528" s="9"/>
      <c r="K528" s="9"/>
      <c r="L528" s="9"/>
      <c r="M528" s="9"/>
      <c r="N528" s="9"/>
      <c r="O528" s="9"/>
      <c r="P528" s="9"/>
      <c r="Q528" s="9"/>
      <c r="R528" s="9"/>
      <c r="S528" s="9"/>
      <c r="T528" s="9"/>
      <c r="U528" s="9"/>
      <c r="V528" s="9"/>
      <c r="W528" s="9"/>
      <c r="X528" s="9"/>
      <c r="Y528" s="9"/>
      <c r="Z528" s="9"/>
      <c r="AA528" s="19"/>
      <c r="AB528" s="9"/>
      <c r="AC528" s="9"/>
      <c r="AD528" s="9"/>
    </row>
    <row r="529" spans="1:30">
      <c r="A529" s="9"/>
      <c r="B529" s="9"/>
      <c r="C529" s="9"/>
      <c r="D529" s="9"/>
      <c r="E529" s="12"/>
      <c r="F529" s="9"/>
      <c r="G529" s="9"/>
      <c r="H529" s="18"/>
      <c r="I529" s="20"/>
      <c r="J529" s="9"/>
      <c r="K529" s="9"/>
      <c r="L529" s="9"/>
      <c r="M529" s="9"/>
      <c r="N529" s="9"/>
      <c r="O529" s="9"/>
      <c r="P529" s="9"/>
      <c r="Q529" s="9"/>
      <c r="R529" s="9"/>
      <c r="S529" s="9"/>
      <c r="T529" s="9"/>
      <c r="U529" s="9"/>
      <c r="V529" s="9"/>
      <c r="W529" s="9"/>
      <c r="X529" s="9"/>
      <c r="Y529" s="9"/>
      <c r="Z529" s="9"/>
      <c r="AA529" s="19"/>
      <c r="AB529" s="9"/>
      <c r="AC529" s="9"/>
      <c r="AD529" s="9"/>
    </row>
    <row r="530" spans="1:30">
      <c r="A530" s="9"/>
      <c r="B530" s="9"/>
      <c r="C530" s="9"/>
      <c r="D530" s="9"/>
      <c r="E530" s="12"/>
      <c r="F530" s="9"/>
      <c r="G530" s="9"/>
      <c r="H530" s="18"/>
      <c r="I530" s="20"/>
      <c r="J530" s="9"/>
      <c r="K530" s="9"/>
      <c r="L530" s="9"/>
      <c r="M530" s="9"/>
      <c r="N530" s="9"/>
      <c r="O530" s="9"/>
      <c r="P530" s="9"/>
      <c r="Q530" s="9"/>
      <c r="R530" s="9"/>
      <c r="S530" s="9"/>
      <c r="T530" s="9"/>
      <c r="U530" s="9"/>
      <c r="V530" s="9"/>
      <c r="W530" s="9"/>
      <c r="X530" s="9"/>
      <c r="Y530" s="9"/>
      <c r="Z530" s="9"/>
      <c r="AA530" s="19"/>
      <c r="AB530" s="9"/>
      <c r="AC530" s="9"/>
      <c r="AD530" s="9"/>
    </row>
    <row r="531" spans="1:30">
      <c r="A531" s="9"/>
      <c r="B531" s="9"/>
      <c r="C531" s="9"/>
      <c r="D531" s="9"/>
      <c r="E531" s="12"/>
      <c r="F531" s="9"/>
      <c r="G531" s="9"/>
      <c r="H531" s="18"/>
      <c r="I531" s="20"/>
      <c r="J531" s="9"/>
      <c r="K531" s="9"/>
      <c r="L531" s="9"/>
      <c r="M531" s="9"/>
      <c r="N531" s="9"/>
      <c r="O531" s="9"/>
      <c r="P531" s="9"/>
      <c r="Q531" s="9"/>
      <c r="R531" s="9"/>
      <c r="S531" s="9"/>
      <c r="T531" s="9"/>
      <c r="U531" s="9"/>
      <c r="V531" s="9"/>
      <c r="W531" s="9"/>
      <c r="X531" s="9"/>
      <c r="Y531" s="9"/>
      <c r="Z531" s="9"/>
      <c r="AA531" s="19"/>
      <c r="AB531" s="9"/>
      <c r="AC531" s="9"/>
      <c r="AD531" s="9"/>
    </row>
    <row r="532" spans="1:30">
      <c r="A532" s="9"/>
      <c r="B532" s="9"/>
      <c r="C532" s="9"/>
      <c r="D532" s="9"/>
      <c r="E532" s="12"/>
      <c r="F532" s="9"/>
      <c r="G532" s="9"/>
      <c r="H532" s="18"/>
      <c r="I532" s="20"/>
      <c r="J532" s="9"/>
      <c r="K532" s="9"/>
      <c r="L532" s="9"/>
      <c r="M532" s="9"/>
      <c r="N532" s="9"/>
      <c r="O532" s="9"/>
      <c r="P532" s="9"/>
      <c r="Q532" s="9"/>
      <c r="R532" s="9"/>
      <c r="S532" s="9"/>
      <c r="T532" s="9"/>
      <c r="U532" s="9"/>
      <c r="V532" s="9"/>
      <c r="W532" s="9"/>
      <c r="X532" s="9"/>
      <c r="Y532" s="9"/>
      <c r="Z532" s="9"/>
      <c r="AA532" s="19"/>
      <c r="AB532" s="9"/>
      <c r="AC532" s="9"/>
      <c r="AD532" s="9"/>
    </row>
    <row r="533" spans="1:30">
      <c r="A533" s="9"/>
      <c r="B533" s="9"/>
      <c r="C533" s="9"/>
      <c r="D533" s="9"/>
      <c r="E533" s="12"/>
      <c r="F533" s="9"/>
      <c r="G533" s="9"/>
      <c r="H533" s="18"/>
      <c r="I533" s="20"/>
      <c r="J533" s="9"/>
      <c r="K533" s="9"/>
      <c r="L533" s="9"/>
      <c r="M533" s="9"/>
      <c r="N533" s="9"/>
      <c r="O533" s="9"/>
      <c r="P533" s="9"/>
      <c r="Q533" s="9"/>
      <c r="R533" s="9"/>
      <c r="S533" s="9"/>
      <c r="T533" s="9"/>
      <c r="U533" s="9"/>
      <c r="V533" s="9"/>
      <c r="W533" s="9"/>
      <c r="X533" s="9"/>
      <c r="Y533" s="9"/>
      <c r="Z533" s="9"/>
      <c r="AA533" s="19"/>
      <c r="AB533" s="9"/>
      <c r="AC533" s="9"/>
      <c r="AD533" s="9"/>
    </row>
    <row r="534" spans="1:30">
      <c r="A534" s="9"/>
      <c r="B534" s="9"/>
      <c r="C534" s="9"/>
      <c r="D534" s="9"/>
      <c r="E534" s="12"/>
      <c r="F534" s="9"/>
      <c r="G534" s="9"/>
      <c r="H534" s="18"/>
      <c r="I534" s="20"/>
      <c r="J534" s="9"/>
      <c r="K534" s="9"/>
      <c r="L534" s="9"/>
      <c r="M534" s="9"/>
      <c r="N534" s="9"/>
      <c r="O534" s="9"/>
      <c r="P534" s="9"/>
      <c r="Q534" s="9"/>
      <c r="R534" s="9"/>
      <c r="S534" s="9"/>
      <c r="T534" s="9"/>
      <c r="U534" s="9"/>
      <c r="V534" s="9"/>
      <c r="W534" s="9"/>
      <c r="X534" s="9"/>
      <c r="Y534" s="9"/>
      <c r="Z534" s="9"/>
      <c r="AA534" s="19"/>
      <c r="AB534" s="9"/>
      <c r="AC534" s="9"/>
      <c r="AD534" s="9"/>
    </row>
    <row r="535" spans="1:30">
      <c r="A535" s="9"/>
      <c r="B535" s="9"/>
      <c r="C535" s="9"/>
      <c r="D535" s="9"/>
      <c r="E535" s="12"/>
      <c r="F535" s="9"/>
      <c r="G535" s="9"/>
      <c r="H535" s="18"/>
      <c r="I535" s="20"/>
      <c r="J535" s="9"/>
      <c r="K535" s="9"/>
      <c r="L535" s="9"/>
      <c r="M535" s="9"/>
      <c r="N535" s="9"/>
      <c r="O535" s="9"/>
      <c r="P535" s="9"/>
      <c r="Q535" s="9"/>
      <c r="R535" s="9"/>
      <c r="S535" s="9"/>
      <c r="T535" s="9"/>
      <c r="U535" s="9"/>
      <c r="V535" s="9"/>
      <c r="W535" s="9"/>
      <c r="X535" s="9"/>
      <c r="Y535" s="9"/>
      <c r="Z535" s="9"/>
      <c r="AA535" s="19"/>
      <c r="AB535" s="9"/>
      <c r="AC535" s="9"/>
      <c r="AD535" s="9"/>
    </row>
    <row r="536" spans="1:30">
      <c r="A536" s="9"/>
      <c r="B536" s="9"/>
      <c r="C536" s="9"/>
      <c r="D536" s="9"/>
      <c r="E536" s="12"/>
      <c r="F536" s="9"/>
      <c r="G536" s="9"/>
      <c r="H536" s="18"/>
      <c r="I536" s="20"/>
      <c r="J536" s="9"/>
      <c r="K536" s="9"/>
      <c r="L536" s="9"/>
      <c r="M536" s="9"/>
      <c r="N536" s="9"/>
      <c r="O536" s="9"/>
      <c r="P536" s="9"/>
      <c r="Q536" s="9"/>
      <c r="R536" s="9"/>
      <c r="S536" s="9"/>
      <c r="T536" s="9"/>
      <c r="U536" s="9"/>
      <c r="V536" s="9"/>
      <c r="W536" s="9"/>
      <c r="X536" s="9"/>
      <c r="Y536" s="9"/>
      <c r="Z536" s="9"/>
      <c r="AA536" s="19"/>
      <c r="AB536" s="9"/>
      <c r="AC536" s="9"/>
      <c r="AD536" s="9"/>
    </row>
    <row r="537" spans="1:30">
      <c r="A537" s="9"/>
      <c r="B537" s="9"/>
      <c r="C537" s="9"/>
      <c r="D537" s="9"/>
      <c r="E537" s="12"/>
      <c r="F537" s="9"/>
      <c r="G537" s="9"/>
      <c r="H537" s="18"/>
      <c r="I537" s="20"/>
      <c r="J537" s="9"/>
      <c r="K537" s="9"/>
      <c r="L537" s="9"/>
      <c r="M537" s="9"/>
      <c r="N537" s="9"/>
      <c r="O537" s="9"/>
      <c r="P537" s="9"/>
      <c r="Q537" s="9"/>
      <c r="R537" s="9"/>
      <c r="S537" s="9"/>
      <c r="T537" s="9"/>
      <c r="U537" s="9"/>
      <c r="V537" s="9"/>
      <c r="W537" s="9"/>
      <c r="X537" s="9"/>
      <c r="Y537" s="9"/>
      <c r="Z537" s="9"/>
      <c r="AA537" s="19"/>
      <c r="AB537" s="9"/>
      <c r="AC537" s="9"/>
      <c r="AD537" s="9"/>
    </row>
  </sheetData>
  <mergeCells count="42">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 ref="F311:G311"/>
    <mergeCell ref="F73:G73"/>
    <mergeCell ref="F141:H141"/>
    <mergeCell ref="F175:H175"/>
    <mergeCell ref="F209:H209"/>
    <mergeCell ref="F277:I277"/>
    <mergeCell ref="F107:G107"/>
    <mergeCell ref="F243:H243"/>
    <mergeCell ref="G27:I27"/>
    <mergeCell ref="G25:I25"/>
    <mergeCell ref="G26:I26"/>
    <mergeCell ref="G29:I29"/>
    <mergeCell ref="G36:I36"/>
    <mergeCell ref="G30:I30"/>
    <mergeCell ref="G31:I31"/>
    <mergeCell ref="G32:I32"/>
    <mergeCell ref="G33:I33"/>
    <mergeCell ref="G34:I34"/>
    <mergeCell ref="G35:I35"/>
    <mergeCell ref="G23:I23"/>
    <mergeCell ref="G24:I24"/>
    <mergeCell ref="G17:I17"/>
    <mergeCell ref="G14:I14"/>
    <mergeCell ref="G20:I20"/>
    <mergeCell ref="G22:I22"/>
    <mergeCell ref="G19:I19"/>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5" right="0.75" top="1" bottom="1" header="0.5" footer="0.5"/>
  <pageSetup paperSize="9" scale="29" orientation="landscape" horizontalDpi="4294967292" r:id="rId1"/>
  <headerFooter alignWithMargins="0"/>
  <rowBreaks count="2" manualBreakCount="2">
    <brk id="72" min="5" max="23" man="1"/>
    <brk id="208" min="5"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61"/>
  <sheetViews>
    <sheetView zoomScaleNormal="100" workbookViewId="0">
      <pane ySplit="4" topLeftCell="A5" activePane="bottomLeft" state="frozen"/>
      <selection pane="bottomLeft" activeCell="M75" sqref="M75"/>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8" t="str">
        <f>"Adjustments for Previous Regulatory Control Period - RFM "&amp;Intro!L4</f>
        <v>Adjustments for Previous Regulatory Control Period - RFM Version: 2.0</v>
      </c>
      <c r="C2" s="9"/>
      <c r="D2" s="9"/>
      <c r="E2" s="9"/>
      <c r="F2" s="9"/>
      <c r="G2" s="9"/>
      <c r="H2" s="9"/>
      <c r="I2" s="9"/>
      <c r="J2" s="504"/>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7" t="s">
        <v>1</v>
      </c>
      <c r="C4" s="86"/>
      <c r="D4" s="86"/>
      <c r="E4" s="86"/>
      <c r="F4" s="148">
        <f>G4-1</f>
        <v>2009</v>
      </c>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c r="S4" s="53"/>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11</v>
      </c>
      <c r="C6" s="9"/>
      <c r="D6" s="39"/>
      <c r="E6" s="9"/>
      <c r="F6" s="484">
        <f>Input!G313</f>
        <v>4.9810844892812067E-2</v>
      </c>
      <c r="G6" s="203">
        <f>Input!H313</f>
        <v>1.2612612612612484E-2</v>
      </c>
      <c r="H6" s="20"/>
      <c r="I6" s="20"/>
      <c r="J6" s="20"/>
      <c r="K6" s="20"/>
      <c r="L6" s="20"/>
      <c r="M6" s="20"/>
      <c r="N6" s="20"/>
      <c r="O6" s="20"/>
      <c r="P6" s="20"/>
      <c r="Q6" s="20"/>
      <c r="R6" s="39"/>
      <c r="S6" s="53"/>
      <c r="T6" s="39"/>
      <c r="U6" s="39"/>
      <c r="V6" s="39"/>
      <c r="W6" s="39"/>
      <c r="X6" s="39"/>
      <c r="Y6" s="39"/>
      <c r="Z6" s="39"/>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4"/>
      <c r="BK6" s="224"/>
    </row>
    <row r="7" spans="1:256">
      <c r="A7" s="9"/>
      <c r="B7" s="100" t="s">
        <v>58</v>
      </c>
      <c r="C7" s="9"/>
      <c r="D7" s="9"/>
      <c r="E7" s="9"/>
      <c r="F7" s="9"/>
      <c r="G7" s="203"/>
      <c r="H7" s="239">
        <f>vanilla1</f>
        <v>9.9773884747631714E-2</v>
      </c>
      <c r="I7" s="99">
        <f>vanilla2</f>
        <v>0.10760851613481237</v>
      </c>
      <c r="J7" s="99">
        <f>vanilla3</f>
        <v>9.1389187803667227E-2</v>
      </c>
      <c r="K7" s="99">
        <f>vanilla4</f>
        <v>9.3069991436251831E-2</v>
      </c>
      <c r="L7" s="99">
        <f>vanilla5</f>
        <v>9.4638449855916518E-2</v>
      </c>
      <c r="M7" s="99">
        <f>vanilla6</f>
        <v>8.6036790941903307E-2</v>
      </c>
      <c r="N7" s="99">
        <f>vanilla7</f>
        <v>9.337920412036782E-2</v>
      </c>
      <c r="O7" s="99">
        <f>vanilla8</f>
        <v>9.337920412036782E-2</v>
      </c>
      <c r="P7" s="99">
        <f>vanilla9</f>
        <v>9.337920412036782E-2</v>
      </c>
      <c r="Q7" s="99">
        <f>vanilla10</f>
        <v>9.337920412036782E-2</v>
      </c>
      <c r="R7" s="99"/>
      <c r="S7" s="53"/>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4"/>
      <c r="BK7" s="224"/>
    </row>
    <row r="8" spans="1:256">
      <c r="A8" s="9"/>
      <c r="B8" s="100"/>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4"/>
      <c r="BK8" s="224"/>
    </row>
    <row r="9" spans="1:256">
      <c r="A9" s="85"/>
      <c r="B9" s="85" t="s">
        <v>16</v>
      </c>
      <c r="C9" s="113"/>
      <c r="D9" s="113"/>
      <c r="E9" s="113"/>
      <c r="F9" s="113"/>
      <c r="G9" s="113"/>
      <c r="H9" s="78"/>
      <c r="I9" s="78"/>
      <c r="J9" s="78"/>
      <c r="K9" s="78"/>
      <c r="L9" s="78"/>
      <c r="M9" s="78"/>
      <c r="N9" s="78"/>
      <c r="O9" s="78"/>
      <c r="P9" s="78"/>
      <c r="Q9" s="78"/>
      <c r="R9" s="78"/>
      <c r="S9" s="53"/>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4"/>
      <c r="BK9" s="224"/>
    </row>
    <row r="10" spans="1:256">
      <c r="A10" s="17"/>
      <c r="B10" s="17"/>
      <c r="C10" s="124"/>
      <c r="D10" s="124"/>
      <c r="E10" s="124"/>
      <c r="F10" s="124"/>
      <c r="G10" s="124"/>
      <c r="H10" s="12"/>
      <c r="I10" s="12"/>
      <c r="J10" s="12"/>
      <c r="K10" s="12"/>
      <c r="L10" s="12"/>
      <c r="M10" s="12"/>
      <c r="N10" s="12"/>
      <c r="O10" s="12"/>
      <c r="P10" s="12"/>
      <c r="Q10" s="12"/>
      <c r="R10" s="141"/>
      <c r="S10" s="53"/>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4"/>
      <c r="BK10" s="224"/>
    </row>
    <row r="11" spans="1:256">
      <c r="A11" s="9"/>
      <c r="B11" s="44" t="s">
        <v>54</v>
      </c>
      <c r="C11" s="9"/>
      <c r="D11" s="9"/>
      <c r="E11" s="9"/>
      <c r="F11" s="9"/>
      <c r="G11" s="310">
        <f>SUM(G12:G41)</f>
        <v>256.13131134785033</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4"/>
      <c r="BK11" s="224"/>
    </row>
    <row r="12" spans="1:256" ht="12.75" hidden="1" customHeight="1" outlineLevel="1">
      <c r="A12" s="9"/>
      <c r="B12" s="9"/>
      <c r="C12" s="271" t="str">
        <f>Asset1</f>
        <v>Subtransmission</v>
      </c>
      <c r="D12" s="9"/>
      <c r="E12" s="9"/>
      <c r="F12" s="9"/>
      <c r="G12" s="204">
        <f>Input!M7</f>
        <v>26.463578654632183</v>
      </c>
      <c r="H12" s="146"/>
      <c r="I12" s="146"/>
      <c r="J12" s="146"/>
      <c r="K12" s="146"/>
      <c r="L12" s="146"/>
      <c r="M12" s="140"/>
      <c r="N12" s="140"/>
      <c r="O12" s="140"/>
      <c r="P12" s="140"/>
      <c r="Q12" s="140"/>
      <c r="R12" s="141"/>
      <c r="S12" s="53"/>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4"/>
      <c r="BK12" s="224"/>
    </row>
    <row r="13" spans="1:256" ht="12.75" hidden="1" customHeight="1" outlineLevel="1">
      <c r="A13" s="9"/>
      <c r="B13" s="44"/>
      <c r="C13" s="271" t="str">
        <f>Asset2</f>
        <v>Distribution system assets</v>
      </c>
      <c r="D13" s="9"/>
      <c r="E13" s="9"/>
      <c r="F13" s="143"/>
      <c r="G13" s="204">
        <f>Input!M8</f>
        <v>172.58288269321812</v>
      </c>
      <c r="H13" s="146"/>
      <c r="I13" s="146"/>
      <c r="J13" s="146"/>
      <c r="K13" s="146"/>
      <c r="L13" s="146"/>
      <c r="M13" s="140"/>
      <c r="N13" s="140"/>
      <c r="O13" s="140"/>
      <c r="P13" s="140"/>
      <c r="Q13" s="140"/>
      <c r="R13" s="141"/>
      <c r="S13" s="53"/>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4"/>
      <c r="BK13" s="224"/>
    </row>
    <row r="14" spans="1:256" ht="12.75" hidden="1" customHeight="1" outlineLevel="1">
      <c r="A14" s="9"/>
      <c r="B14" s="44"/>
      <c r="C14" s="271" t="str">
        <f>Asset3</f>
        <v>Standard metering</v>
      </c>
      <c r="D14" s="9"/>
      <c r="E14" s="9"/>
      <c r="F14" s="143"/>
      <c r="G14" s="204">
        <f>Input!M9</f>
        <v>0</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4"/>
      <c r="BK14" s="224"/>
    </row>
    <row r="15" spans="1:256" ht="12.75" hidden="1" customHeight="1" outlineLevel="1">
      <c r="A15" s="9"/>
      <c r="B15" s="44"/>
      <c r="C15" s="271" t="str">
        <f>Asset4</f>
        <v>Public lighting</v>
      </c>
      <c r="D15" s="9"/>
      <c r="E15" s="9"/>
      <c r="F15" s="143"/>
      <c r="G15" s="204">
        <f>Input!M10</f>
        <v>0</v>
      </c>
      <c r="H15" s="146"/>
      <c r="I15" s="146"/>
      <c r="J15" s="146"/>
      <c r="K15" s="146"/>
      <c r="L15" s="146"/>
      <c r="M15" s="140"/>
      <c r="N15" s="140"/>
      <c r="O15" s="140"/>
      <c r="P15" s="140"/>
      <c r="Q15" s="140"/>
      <c r="R15" s="141"/>
      <c r="S15" s="53"/>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4"/>
      <c r="BK15" s="224"/>
    </row>
    <row r="16" spans="1:256" ht="12.75" hidden="1" customHeight="1" outlineLevel="1">
      <c r="A16" s="9"/>
      <c r="B16" s="44"/>
      <c r="C16" s="271" t="str">
        <f>Asset5</f>
        <v>SCADA/Network control</v>
      </c>
      <c r="D16" s="9"/>
      <c r="E16" s="9"/>
      <c r="F16" s="169"/>
      <c r="G16" s="204">
        <f>Input!M11</f>
        <v>1.96</v>
      </c>
      <c r="H16" s="146"/>
      <c r="I16" s="146"/>
      <c r="J16" s="146"/>
      <c r="K16" s="146"/>
      <c r="L16" s="146"/>
      <c r="M16" s="140"/>
      <c r="N16" s="140"/>
      <c r="O16" s="140"/>
      <c r="P16" s="140"/>
      <c r="Q16" s="140"/>
      <c r="R16" s="141"/>
      <c r="S16" s="53"/>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4"/>
      <c r="BK16" s="224"/>
    </row>
    <row r="17" spans="1:63" ht="12.75" hidden="1" customHeight="1" outlineLevel="1">
      <c r="A17" s="9"/>
      <c r="B17" s="44"/>
      <c r="C17" s="271" t="str">
        <f>Asset6</f>
        <v>Non-network general assets - IT</v>
      </c>
      <c r="D17" s="9"/>
      <c r="E17" s="9"/>
      <c r="F17" s="143"/>
      <c r="G17" s="204">
        <f>Input!M12</f>
        <v>48.754849999999998</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4"/>
      <c r="BK17" s="224"/>
    </row>
    <row r="18" spans="1:63" ht="12.75" hidden="1" customHeight="1" outlineLevel="1">
      <c r="A18" s="9"/>
      <c r="B18" s="44"/>
      <c r="C18" s="271" t="str">
        <f>Asset7</f>
        <v>Non-network general assets - Other</v>
      </c>
      <c r="D18" s="9"/>
      <c r="E18" s="9"/>
      <c r="F18" s="143"/>
      <c r="G18" s="204">
        <f>Input!M13</f>
        <v>6.37</v>
      </c>
      <c r="H18" s="146"/>
      <c r="I18" s="146"/>
      <c r="J18" s="146"/>
      <c r="K18" s="146"/>
      <c r="L18" s="146"/>
      <c r="M18" s="140"/>
      <c r="N18" s="140"/>
      <c r="O18" s="140"/>
      <c r="P18" s="140"/>
      <c r="Q18" s="140"/>
      <c r="R18" s="141"/>
      <c r="S18" s="53"/>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4"/>
      <c r="BK18" s="224"/>
    </row>
    <row r="19" spans="1:63" ht="12.75" hidden="1" customHeight="1" outlineLevel="1">
      <c r="A19" s="9"/>
      <c r="B19" s="44"/>
      <c r="C19" s="271" t="str">
        <f>Asset8</f>
        <v>Equity Raising Costs</v>
      </c>
      <c r="D19" s="9"/>
      <c r="E19" s="9"/>
      <c r="F19" s="143"/>
      <c r="G19" s="204">
        <f>Input!M14</f>
        <v>0</v>
      </c>
      <c r="H19" s="146"/>
      <c r="I19" s="146"/>
      <c r="J19" s="146"/>
      <c r="K19" s="146"/>
      <c r="L19" s="146"/>
      <c r="M19" s="140"/>
      <c r="N19" s="140"/>
      <c r="O19" s="140"/>
      <c r="P19" s="140"/>
      <c r="Q19" s="140"/>
      <c r="R19" s="141"/>
      <c r="S19" s="53"/>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4"/>
      <c r="BK19" s="224"/>
    </row>
    <row r="20" spans="1:63" ht="12.75" hidden="1" customHeight="1" outlineLevel="1">
      <c r="A20" s="9"/>
      <c r="B20" s="44"/>
      <c r="C20" s="271">
        <f>Asset9</f>
        <v>0</v>
      </c>
      <c r="D20" s="9"/>
      <c r="E20" s="9"/>
      <c r="F20" s="143"/>
      <c r="G20" s="204">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4"/>
      <c r="BK20" s="224"/>
    </row>
    <row r="21" spans="1:63" ht="12.75" hidden="1" customHeight="1" outlineLevel="1">
      <c r="A21" s="9"/>
      <c r="B21" s="44"/>
      <c r="C21" s="271">
        <f>Asset10</f>
        <v>0</v>
      </c>
      <c r="D21" s="9"/>
      <c r="E21" s="9"/>
      <c r="F21" s="143"/>
      <c r="G21" s="204">
        <f>Input!M16</f>
        <v>0</v>
      </c>
      <c r="H21" s="146"/>
      <c r="I21" s="146"/>
      <c r="J21" s="146"/>
      <c r="K21" s="146"/>
      <c r="L21" s="146"/>
      <c r="M21" s="140"/>
      <c r="N21" s="140"/>
      <c r="O21" s="140"/>
      <c r="P21" s="140"/>
      <c r="Q21" s="140"/>
      <c r="R21" s="141"/>
      <c r="S21" s="53"/>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4"/>
      <c r="BK21" s="224"/>
    </row>
    <row r="22" spans="1:63" ht="12.75" hidden="1" customHeight="1" outlineLevel="1">
      <c r="A22" s="9"/>
      <c r="B22" s="44"/>
      <c r="C22" s="271">
        <f>Asset11</f>
        <v>0</v>
      </c>
      <c r="D22" s="9"/>
      <c r="E22" s="9"/>
      <c r="F22" s="143"/>
      <c r="G22" s="204">
        <f>Input!M17</f>
        <v>0</v>
      </c>
      <c r="H22" s="146"/>
      <c r="I22" s="146"/>
      <c r="J22" s="146"/>
      <c r="K22" s="146"/>
      <c r="L22" s="146"/>
      <c r="M22" s="140"/>
      <c r="N22" s="140"/>
      <c r="O22" s="140"/>
      <c r="P22" s="140"/>
      <c r="Q22" s="140"/>
      <c r="R22" s="141"/>
      <c r="S22" s="53"/>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4"/>
      <c r="BK22" s="224"/>
    </row>
    <row r="23" spans="1:63" ht="12.75" hidden="1" customHeight="1" outlineLevel="1">
      <c r="A23" s="9"/>
      <c r="B23" s="44"/>
      <c r="C23" s="271">
        <f>Asset12</f>
        <v>0</v>
      </c>
      <c r="D23" s="9"/>
      <c r="E23" s="9"/>
      <c r="F23" s="143"/>
      <c r="G23" s="204">
        <f>Input!M18</f>
        <v>0</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4"/>
      <c r="BK23" s="224"/>
    </row>
    <row r="24" spans="1:63" ht="12.75" hidden="1" customHeight="1" outlineLevel="1">
      <c r="A24" s="9"/>
      <c r="B24" s="44"/>
      <c r="C24" s="271">
        <f>Asset13</f>
        <v>0</v>
      </c>
      <c r="D24" s="9"/>
      <c r="E24" s="9"/>
      <c r="F24" s="143"/>
      <c r="G24" s="204">
        <f>Input!M19</f>
        <v>0</v>
      </c>
      <c r="H24" s="146"/>
      <c r="I24" s="146"/>
      <c r="J24" s="146"/>
      <c r="K24" s="146"/>
      <c r="L24" s="146"/>
      <c r="M24" s="140"/>
      <c r="N24" s="140"/>
      <c r="O24" s="140"/>
      <c r="P24" s="140"/>
      <c r="Q24" s="140"/>
      <c r="R24" s="141"/>
      <c r="S24" s="53"/>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4"/>
      <c r="BK24" s="224"/>
    </row>
    <row r="25" spans="1:63" ht="12.75" hidden="1" customHeight="1" outlineLevel="1">
      <c r="A25" s="9"/>
      <c r="B25" s="44"/>
      <c r="C25" s="271">
        <f>Asset14</f>
        <v>0</v>
      </c>
      <c r="D25" s="9"/>
      <c r="E25" s="9"/>
      <c r="F25" s="143"/>
      <c r="G25" s="204">
        <f>Input!M20</f>
        <v>0</v>
      </c>
      <c r="H25" s="146"/>
      <c r="I25" s="146"/>
      <c r="J25" s="146"/>
      <c r="K25" s="146"/>
      <c r="L25" s="146"/>
      <c r="M25" s="140"/>
      <c r="N25" s="140"/>
      <c r="O25" s="140"/>
      <c r="P25" s="140"/>
      <c r="Q25" s="140"/>
      <c r="R25" s="141"/>
      <c r="S25" s="53"/>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4"/>
      <c r="BK25" s="224"/>
    </row>
    <row r="26" spans="1:63" ht="12.75" hidden="1" customHeight="1" outlineLevel="1">
      <c r="A26" s="9"/>
      <c r="B26" s="44"/>
      <c r="C26" s="271">
        <f>Asset15</f>
        <v>0</v>
      </c>
      <c r="D26" s="9"/>
      <c r="E26" s="9"/>
      <c r="F26" s="143"/>
      <c r="G26" s="204">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4"/>
      <c r="BK26" s="224"/>
    </row>
    <row r="27" spans="1:63" ht="12.75" hidden="1" customHeight="1" outlineLevel="1">
      <c r="A27" s="9"/>
      <c r="B27" s="44"/>
      <c r="C27" s="271">
        <f>Asset16</f>
        <v>0</v>
      </c>
      <c r="D27" s="9"/>
      <c r="E27" s="9"/>
      <c r="F27" s="143"/>
      <c r="G27" s="204">
        <f>Input!M22</f>
        <v>0</v>
      </c>
      <c r="H27" s="146"/>
      <c r="I27" s="146"/>
      <c r="J27" s="146"/>
      <c r="K27" s="146"/>
      <c r="L27" s="146"/>
      <c r="M27" s="140"/>
      <c r="N27" s="140"/>
      <c r="O27" s="140"/>
      <c r="P27" s="140"/>
      <c r="Q27" s="140"/>
      <c r="R27" s="141"/>
      <c r="S27" s="53"/>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4"/>
      <c r="BK27" s="224"/>
    </row>
    <row r="28" spans="1:63" ht="12.75" hidden="1" customHeight="1" outlineLevel="1">
      <c r="A28" s="9"/>
      <c r="B28" s="44"/>
      <c r="C28" s="271">
        <f>Asset17</f>
        <v>0</v>
      </c>
      <c r="D28" s="9"/>
      <c r="E28" s="9"/>
      <c r="F28" s="143"/>
      <c r="G28" s="204">
        <f>Input!M23</f>
        <v>0</v>
      </c>
      <c r="H28" s="146"/>
      <c r="I28" s="146"/>
      <c r="J28" s="146"/>
      <c r="K28" s="146"/>
      <c r="L28" s="146"/>
      <c r="M28" s="140"/>
      <c r="N28" s="140"/>
      <c r="O28" s="140"/>
      <c r="P28" s="140"/>
      <c r="Q28" s="140"/>
      <c r="R28" s="141"/>
      <c r="S28" s="53"/>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4"/>
      <c r="BK28" s="224"/>
    </row>
    <row r="29" spans="1:63" ht="12.75" hidden="1" customHeight="1" outlineLevel="1">
      <c r="A29" s="9"/>
      <c r="B29" s="44"/>
      <c r="C29" s="271">
        <f>Asset18</f>
        <v>0</v>
      </c>
      <c r="D29" s="9"/>
      <c r="E29" s="9"/>
      <c r="F29" s="143"/>
      <c r="G29" s="204">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4"/>
      <c r="BK29" s="224"/>
    </row>
    <row r="30" spans="1:63" ht="12.75" hidden="1" customHeight="1" outlineLevel="1">
      <c r="A30" s="9"/>
      <c r="B30" s="44"/>
      <c r="C30" s="271">
        <f>Asset19</f>
        <v>0</v>
      </c>
      <c r="D30" s="9"/>
      <c r="E30" s="9"/>
      <c r="F30" s="143"/>
      <c r="G30" s="204">
        <f>Input!M25</f>
        <v>0</v>
      </c>
      <c r="H30" s="146"/>
      <c r="I30" s="146"/>
      <c r="J30" s="146"/>
      <c r="K30" s="146"/>
      <c r="L30" s="146"/>
      <c r="M30" s="140"/>
      <c r="N30" s="140"/>
      <c r="O30" s="140"/>
      <c r="P30" s="140"/>
      <c r="Q30" s="140"/>
      <c r="R30" s="141"/>
      <c r="S30" s="53"/>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4"/>
      <c r="BK30" s="224"/>
    </row>
    <row r="31" spans="1:63" ht="12.75" hidden="1" customHeight="1" outlineLevel="1">
      <c r="A31" s="9"/>
      <c r="B31" s="44"/>
      <c r="C31" s="271">
        <f>Asset20</f>
        <v>0</v>
      </c>
      <c r="D31" s="9"/>
      <c r="E31" s="9"/>
      <c r="F31" s="143"/>
      <c r="G31" s="204">
        <f>Input!M26</f>
        <v>0</v>
      </c>
      <c r="H31" s="146"/>
      <c r="I31" s="146"/>
      <c r="J31" s="146"/>
      <c r="K31" s="146"/>
      <c r="L31" s="146"/>
      <c r="M31" s="140"/>
      <c r="N31" s="140"/>
      <c r="O31" s="140"/>
      <c r="P31" s="140"/>
      <c r="Q31" s="140"/>
      <c r="R31" s="141"/>
      <c r="S31" s="53"/>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4"/>
      <c r="BK31" s="224"/>
    </row>
    <row r="32" spans="1:63" ht="12.75" hidden="1" customHeight="1" outlineLevel="1">
      <c r="A32" s="9"/>
      <c r="B32" s="44"/>
      <c r="C32" s="271">
        <f>Asset21</f>
        <v>0</v>
      </c>
      <c r="D32" s="9"/>
      <c r="E32" s="9"/>
      <c r="F32" s="143"/>
      <c r="G32" s="204">
        <f>Input!M27</f>
        <v>0</v>
      </c>
      <c r="H32" s="146"/>
      <c r="I32" s="146"/>
      <c r="J32" s="146"/>
      <c r="K32" s="146"/>
      <c r="L32" s="146"/>
      <c r="M32" s="140"/>
      <c r="N32" s="140"/>
      <c r="O32" s="140"/>
      <c r="P32" s="140"/>
      <c r="Q32" s="140"/>
      <c r="R32" s="141"/>
      <c r="S32" s="53"/>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4"/>
      <c r="BK32" s="224"/>
    </row>
    <row r="33" spans="1:63" ht="12.75" hidden="1" customHeight="1" outlineLevel="1">
      <c r="A33" s="9"/>
      <c r="B33" s="44"/>
      <c r="C33" s="271">
        <f>Asset22</f>
        <v>0</v>
      </c>
      <c r="D33" s="9"/>
      <c r="E33" s="9"/>
      <c r="F33" s="143"/>
      <c r="G33" s="204">
        <f>Input!M28</f>
        <v>0</v>
      </c>
      <c r="H33" s="146"/>
      <c r="I33" s="146"/>
      <c r="J33" s="146"/>
      <c r="K33" s="146"/>
      <c r="L33" s="146"/>
      <c r="M33" s="140"/>
      <c r="N33" s="140"/>
      <c r="O33" s="140"/>
      <c r="P33" s="140"/>
      <c r="Q33" s="140"/>
      <c r="R33" s="141"/>
      <c r="S33" s="53"/>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4"/>
      <c r="BK33" s="224"/>
    </row>
    <row r="34" spans="1:63" ht="12.75" hidden="1" customHeight="1" outlineLevel="1">
      <c r="A34" s="9"/>
      <c r="B34" s="44"/>
      <c r="C34" s="271">
        <f>Asset23</f>
        <v>0</v>
      </c>
      <c r="D34" s="9"/>
      <c r="E34" s="9"/>
      <c r="F34" s="143"/>
      <c r="G34" s="204">
        <f>Input!M29</f>
        <v>0</v>
      </c>
      <c r="H34" s="146"/>
      <c r="I34" s="146"/>
      <c r="J34" s="146"/>
      <c r="K34" s="146"/>
      <c r="L34" s="146"/>
      <c r="M34" s="140"/>
      <c r="N34" s="140"/>
      <c r="O34" s="140"/>
      <c r="P34" s="140"/>
      <c r="Q34" s="140"/>
      <c r="R34" s="141"/>
      <c r="S34" s="53"/>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4"/>
      <c r="BK34" s="224"/>
    </row>
    <row r="35" spans="1:63" ht="12.75" hidden="1" customHeight="1" outlineLevel="1">
      <c r="A35" s="9"/>
      <c r="B35" s="44"/>
      <c r="C35" s="271">
        <f>Asset24</f>
        <v>0</v>
      </c>
      <c r="D35" s="9"/>
      <c r="E35" s="9"/>
      <c r="F35" s="143"/>
      <c r="G35" s="204">
        <f>Input!M30</f>
        <v>0</v>
      </c>
      <c r="H35" s="146"/>
      <c r="I35" s="146"/>
      <c r="J35" s="146"/>
      <c r="K35" s="146"/>
      <c r="L35" s="146"/>
      <c r="M35" s="140"/>
      <c r="N35" s="140"/>
      <c r="O35" s="140"/>
      <c r="P35" s="140"/>
      <c r="Q35" s="140"/>
      <c r="R35" s="141"/>
      <c r="S35" s="53"/>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4"/>
      <c r="BK35" s="224"/>
    </row>
    <row r="36" spans="1:63" ht="12.75" hidden="1" customHeight="1" outlineLevel="1">
      <c r="A36" s="9"/>
      <c r="B36" s="44"/>
      <c r="C36" s="271">
        <f>Asset25</f>
        <v>0</v>
      </c>
      <c r="D36" s="9"/>
      <c r="E36" s="9"/>
      <c r="F36" s="143"/>
      <c r="G36" s="204">
        <f>Input!M31</f>
        <v>0</v>
      </c>
      <c r="H36" s="146"/>
      <c r="I36" s="146"/>
      <c r="J36" s="146"/>
      <c r="K36" s="146"/>
      <c r="L36" s="146"/>
      <c r="M36" s="140"/>
      <c r="N36" s="140"/>
      <c r="O36" s="140"/>
      <c r="P36" s="140"/>
      <c r="Q36" s="140"/>
      <c r="R36" s="141"/>
      <c r="S36" s="53"/>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4"/>
      <c r="BK36" s="224"/>
    </row>
    <row r="37" spans="1:63" ht="12.75" hidden="1" customHeight="1" outlineLevel="1">
      <c r="A37" s="9"/>
      <c r="B37" s="44"/>
      <c r="C37" s="271">
        <f>Asset26</f>
        <v>0</v>
      </c>
      <c r="D37" s="9"/>
      <c r="E37" s="9"/>
      <c r="F37" s="143"/>
      <c r="G37" s="204">
        <f>Input!M32</f>
        <v>0</v>
      </c>
      <c r="H37" s="146"/>
      <c r="I37" s="146"/>
      <c r="J37" s="146"/>
      <c r="K37" s="146"/>
      <c r="L37" s="146"/>
      <c r="M37" s="140"/>
      <c r="N37" s="140"/>
      <c r="O37" s="140"/>
      <c r="P37" s="140"/>
      <c r="Q37" s="140"/>
      <c r="R37" s="141"/>
      <c r="S37" s="53"/>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4"/>
      <c r="BK37" s="224"/>
    </row>
    <row r="38" spans="1:63" ht="12.75" hidden="1" customHeight="1" outlineLevel="1">
      <c r="A38" s="9"/>
      <c r="B38" s="44"/>
      <c r="C38" s="271">
        <f>Asset27</f>
        <v>0</v>
      </c>
      <c r="D38" s="9"/>
      <c r="E38" s="9"/>
      <c r="F38" s="143"/>
      <c r="G38" s="204">
        <f>Input!M33</f>
        <v>0</v>
      </c>
      <c r="H38" s="146"/>
      <c r="I38" s="146"/>
      <c r="J38" s="146"/>
      <c r="K38" s="146"/>
      <c r="L38" s="146"/>
      <c r="M38" s="140"/>
      <c r="N38" s="140"/>
      <c r="O38" s="140"/>
      <c r="P38" s="140"/>
      <c r="Q38" s="140"/>
      <c r="R38" s="141"/>
      <c r="S38" s="53"/>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4"/>
      <c r="BK38" s="224"/>
    </row>
    <row r="39" spans="1:63" ht="12.75" hidden="1" customHeight="1" outlineLevel="1">
      <c r="A39" s="9"/>
      <c r="B39" s="44"/>
      <c r="C39" s="271">
        <f>Asset28</f>
        <v>0</v>
      </c>
      <c r="D39" s="9"/>
      <c r="E39" s="9"/>
      <c r="F39" s="143"/>
      <c r="G39" s="204">
        <f>Input!M34</f>
        <v>0</v>
      </c>
      <c r="H39" s="146"/>
      <c r="I39" s="146"/>
      <c r="J39" s="146"/>
      <c r="K39" s="146"/>
      <c r="L39" s="146"/>
      <c r="M39" s="140"/>
      <c r="N39" s="140"/>
      <c r="O39" s="140"/>
      <c r="P39" s="140"/>
      <c r="Q39" s="140"/>
      <c r="R39" s="141"/>
      <c r="S39" s="53"/>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4"/>
      <c r="BK39" s="224"/>
    </row>
    <row r="40" spans="1:63" ht="12.75" hidden="1" customHeight="1" outlineLevel="1">
      <c r="A40" s="9"/>
      <c r="B40" s="44"/>
      <c r="C40" s="271">
        <f>Asset29</f>
        <v>0</v>
      </c>
      <c r="D40" s="9"/>
      <c r="E40" s="9"/>
      <c r="F40" s="143"/>
      <c r="G40" s="204">
        <f>Input!M35</f>
        <v>0</v>
      </c>
      <c r="H40" s="146"/>
      <c r="I40" s="146"/>
      <c r="J40" s="146"/>
      <c r="K40" s="146"/>
      <c r="L40" s="146"/>
      <c r="M40" s="140"/>
      <c r="N40" s="140"/>
      <c r="O40" s="140"/>
      <c r="P40" s="140"/>
      <c r="Q40" s="140"/>
      <c r="R40" s="141"/>
      <c r="S40" s="53"/>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4"/>
      <c r="BK40" s="224"/>
    </row>
    <row r="41" spans="1:63" ht="12.75" hidden="1" customHeight="1" outlineLevel="1">
      <c r="A41" s="9"/>
      <c r="B41" s="44"/>
      <c r="C41" s="271">
        <f>Asset30</f>
        <v>0</v>
      </c>
      <c r="D41" s="9"/>
      <c r="E41" s="9"/>
      <c r="F41" s="143"/>
      <c r="G41" s="204">
        <f>Input!M36</f>
        <v>0</v>
      </c>
      <c r="H41" s="146"/>
      <c r="I41" s="146"/>
      <c r="J41" s="146"/>
      <c r="K41" s="146"/>
      <c r="L41" s="146"/>
      <c r="M41" s="140"/>
      <c r="N41" s="140"/>
      <c r="O41" s="140"/>
      <c r="P41" s="140"/>
      <c r="Q41" s="140"/>
      <c r="R41" s="141"/>
      <c r="S41" s="53"/>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4"/>
      <c r="BK41" s="224"/>
    </row>
    <row r="42" spans="1:63" collapsed="1">
      <c r="A42" s="9"/>
      <c r="B42" s="44"/>
      <c r="C42" s="131"/>
      <c r="D42" s="9"/>
      <c r="E42" s="9"/>
      <c r="F42" s="143"/>
      <c r="G42" s="204"/>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4"/>
      <c r="BK42" s="224"/>
    </row>
    <row r="43" spans="1:63">
      <c r="A43" s="9"/>
      <c r="B43" s="44" t="s">
        <v>10</v>
      </c>
      <c r="C43" s="9"/>
      <c r="D43" s="9"/>
      <c r="E43" s="9"/>
      <c r="F43" s="9"/>
      <c r="G43" s="310">
        <f>SUM(G44:G73)</f>
        <v>237.95874196133596</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4"/>
      <c r="BK43" s="224"/>
    </row>
    <row r="44" spans="1:63" hidden="1" outlineLevel="1">
      <c r="A44" s="9"/>
      <c r="B44" s="9"/>
      <c r="C44" s="271" t="str">
        <f>Asset1</f>
        <v>Subtransmission</v>
      </c>
      <c r="D44" s="9"/>
      <c r="E44" s="9"/>
      <c r="F44" s="9"/>
      <c r="G44" s="204">
        <f>Input!G143*(1+previous_vanilla)^0.5</f>
        <v>25.126956947635545</v>
      </c>
      <c r="H44" s="115"/>
      <c r="I44" s="115"/>
      <c r="J44" s="115"/>
      <c r="K44" s="115"/>
      <c r="L44" s="115"/>
      <c r="M44" s="115"/>
      <c r="N44" s="9"/>
      <c r="O44" s="9"/>
      <c r="P44" s="9"/>
      <c r="Q44" s="9"/>
      <c r="R44" s="9"/>
      <c r="S44" s="9"/>
      <c r="T44" s="9"/>
      <c r="U44" s="9"/>
      <c r="V44" s="9"/>
      <c r="W44" s="9"/>
      <c r="X44" s="9"/>
      <c r="Y44" s="9"/>
      <c r="Z44" s="9"/>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row>
    <row r="45" spans="1:63" hidden="1" outlineLevel="1">
      <c r="A45" s="9"/>
      <c r="B45" s="44"/>
      <c r="C45" s="271" t="str">
        <f>Asset2</f>
        <v>Distribution system assets</v>
      </c>
      <c r="D45" s="9"/>
      <c r="E45" s="9"/>
      <c r="F45" s="143"/>
      <c r="G45" s="204">
        <f>Input!G144*(1+previous_vanilla)^0.5</f>
        <v>171.28113622238632</v>
      </c>
      <c r="H45" s="115"/>
      <c r="I45" s="115"/>
      <c r="J45" s="115"/>
      <c r="K45" s="115"/>
      <c r="L45" s="115"/>
      <c r="M45" s="115"/>
      <c r="N45" s="29"/>
      <c r="O45" s="29"/>
      <c r="P45" s="29"/>
      <c r="Q45" s="29"/>
      <c r="R45" s="104"/>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4"/>
      <c r="BK45" s="224"/>
    </row>
    <row r="46" spans="1:63" hidden="1" outlineLevel="1">
      <c r="A46" s="9"/>
      <c r="B46" s="44"/>
      <c r="C46" s="271" t="str">
        <f>Asset3</f>
        <v>Standard metering</v>
      </c>
      <c r="D46" s="9"/>
      <c r="E46" s="9"/>
      <c r="F46" s="143"/>
      <c r="G46" s="204">
        <f>Input!G145*(1+previous_vanilla)^0.5</f>
        <v>0</v>
      </c>
      <c r="H46" s="115"/>
      <c r="I46" s="115"/>
      <c r="J46" s="115"/>
      <c r="K46" s="115"/>
      <c r="L46" s="115"/>
      <c r="M46" s="115"/>
      <c r="N46" s="29"/>
      <c r="O46" s="29"/>
      <c r="P46" s="29"/>
      <c r="Q46" s="29"/>
      <c r="R46" s="104"/>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4"/>
      <c r="BK46" s="224"/>
    </row>
    <row r="47" spans="1:63" hidden="1" outlineLevel="1">
      <c r="A47" s="9"/>
      <c r="B47" s="44"/>
      <c r="C47" s="271" t="str">
        <f>Asset4</f>
        <v>Public lighting</v>
      </c>
      <c r="D47" s="9"/>
      <c r="E47" s="9"/>
      <c r="F47" s="143"/>
      <c r="G47" s="204">
        <f>Input!G146*(1+previous_vanilla)^0.5</f>
        <v>0</v>
      </c>
      <c r="H47" s="115"/>
      <c r="I47" s="115"/>
      <c r="J47" s="115"/>
      <c r="K47" s="115"/>
      <c r="L47" s="115"/>
      <c r="M47" s="115"/>
      <c r="N47" s="29"/>
      <c r="O47" s="29"/>
      <c r="P47" s="29"/>
      <c r="Q47" s="29"/>
      <c r="R47" s="104"/>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4"/>
      <c r="BK47" s="224"/>
    </row>
    <row r="48" spans="1:63" hidden="1" outlineLevel="1">
      <c r="A48" s="9"/>
      <c r="B48" s="44"/>
      <c r="C48" s="271" t="str">
        <f>Asset5</f>
        <v>SCADA/Network control</v>
      </c>
      <c r="D48" s="9"/>
      <c r="E48" s="9"/>
      <c r="F48" s="143"/>
      <c r="G48" s="204">
        <f>Input!G147*(1+previous_vanilla)^0.5</f>
        <v>3.0959421498995483</v>
      </c>
      <c r="H48" s="115"/>
      <c r="I48" s="115"/>
      <c r="J48" s="115"/>
      <c r="K48" s="115"/>
      <c r="L48" s="115"/>
      <c r="M48" s="115"/>
      <c r="N48" s="29"/>
      <c r="O48" s="29"/>
      <c r="P48" s="29"/>
      <c r="Q48" s="29"/>
      <c r="R48" s="104"/>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4"/>
      <c r="BK48" s="224"/>
    </row>
    <row r="49" spans="1:63" hidden="1" outlineLevel="1">
      <c r="A49" s="9"/>
      <c r="B49" s="44"/>
      <c r="C49" s="271" t="str">
        <f>Asset6</f>
        <v>Non-network general assets - IT</v>
      </c>
      <c r="D49" s="9"/>
      <c r="E49" s="9"/>
      <c r="F49" s="143"/>
      <c r="G49" s="204">
        <f>Input!G148*(1+previous_vanilla)^0.5</f>
        <v>35.090722072477305</v>
      </c>
      <c r="H49" s="115"/>
      <c r="I49" s="115"/>
      <c r="J49" s="115"/>
      <c r="K49" s="115"/>
      <c r="L49" s="115"/>
      <c r="M49" s="115"/>
      <c r="N49" s="29"/>
      <c r="O49" s="29"/>
      <c r="P49" s="29"/>
      <c r="Q49" s="29"/>
      <c r="R49" s="104"/>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4"/>
      <c r="BK49" s="224"/>
    </row>
    <row r="50" spans="1:63" hidden="1" outlineLevel="1">
      <c r="A50" s="9"/>
      <c r="B50" s="44"/>
      <c r="C50" s="271" t="str">
        <f>Asset7</f>
        <v>Non-network general assets - Other</v>
      </c>
      <c r="D50" s="9"/>
      <c r="E50" s="9"/>
      <c r="F50" s="143"/>
      <c r="G50" s="204">
        <f>Input!G149*(1+previous_vanilla)^0.5</f>
        <v>3.3639845689372425</v>
      </c>
      <c r="H50" s="115"/>
      <c r="I50" s="115"/>
      <c r="J50" s="115"/>
      <c r="K50" s="115"/>
      <c r="L50" s="115"/>
      <c r="M50" s="115"/>
      <c r="N50" s="29"/>
      <c r="O50" s="29"/>
      <c r="P50" s="29"/>
      <c r="Q50" s="29"/>
      <c r="R50" s="104"/>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4"/>
      <c r="BK50" s="224"/>
    </row>
    <row r="51" spans="1:63" hidden="1" outlineLevel="1">
      <c r="A51" s="9"/>
      <c r="B51" s="44"/>
      <c r="C51" s="271" t="str">
        <f>Asset8</f>
        <v>Equity Raising Costs</v>
      </c>
      <c r="D51" s="9"/>
      <c r="E51" s="9"/>
      <c r="F51" s="143"/>
      <c r="G51" s="204">
        <f>Input!G150*(1+previous_vanilla)^0.5</f>
        <v>0</v>
      </c>
      <c r="H51" s="115"/>
      <c r="I51" s="115"/>
      <c r="J51" s="115"/>
      <c r="K51" s="115"/>
      <c r="L51" s="115"/>
      <c r="M51" s="115"/>
      <c r="N51" s="29"/>
      <c r="O51" s="29"/>
      <c r="P51" s="29"/>
      <c r="Q51" s="29"/>
      <c r="R51" s="104"/>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4"/>
      <c r="BK51" s="224"/>
    </row>
    <row r="52" spans="1:63" hidden="1" outlineLevel="1">
      <c r="A52" s="9"/>
      <c r="B52" s="44"/>
      <c r="C52" s="271">
        <f>Asset9</f>
        <v>0</v>
      </c>
      <c r="D52" s="9"/>
      <c r="E52" s="9"/>
      <c r="F52" s="143"/>
      <c r="G52" s="204">
        <f>Input!G151*(1+previous_vanilla)^0.5</f>
        <v>0</v>
      </c>
      <c r="H52" s="115"/>
      <c r="I52" s="115"/>
      <c r="J52" s="115"/>
      <c r="K52" s="115"/>
      <c r="L52" s="115"/>
      <c r="M52" s="115"/>
      <c r="N52" s="29"/>
      <c r="O52" s="29"/>
      <c r="P52" s="29"/>
      <c r="Q52" s="29"/>
      <c r="R52" s="104"/>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4"/>
      <c r="BK52" s="224"/>
    </row>
    <row r="53" spans="1:63" hidden="1" outlineLevel="1">
      <c r="A53" s="9"/>
      <c r="B53" s="44"/>
      <c r="C53" s="271">
        <f>Asset10</f>
        <v>0</v>
      </c>
      <c r="D53" s="9"/>
      <c r="E53" s="9"/>
      <c r="F53" s="143"/>
      <c r="G53" s="204">
        <f>Input!G152*(1+previous_vanilla)^0.5</f>
        <v>0</v>
      </c>
      <c r="H53" s="115"/>
      <c r="I53" s="115"/>
      <c r="J53" s="115"/>
      <c r="K53" s="115"/>
      <c r="L53" s="115"/>
      <c r="M53" s="115"/>
      <c r="N53" s="29"/>
      <c r="O53" s="29"/>
      <c r="P53" s="29"/>
      <c r="Q53" s="29"/>
      <c r="R53" s="104"/>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4"/>
      <c r="BK53" s="224"/>
    </row>
    <row r="54" spans="1:63" hidden="1" outlineLevel="1">
      <c r="A54" s="9"/>
      <c r="B54" s="44"/>
      <c r="C54" s="271">
        <f>Asset11</f>
        <v>0</v>
      </c>
      <c r="D54" s="9"/>
      <c r="E54" s="9"/>
      <c r="F54" s="143"/>
      <c r="G54" s="204">
        <f>Input!G153*(1+previous_vanilla)^0.5</f>
        <v>0</v>
      </c>
      <c r="H54" s="115"/>
      <c r="I54" s="115"/>
      <c r="J54" s="115"/>
      <c r="K54" s="115"/>
      <c r="L54" s="115"/>
      <c r="M54" s="115"/>
      <c r="N54" s="29"/>
      <c r="O54" s="29"/>
      <c r="P54" s="29"/>
      <c r="Q54" s="29"/>
      <c r="R54" s="104"/>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4"/>
      <c r="BK54" s="224"/>
    </row>
    <row r="55" spans="1:63" hidden="1" outlineLevel="1">
      <c r="A55" s="9"/>
      <c r="B55" s="44"/>
      <c r="C55" s="271">
        <f>Asset12</f>
        <v>0</v>
      </c>
      <c r="D55" s="9"/>
      <c r="E55" s="9"/>
      <c r="F55" s="143"/>
      <c r="G55" s="204">
        <f>Input!G154*(1+previous_vanilla)^0.5</f>
        <v>0</v>
      </c>
      <c r="H55" s="115"/>
      <c r="I55" s="115"/>
      <c r="J55" s="115"/>
      <c r="K55" s="115"/>
      <c r="L55" s="115"/>
      <c r="M55" s="115"/>
      <c r="N55" s="29"/>
      <c r="O55" s="29"/>
      <c r="P55" s="29"/>
      <c r="Q55" s="29"/>
      <c r="R55" s="104"/>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4"/>
      <c r="BK55" s="224"/>
    </row>
    <row r="56" spans="1:63" hidden="1" outlineLevel="1">
      <c r="A56" s="9"/>
      <c r="B56" s="44"/>
      <c r="C56" s="271">
        <f>Asset13</f>
        <v>0</v>
      </c>
      <c r="D56" s="9"/>
      <c r="E56" s="9"/>
      <c r="F56" s="143"/>
      <c r="G56" s="204">
        <f>Input!G155*(1+previous_vanilla)^0.5</f>
        <v>0</v>
      </c>
      <c r="H56" s="115"/>
      <c r="I56" s="115"/>
      <c r="J56" s="115"/>
      <c r="K56" s="115"/>
      <c r="L56" s="115"/>
      <c r="M56" s="115"/>
      <c r="N56" s="29"/>
      <c r="O56" s="29"/>
      <c r="P56" s="29"/>
      <c r="Q56" s="29"/>
      <c r="R56" s="104"/>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4"/>
      <c r="BK56" s="224"/>
    </row>
    <row r="57" spans="1:63" hidden="1" outlineLevel="1">
      <c r="A57" s="9"/>
      <c r="B57" s="44"/>
      <c r="C57" s="271">
        <f>Asset14</f>
        <v>0</v>
      </c>
      <c r="D57" s="9"/>
      <c r="E57" s="9"/>
      <c r="F57" s="143"/>
      <c r="G57" s="204">
        <f>Input!G156*(1+previous_vanilla)^0.5</f>
        <v>0</v>
      </c>
      <c r="H57" s="115"/>
      <c r="I57" s="115"/>
      <c r="J57" s="115"/>
      <c r="K57" s="115"/>
      <c r="L57" s="115"/>
      <c r="M57" s="115"/>
      <c r="N57" s="29"/>
      <c r="O57" s="29"/>
      <c r="P57" s="29"/>
      <c r="Q57" s="29"/>
      <c r="R57" s="104"/>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4"/>
      <c r="BK57" s="224"/>
    </row>
    <row r="58" spans="1:63" hidden="1" outlineLevel="1">
      <c r="A58" s="9"/>
      <c r="B58" s="44"/>
      <c r="C58" s="271">
        <f>Asset15</f>
        <v>0</v>
      </c>
      <c r="D58" s="9"/>
      <c r="E58" s="9"/>
      <c r="F58" s="143"/>
      <c r="G58" s="204">
        <f>Input!G157*(1+previous_vanilla)^0.5</f>
        <v>0</v>
      </c>
      <c r="H58" s="115"/>
      <c r="I58" s="115"/>
      <c r="J58" s="115"/>
      <c r="K58" s="115"/>
      <c r="L58" s="115"/>
      <c r="M58" s="115"/>
      <c r="N58" s="29"/>
      <c r="O58" s="29"/>
      <c r="P58" s="29"/>
      <c r="Q58" s="29"/>
      <c r="R58" s="104"/>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4"/>
      <c r="BK58" s="224"/>
    </row>
    <row r="59" spans="1:63" hidden="1" outlineLevel="1">
      <c r="A59" s="9"/>
      <c r="B59" s="44"/>
      <c r="C59" s="271">
        <f>Asset16</f>
        <v>0</v>
      </c>
      <c r="D59" s="9"/>
      <c r="E59" s="9"/>
      <c r="F59" s="143"/>
      <c r="G59" s="204">
        <f>Input!G158*(1+previous_vanilla)^0.5</f>
        <v>0</v>
      </c>
      <c r="H59" s="115"/>
      <c r="I59" s="115"/>
      <c r="J59" s="115"/>
      <c r="K59" s="115"/>
      <c r="L59" s="115"/>
      <c r="M59" s="115"/>
      <c r="N59" s="29"/>
      <c r="O59" s="29"/>
      <c r="P59" s="29"/>
      <c r="Q59" s="29"/>
      <c r="R59" s="104"/>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4"/>
      <c r="BK59" s="224"/>
    </row>
    <row r="60" spans="1:63" hidden="1" outlineLevel="1">
      <c r="A60" s="9"/>
      <c r="B60" s="44"/>
      <c r="C60" s="271">
        <f>Asset17</f>
        <v>0</v>
      </c>
      <c r="D60" s="9"/>
      <c r="E60" s="9"/>
      <c r="F60" s="143"/>
      <c r="G60" s="204">
        <f>Input!G159*(1+previous_vanilla)^0.5</f>
        <v>0</v>
      </c>
      <c r="H60" s="115"/>
      <c r="I60" s="115"/>
      <c r="J60" s="115"/>
      <c r="K60" s="115"/>
      <c r="L60" s="115"/>
      <c r="M60" s="115"/>
      <c r="N60" s="29"/>
      <c r="O60" s="29"/>
      <c r="P60" s="29"/>
      <c r="Q60" s="29"/>
      <c r="R60" s="104"/>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4"/>
      <c r="BK60" s="224"/>
    </row>
    <row r="61" spans="1:63" hidden="1" outlineLevel="1">
      <c r="A61" s="9"/>
      <c r="B61" s="44"/>
      <c r="C61" s="271">
        <f>Asset18</f>
        <v>0</v>
      </c>
      <c r="D61" s="9"/>
      <c r="E61" s="9"/>
      <c r="F61" s="143"/>
      <c r="G61" s="204">
        <f>Input!G160*(1+previous_vanilla)^0.5</f>
        <v>0</v>
      </c>
      <c r="H61" s="115"/>
      <c r="I61" s="115"/>
      <c r="J61" s="115"/>
      <c r="K61" s="115"/>
      <c r="L61" s="115"/>
      <c r="M61" s="115"/>
      <c r="N61" s="29"/>
      <c r="O61" s="29"/>
      <c r="P61" s="29"/>
      <c r="Q61" s="29"/>
      <c r="R61" s="104"/>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4"/>
      <c r="BK61" s="224"/>
    </row>
    <row r="62" spans="1:63" hidden="1" outlineLevel="1">
      <c r="A62" s="9"/>
      <c r="B62" s="44"/>
      <c r="C62" s="271">
        <f>Asset19</f>
        <v>0</v>
      </c>
      <c r="D62" s="9"/>
      <c r="E62" s="9"/>
      <c r="F62" s="143"/>
      <c r="G62" s="204">
        <f>Input!G161*(1+previous_vanilla)^0.5</f>
        <v>0</v>
      </c>
      <c r="H62" s="115"/>
      <c r="I62" s="115"/>
      <c r="J62" s="115"/>
      <c r="K62" s="115"/>
      <c r="L62" s="115"/>
      <c r="M62" s="115"/>
      <c r="N62" s="29"/>
      <c r="O62" s="29"/>
      <c r="P62" s="29"/>
      <c r="Q62" s="29"/>
      <c r="R62" s="104"/>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4"/>
      <c r="BK62" s="224"/>
    </row>
    <row r="63" spans="1:63" hidden="1" outlineLevel="1">
      <c r="A63" s="9"/>
      <c r="B63" s="44"/>
      <c r="C63" s="271">
        <f>Asset20</f>
        <v>0</v>
      </c>
      <c r="D63" s="9"/>
      <c r="E63" s="9"/>
      <c r="F63" s="143"/>
      <c r="G63" s="204">
        <f>Input!G162*(1+previous_vanilla)^0.5</f>
        <v>0</v>
      </c>
      <c r="H63" s="115"/>
      <c r="I63" s="115"/>
      <c r="J63" s="115"/>
      <c r="K63" s="115"/>
      <c r="L63" s="115"/>
      <c r="M63" s="115"/>
      <c r="N63" s="29"/>
      <c r="O63" s="29"/>
      <c r="P63" s="29"/>
      <c r="Q63" s="29"/>
      <c r="R63" s="104"/>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4"/>
      <c r="BK63" s="224"/>
    </row>
    <row r="64" spans="1:63" hidden="1" outlineLevel="1">
      <c r="A64" s="9"/>
      <c r="B64" s="44"/>
      <c r="C64" s="271">
        <f>Asset21</f>
        <v>0</v>
      </c>
      <c r="D64" s="9"/>
      <c r="E64" s="9"/>
      <c r="F64" s="143"/>
      <c r="G64" s="204">
        <f>Input!G163*(1+previous_vanilla)^0.5</f>
        <v>0</v>
      </c>
      <c r="H64" s="115"/>
      <c r="I64" s="115"/>
      <c r="J64" s="115"/>
      <c r="K64" s="115"/>
      <c r="L64" s="115"/>
      <c r="M64" s="115"/>
      <c r="N64" s="29"/>
      <c r="O64" s="29"/>
      <c r="P64" s="29"/>
      <c r="Q64" s="29"/>
      <c r="R64" s="104"/>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4"/>
      <c r="BK64" s="224"/>
    </row>
    <row r="65" spans="1:63" hidden="1" outlineLevel="1">
      <c r="A65" s="9"/>
      <c r="B65" s="44"/>
      <c r="C65" s="271">
        <f>Asset22</f>
        <v>0</v>
      </c>
      <c r="D65" s="9"/>
      <c r="E65" s="9"/>
      <c r="F65" s="143"/>
      <c r="G65" s="204">
        <f>Input!G164*(1+previous_vanilla)^0.5</f>
        <v>0</v>
      </c>
      <c r="H65" s="115"/>
      <c r="I65" s="115"/>
      <c r="J65" s="115"/>
      <c r="K65" s="115"/>
      <c r="L65" s="115"/>
      <c r="M65" s="115"/>
      <c r="N65" s="29"/>
      <c r="O65" s="29"/>
      <c r="P65" s="29"/>
      <c r="Q65" s="29"/>
      <c r="R65" s="104"/>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4"/>
      <c r="BK65" s="224"/>
    </row>
    <row r="66" spans="1:63" hidden="1" outlineLevel="1">
      <c r="A66" s="9"/>
      <c r="B66" s="44"/>
      <c r="C66" s="271">
        <f>Asset23</f>
        <v>0</v>
      </c>
      <c r="D66" s="9"/>
      <c r="E66" s="9"/>
      <c r="F66" s="143"/>
      <c r="G66" s="204">
        <f>Input!G165*(1+previous_vanilla)^0.5</f>
        <v>0</v>
      </c>
      <c r="H66" s="115"/>
      <c r="I66" s="115"/>
      <c r="J66" s="115"/>
      <c r="K66" s="115"/>
      <c r="L66" s="115"/>
      <c r="M66" s="115"/>
      <c r="N66" s="29"/>
      <c r="O66" s="29"/>
      <c r="P66" s="29"/>
      <c r="Q66" s="29"/>
      <c r="R66" s="104"/>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4"/>
      <c r="BK66" s="224"/>
    </row>
    <row r="67" spans="1:63" hidden="1" outlineLevel="1">
      <c r="A67" s="9"/>
      <c r="B67" s="44"/>
      <c r="C67" s="271">
        <f>Asset24</f>
        <v>0</v>
      </c>
      <c r="D67" s="9"/>
      <c r="E67" s="9"/>
      <c r="F67" s="143"/>
      <c r="G67" s="204">
        <f>Input!G166*(1+previous_vanilla)^0.5</f>
        <v>0</v>
      </c>
      <c r="H67" s="115"/>
      <c r="I67" s="115"/>
      <c r="J67" s="115"/>
      <c r="K67" s="115"/>
      <c r="L67" s="115"/>
      <c r="M67" s="115"/>
      <c r="N67" s="29"/>
      <c r="O67" s="29"/>
      <c r="P67" s="29"/>
      <c r="Q67" s="29"/>
      <c r="R67" s="104"/>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4"/>
      <c r="BK67" s="224"/>
    </row>
    <row r="68" spans="1:63" hidden="1" outlineLevel="1">
      <c r="A68" s="9"/>
      <c r="B68" s="44"/>
      <c r="C68" s="271">
        <f>Asset25</f>
        <v>0</v>
      </c>
      <c r="D68" s="9"/>
      <c r="E68" s="9"/>
      <c r="F68" s="143"/>
      <c r="G68" s="204">
        <f>Input!G167*(1+previous_vanilla)^0.5</f>
        <v>0</v>
      </c>
      <c r="H68" s="115"/>
      <c r="I68" s="115"/>
      <c r="J68" s="115"/>
      <c r="K68" s="115"/>
      <c r="L68" s="115"/>
      <c r="M68" s="115"/>
      <c r="N68" s="29"/>
      <c r="O68" s="29"/>
      <c r="P68" s="29"/>
      <c r="Q68" s="29"/>
      <c r="R68" s="104"/>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4"/>
      <c r="BK68" s="224"/>
    </row>
    <row r="69" spans="1:63" hidden="1" outlineLevel="1">
      <c r="A69" s="9"/>
      <c r="B69" s="44"/>
      <c r="C69" s="271">
        <f>Asset26</f>
        <v>0</v>
      </c>
      <c r="D69" s="9"/>
      <c r="E69" s="9"/>
      <c r="F69" s="143"/>
      <c r="G69" s="204">
        <f>Input!G168*(1+previous_vanilla)^0.5</f>
        <v>0</v>
      </c>
      <c r="H69" s="115"/>
      <c r="I69" s="115"/>
      <c r="J69" s="115"/>
      <c r="K69" s="115"/>
      <c r="L69" s="115"/>
      <c r="M69" s="115"/>
      <c r="N69" s="29"/>
      <c r="O69" s="29"/>
      <c r="P69" s="29"/>
      <c r="Q69" s="29"/>
      <c r="R69" s="104"/>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4"/>
      <c r="BK69" s="224"/>
    </row>
    <row r="70" spans="1:63" hidden="1" outlineLevel="1">
      <c r="A70" s="9"/>
      <c r="B70" s="44"/>
      <c r="C70" s="271">
        <f>Asset27</f>
        <v>0</v>
      </c>
      <c r="D70" s="9"/>
      <c r="E70" s="9"/>
      <c r="F70" s="143"/>
      <c r="G70" s="204">
        <f>Input!G169*(1+previous_vanilla)^0.5</f>
        <v>0</v>
      </c>
      <c r="H70" s="115"/>
      <c r="I70" s="115"/>
      <c r="J70" s="115"/>
      <c r="K70" s="115"/>
      <c r="L70" s="115"/>
      <c r="M70" s="115"/>
      <c r="N70" s="29"/>
      <c r="O70" s="29"/>
      <c r="P70" s="29"/>
      <c r="Q70" s="29"/>
      <c r="R70" s="104"/>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4"/>
      <c r="BK70" s="224"/>
    </row>
    <row r="71" spans="1:63" hidden="1" outlineLevel="1">
      <c r="A71" s="9"/>
      <c r="B71" s="44"/>
      <c r="C71" s="271">
        <f>Asset28</f>
        <v>0</v>
      </c>
      <c r="D71" s="9"/>
      <c r="E71" s="9"/>
      <c r="F71" s="143"/>
      <c r="G71" s="204">
        <f>Input!G170*(1+previous_vanilla)^0.5</f>
        <v>0</v>
      </c>
      <c r="H71" s="115"/>
      <c r="I71" s="115"/>
      <c r="J71" s="115"/>
      <c r="K71" s="115"/>
      <c r="L71" s="115"/>
      <c r="M71" s="115"/>
      <c r="N71" s="29"/>
      <c r="O71" s="29"/>
      <c r="P71" s="29"/>
      <c r="Q71" s="29"/>
      <c r="R71" s="104"/>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4"/>
      <c r="BK71" s="224"/>
    </row>
    <row r="72" spans="1:63" hidden="1" outlineLevel="1">
      <c r="A72" s="9"/>
      <c r="B72" s="44"/>
      <c r="C72" s="271">
        <f>Asset29</f>
        <v>0</v>
      </c>
      <c r="D72" s="9"/>
      <c r="E72" s="9"/>
      <c r="F72" s="143"/>
      <c r="G72" s="204">
        <f>Input!G171*(1+previous_vanilla)^0.5</f>
        <v>0</v>
      </c>
      <c r="H72" s="115"/>
      <c r="I72" s="115"/>
      <c r="J72" s="115"/>
      <c r="K72" s="115"/>
      <c r="L72" s="115"/>
      <c r="M72" s="115"/>
      <c r="N72" s="29"/>
      <c r="O72" s="29"/>
      <c r="P72" s="29"/>
      <c r="Q72" s="29"/>
      <c r="R72" s="104"/>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4"/>
      <c r="BK72" s="224"/>
    </row>
    <row r="73" spans="1:63" hidden="1" outlineLevel="1">
      <c r="A73" s="9"/>
      <c r="B73" s="44"/>
      <c r="C73" s="271">
        <f>Asset30</f>
        <v>0</v>
      </c>
      <c r="D73" s="9"/>
      <c r="E73" s="9"/>
      <c r="F73" s="143"/>
      <c r="G73" s="204">
        <f>Input!G172*(1+previous_vanilla)^0.5</f>
        <v>0</v>
      </c>
      <c r="H73" s="115"/>
      <c r="I73" s="115"/>
      <c r="J73" s="115"/>
      <c r="K73" s="115"/>
      <c r="L73" s="115"/>
      <c r="M73" s="115"/>
      <c r="N73" s="29"/>
      <c r="O73" s="29"/>
      <c r="P73" s="29"/>
      <c r="Q73" s="29"/>
      <c r="R73" s="104"/>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4"/>
      <c r="BK73" s="224"/>
    </row>
    <row r="74" spans="1:63" collapsed="1">
      <c r="A74" s="9"/>
      <c r="B74" s="44"/>
      <c r="C74" s="117"/>
      <c r="D74" s="9"/>
      <c r="E74" s="9"/>
      <c r="F74" s="143"/>
      <c r="G74" s="205"/>
      <c r="H74" s="35"/>
      <c r="I74" s="35"/>
      <c r="J74" s="35"/>
      <c r="K74" s="35"/>
      <c r="L74" s="35"/>
      <c r="M74" s="35"/>
      <c r="N74" s="29"/>
      <c r="O74" s="29"/>
      <c r="P74" s="29"/>
      <c r="Q74" s="29"/>
      <c r="R74" s="104"/>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4"/>
      <c r="BK74" s="224"/>
    </row>
    <row r="75" spans="1:63">
      <c r="A75" s="9"/>
      <c r="B75" s="44" t="s">
        <v>17</v>
      </c>
      <c r="C75" s="9"/>
      <c r="D75" s="9"/>
      <c r="E75" s="9"/>
      <c r="F75" s="143"/>
      <c r="G75" s="205">
        <f>SUM(G76:G105)</f>
        <v>-18.17256938651434</v>
      </c>
      <c r="H75" s="35"/>
      <c r="I75" s="35"/>
      <c r="J75" s="35"/>
      <c r="K75" s="35"/>
      <c r="L75" s="35"/>
      <c r="M75" s="114"/>
      <c r="N75" s="29"/>
      <c r="O75" s="29"/>
      <c r="P75" s="29"/>
      <c r="Q75" s="29"/>
      <c r="R75" s="104"/>
      <c r="S75" s="104"/>
      <c r="T75" s="104"/>
      <c r="U75" s="104"/>
      <c r="V75" s="104"/>
      <c r="W75" s="104"/>
      <c r="X75" s="104"/>
      <c r="Y75" s="104"/>
      <c r="Z75" s="104"/>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4"/>
      <c r="BK75" s="224"/>
    </row>
    <row r="76" spans="1:63" hidden="1" outlineLevel="1">
      <c r="A76" s="9"/>
      <c r="B76" s="44"/>
      <c r="C76" s="271" t="str">
        <f>Asset1</f>
        <v>Subtransmission</v>
      </c>
      <c r="D76" s="9"/>
      <c r="E76" s="9"/>
      <c r="F76" s="143"/>
      <c r="G76" s="519">
        <f>G44-G12</f>
        <v>-1.3366217069966382</v>
      </c>
      <c r="H76" s="119"/>
      <c r="I76" s="119"/>
      <c r="J76" s="119"/>
      <c r="K76" s="119"/>
      <c r="L76" s="119"/>
      <c r="M76" s="153"/>
      <c r="N76" s="154"/>
      <c r="O76" s="154"/>
      <c r="P76" s="154"/>
      <c r="Q76" s="154"/>
      <c r="R76" s="104"/>
      <c r="S76" s="104"/>
      <c r="T76" s="104"/>
      <c r="U76" s="104"/>
      <c r="V76" s="104"/>
      <c r="W76" s="104"/>
      <c r="X76" s="104"/>
      <c r="Y76" s="104"/>
      <c r="Z76" s="104"/>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4"/>
      <c r="BK76" s="224"/>
    </row>
    <row r="77" spans="1:63" hidden="1" outlineLevel="1">
      <c r="A77" s="9"/>
      <c r="B77" s="44"/>
      <c r="C77" s="271" t="str">
        <f>Asset2</f>
        <v>Distribution system assets</v>
      </c>
      <c r="D77" s="9"/>
      <c r="E77" s="9"/>
      <c r="F77" s="143"/>
      <c r="G77" s="519">
        <f t="shared" ref="G77:G105" si="0">G45-G13</f>
        <v>-1.3017464708318016</v>
      </c>
      <c r="H77" s="119"/>
      <c r="I77" s="119"/>
      <c r="J77" s="119"/>
      <c r="K77" s="119"/>
      <c r="L77" s="119"/>
      <c r="M77" s="153"/>
      <c r="N77" s="154"/>
      <c r="O77" s="154"/>
      <c r="P77" s="154"/>
      <c r="Q77" s="154"/>
      <c r="R77" s="104"/>
      <c r="S77" s="104"/>
      <c r="T77" s="104"/>
      <c r="U77" s="104"/>
      <c r="V77" s="104"/>
      <c r="W77" s="104"/>
      <c r="X77" s="104"/>
      <c r="Y77" s="104"/>
      <c r="Z77" s="104"/>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4"/>
      <c r="BK77" s="224"/>
    </row>
    <row r="78" spans="1:63" hidden="1" outlineLevel="1">
      <c r="A78" s="9"/>
      <c r="B78" s="44"/>
      <c r="C78" s="271" t="str">
        <f>Asset3</f>
        <v>Standard metering</v>
      </c>
      <c r="D78" s="9"/>
      <c r="E78" s="9"/>
      <c r="F78" s="143"/>
      <c r="G78" s="519">
        <f t="shared" si="0"/>
        <v>0</v>
      </c>
      <c r="H78" s="119"/>
      <c r="I78" s="119"/>
      <c r="J78" s="119"/>
      <c r="K78" s="119"/>
      <c r="L78" s="119"/>
      <c r="M78" s="153"/>
      <c r="N78" s="154"/>
      <c r="O78" s="154"/>
      <c r="P78" s="154"/>
      <c r="Q78" s="154"/>
      <c r="R78" s="104"/>
      <c r="S78" s="104"/>
      <c r="T78" s="104"/>
      <c r="U78" s="104"/>
      <c r="V78" s="104"/>
      <c r="W78" s="104"/>
      <c r="X78" s="104"/>
      <c r="Y78" s="104"/>
      <c r="Z78" s="104"/>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4"/>
      <c r="BK78" s="224"/>
    </row>
    <row r="79" spans="1:63" hidden="1" outlineLevel="1">
      <c r="A79" s="9"/>
      <c r="B79" s="44"/>
      <c r="C79" s="271" t="str">
        <f>Asset4</f>
        <v>Public lighting</v>
      </c>
      <c r="D79" s="9"/>
      <c r="E79" s="9"/>
      <c r="F79" s="143"/>
      <c r="G79" s="519">
        <f t="shared" si="0"/>
        <v>0</v>
      </c>
      <c r="H79" s="119"/>
      <c r="I79" s="119"/>
      <c r="J79" s="119"/>
      <c r="K79" s="119"/>
      <c r="L79" s="119"/>
      <c r="M79" s="153"/>
      <c r="N79" s="154"/>
      <c r="O79" s="154"/>
      <c r="P79" s="154"/>
      <c r="Q79" s="154"/>
      <c r="R79" s="104"/>
      <c r="S79" s="104"/>
      <c r="T79" s="104"/>
      <c r="U79" s="104"/>
      <c r="V79" s="104"/>
      <c r="W79" s="104"/>
      <c r="X79" s="104"/>
      <c r="Y79" s="104"/>
      <c r="Z79" s="104"/>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4"/>
      <c r="BK79" s="224"/>
    </row>
    <row r="80" spans="1:63" hidden="1" outlineLevel="1">
      <c r="A80" s="9"/>
      <c r="B80" s="44"/>
      <c r="C80" s="271" t="str">
        <f>Asset5</f>
        <v>SCADA/Network control</v>
      </c>
      <c r="D80" s="9"/>
      <c r="E80" s="9"/>
      <c r="F80" s="143"/>
      <c r="G80" s="519">
        <f t="shared" si="0"/>
        <v>1.1359421498995483</v>
      </c>
      <c r="H80" s="119"/>
      <c r="I80" s="119"/>
      <c r="J80" s="119"/>
      <c r="K80" s="119"/>
      <c r="L80" s="119"/>
      <c r="M80" s="153"/>
      <c r="N80" s="154"/>
      <c r="O80" s="154"/>
      <c r="P80" s="154"/>
      <c r="Q80" s="154"/>
      <c r="R80" s="104"/>
      <c r="S80" s="104"/>
      <c r="T80" s="104"/>
      <c r="U80" s="104"/>
      <c r="V80" s="104"/>
      <c r="W80" s="104"/>
      <c r="X80" s="104"/>
      <c r="Y80" s="104"/>
      <c r="Z80" s="104"/>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4"/>
      <c r="BK80" s="224"/>
    </row>
    <row r="81" spans="1:63" hidden="1" outlineLevel="1">
      <c r="A81" s="9"/>
      <c r="B81" s="44"/>
      <c r="C81" s="271" t="str">
        <f>Asset6</f>
        <v>Non-network general assets - IT</v>
      </c>
      <c r="D81" s="9"/>
      <c r="E81" s="9"/>
      <c r="F81" s="143"/>
      <c r="G81" s="519">
        <f t="shared" si="0"/>
        <v>-13.664127927522692</v>
      </c>
      <c r="H81" s="119"/>
      <c r="I81" s="119"/>
      <c r="J81" s="119"/>
      <c r="K81" s="119"/>
      <c r="L81" s="119"/>
      <c r="M81" s="153"/>
      <c r="N81" s="154"/>
      <c r="O81" s="154"/>
      <c r="P81" s="154"/>
      <c r="Q81" s="154"/>
      <c r="R81" s="104"/>
      <c r="S81" s="104"/>
      <c r="T81" s="104"/>
      <c r="U81" s="104"/>
      <c r="V81" s="104"/>
      <c r="W81" s="104"/>
      <c r="X81" s="104"/>
      <c r="Y81" s="104"/>
      <c r="Z81" s="104"/>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4"/>
      <c r="BK81" s="224"/>
    </row>
    <row r="82" spans="1:63" hidden="1" outlineLevel="1">
      <c r="A82" s="9"/>
      <c r="B82" s="44"/>
      <c r="C82" s="271" t="str">
        <f>Asset7</f>
        <v>Non-network general assets - Other</v>
      </c>
      <c r="D82" s="9"/>
      <c r="E82" s="9"/>
      <c r="F82" s="143"/>
      <c r="G82" s="519">
        <f t="shared" si="0"/>
        <v>-3.0060154310627576</v>
      </c>
      <c r="H82" s="119"/>
      <c r="I82" s="119"/>
      <c r="J82" s="119"/>
      <c r="K82" s="119"/>
      <c r="L82" s="119"/>
      <c r="M82" s="153"/>
      <c r="N82" s="154"/>
      <c r="O82" s="154"/>
      <c r="P82" s="154"/>
      <c r="Q82" s="154"/>
      <c r="R82" s="104"/>
      <c r="S82" s="104"/>
      <c r="T82" s="104"/>
      <c r="U82" s="104"/>
      <c r="V82" s="104"/>
      <c r="W82" s="104"/>
      <c r="X82" s="104"/>
      <c r="Y82" s="104"/>
      <c r="Z82" s="104"/>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4"/>
      <c r="BK82" s="224"/>
    </row>
    <row r="83" spans="1:63" hidden="1" outlineLevel="1">
      <c r="A83" s="9"/>
      <c r="B83" s="44"/>
      <c r="C83" s="271" t="str">
        <f>Asset8</f>
        <v>Equity Raising Costs</v>
      </c>
      <c r="D83" s="9"/>
      <c r="E83" s="9"/>
      <c r="F83" s="143"/>
      <c r="G83" s="519">
        <f t="shared" si="0"/>
        <v>0</v>
      </c>
      <c r="H83" s="119"/>
      <c r="I83" s="119"/>
      <c r="J83" s="119"/>
      <c r="K83" s="119"/>
      <c r="L83" s="119"/>
      <c r="M83" s="153"/>
      <c r="N83" s="154"/>
      <c r="O83" s="154"/>
      <c r="P83" s="154"/>
      <c r="Q83" s="154"/>
      <c r="R83" s="104"/>
      <c r="S83" s="104"/>
      <c r="T83" s="104"/>
      <c r="U83" s="104"/>
      <c r="V83" s="104"/>
      <c r="W83" s="104"/>
      <c r="X83" s="104"/>
      <c r="Y83" s="104"/>
      <c r="Z83" s="104"/>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4"/>
      <c r="BK83" s="224"/>
    </row>
    <row r="84" spans="1:63" hidden="1" outlineLevel="1">
      <c r="A84" s="9"/>
      <c r="B84" s="44"/>
      <c r="C84" s="271">
        <f>Asset9</f>
        <v>0</v>
      </c>
      <c r="D84" s="9"/>
      <c r="E84" s="9"/>
      <c r="F84" s="143"/>
      <c r="G84" s="519">
        <f t="shared" si="0"/>
        <v>0</v>
      </c>
      <c r="H84" s="119"/>
      <c r="I84" s="119"/>
      <c r="J84" s="119"/>
      <c r="K84" s="119"/>
      <c r="L84" s="119"/>
      <c r="M84" s="153"/>
      <c r="N84" s="154"/>
      <c r="O84" s="154"/>
      <c r="P84" s="154"/>
      <c r="Q84" s="154"/>
      <c r="R84" s="104"/>
      <c r="S84" s="104"/>
      <c r="T84" s="104"/>
      <c r="U84" s="104"/>
      <c r="V84" s="104"/>
      <c r="W84" s="104"/>
      <c r="X84" s="104"/>
      <c r="Y84" s="104"/>
      <c r="Z84" s="104"/>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4"/>
      <c r="BK84" s="224"/>
    </row>
    <row r="85" spans="1:63" hidden="1" outlineLevel="1">
      <c r="A85" s="9"/>
      <c r="B85" s="44"/>
      <c r="C85" s="271">
        <f>Asset10</f>
        <v>0</v>
      </c>
      <c r="D85" s="9"/>
      <c r="E85" s="9"/>
      <c r="F85" s="143"/>
      <c r="G85" s="519">
        <f t="shared" si="0"/>
        <v>0</v>
      </c>
      <c r="H85" s="119"/>
      <c r="I85" s="119"/>
      <c r="J85" s="119"/>
      <c r="K85" s="119"/>
      <c r="L85" s="119"/>
      <c r="M85" s="153"/>
      <c r="N85" s="154"/>
      <c r="O85" s="154"/>
      <c r="P85" s="154"/>
      <c r="Q85" s="154"/>
      <c r="R85" s="104"/>
      <c r="S85" s="104"/>
      <c r="T85" s="104"/>
      <c r="U85" s="104"/>
      <c r="V85" s="104"/>
      <c r="W85" s="104"/>
      <c r="X85" s="104"/>
      <c r="Y85" s="104"/>
      <c r="Z85" s="104"/>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4"/>
      <c r="BK85" s="224"/>
    </row>
    <row r="86" spans="1:63" hidden="1" outlineLevel="1">
      <c r="A86" s="9"/>
      <c r="B86" s="44"/>
      <c r="C86" s="271">
        <f>Asset11</f>
        <v>0</v>
      </c>
      <c r="D86" s="9"/>
      <c r="E86" s="9"/>
      <c r="F86" s="143"/>
      <c r="G86" s="519">
        <f t="shared" si="0"/>
        <v>0</v>
      </c>
      <c r="H86" s="119"/>
      <c r="I86" s="119"/>
      <c r="J86" s="119"/>
      <c r="K86" s="119"/>
      <c r="L86" s="119"/>
      <c r="M86" s="153"/>
      <c r="N86" s="154"/>
      <c r="O86" s="154"/>
      <c r="P86" s="154"/>
      <c r="Q86" s="154"/>
      <c r="R86" s="104"/>
      <c r="S86" s="104"/>
      <c r="T86" s="104"/>
      <c r="U86" s="104"/>
      <c r="V86" s="104"/>
      <c r="W86" s="104"/>
      <c r="X86" s="104"/>
      <c r="Y86" s="104"/>
      <c r="Z86" s="104"/>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4"/>
      <c r="BK86" s="224"/>
    </row>
    <row r="87" spans="1:63" hidden="1" outlineLevel="1">
      <c r="A87" s="9"/>
      <c r="B87" s="44"/>
      <c r="C87" s="271">
        <f>Asset12</f>
        <v>0</v>
      </c>
      <c r="D87" s="9"/>
      <c r="E87" s="9"/>
      <c r="F87" s="143"/>
      <c r="G87" s="519">
        <f t="shared" si="0"/>
        <v>0</v>
      </c>
      <c r="H87" s="119"/>
      <c r="I87" s="119"/>
      <c r="J87" s="119"/>
      <c r="K87" s="119"/>
      <c r="L87" s="119"/>
      <c r="M87" s="153"/>
      <c r="N87" s="154"/>
      <c r="O87" s="154"/>
      <c r="P87" s="154"/>
      <c r="Q87" s="154"/>
      <c r="R87" s="104"/>
      <c r="S87" s="104"/>
      <c r="T87" s="104"/>
      <c r="U87" s="104"/>
      <c r="V87" s="104"/>
      <c r="W87" s="104"/>
      <c r="X87" s="104"/>
      <c r="Y87" s="104"/>
      <c r="Z87" s="104"/>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4"/>
      <c r="BK87" s="224"/>
    </row>
    <row r="88" spans="1:63" hidden="1" outlineLevel="1">
      <c r="A88" s="9"/>
      <c r="B88" s="44"/>
      <c r="C88" s="271">
        <f>Asset13</f>
        <v>0</v>
      </c>
      <c r="D88" s="9"/>
      <c r="E88" s="9"/>
      <c r="F88" s="143"/>
      <c r="G88" s="519">
        <f t="shared" si="0"/>
        <v>0</v>
      </c>
      <c r="H88" s="119"/>
      <c r="I88" s="119"/>
      <c r="J88" s="119"/>
      <c r="K88" s="119"/>
      <c r="L88" s="119"/>
      <c r="M88" s="153"/>
      <c r="N88" s="154"/>
      <c r="O88" s="154"/>
      <c r="P88" s="154"/>
      <c r="Q88" s="154"/>
      <c r="R88" s="104"/>
      <c r="S88" s="104"/>
      <c r="T88" s="104"/>
      <c r="U88" s="104"/>
      <c r="V88" s="104"/>
      <c r="W88" s="104"/>
      <c r="X88" s="104"/>
      <c r="Y88" s="104"/>
      <c r="Z88" s="104"/>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4"/>
      <c r="BK88" s="224"/>
    </row>
    <row r="89" spans="1:63" hidden="1" outlineLevel="1">
      <c r="A89" s="9"/>
      <c r="B89" s="44"/>
      <c r="C89" s="271">
        <f>Asset14</f>
        <v>0</v>
      </c>
      <c r="D89" s="9"/>
      <c r="E89" s="9"/>
      <c r="F89" s="143"/>
      <c r="G89" s="519">
        <f t="shared" si="0"/>
        <v>0</v>
      </c>
      <c r="H89" s="119"/>
      <c r="I89" s="119"/>
      <c r="J89" s="119"/>
      <c r="K89" s="119"/>
      <c r="L89" s="119"/>
      <c r="M89" s="153"/>
      <c r="N89" s="154"/>
      <c r="O89" s="154"/>
      <c r="P89" s="154"/>
      <c r="Q89" s="154"/>
      <c r="R89" s="104"/>
      <c r="S89" s="104"/>
      <c r="T89" s="104"/>
      <c r="U89" s="104"/>
      <c r="V89" s="104"/>
      <c r="W89" s="104"/>
      <c r="X89" s="104"/>
      <c r="Y89" s="104"/>
      <c r="Z89" s="104"/>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4"/>
      <c r="BK89" s="224"/>
    </row>
    <row r="90" spans="1:63" hidden="1" outlineLevel="1">
      <c r="A90" s="9"/>
      <c r="B90" s="44"/>
      <c r="C90" s="271">
        <f>Asset15</f>
        <v>0</v>
      </c>
      <c r="D90" s="9"/>
      <c r="E90" s="9"/>
      <c r="F90" s="143"/>
      <c r="G90" s="519">
        <f t="shared" si="0"/>
        <v>0</v>
      </c>
      <c r="H90" s="119"/>
      <c r="I90" s="119"/>
      <c r="J90" s="119"/>
      <c r="K90" s="119"/>
      <c r="L90" s="119"/>
      <c r="M90" s="153"/>
      <c r="N90" s="154"/>
      <c r="O90" s="154"/>
      <c r="P90" s="154"/>
      <c r="Q90" s="154"/>
      <c r="R90" s="104"/>
      <c r="S90" s="104"/>
      <c r="T90" s="104"/>
      <c r="U90" s="104"/>
      <c r="V90" s="104"/>
      <c r="W90" s="104"/>
      <c r="X90" s="104"/>
      <c r="Y90" s="104"/>
      <c r="Z90" s="104"/>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4"/>
      <c r="BK90" s="224"/>
    </row>
    <row r="91" spans="1:63" hidden="1" outlineLevel="1">
      <c r="A91" s="9"/>
      <c r="B91" s="44"/>
      <c r="C91" s="271">
        <f>Asset16</f>
        <v>0</v>
      </c>
      <c r="D91" s="9"/>
      <c r="E91" s="9"/>
      <c r="F91" s="143"/>
      <c r="G91" s="519">
        <f t="shared" si="0"/>
        <v>0</v>
      </c>
      <c r="H91" s="119"/>
      <c r="I91" s="119"/>
      <c r="J91" s="119"/>
      <c r="K91" s="119"/>
      <c r="L91" s="119"/>
      <c r="M91" s="153"/>
      <c r="N91" s="154"/>
      <c r="O91" s="154"/>
      <c r="P91" s="154"/>
      <c r="Q91" s="154"/>
      <c r="R91" s="104"/>
      <c r="S91" s="104"/>
      <c r="T91" s="104"/>
      <c r="U91" s="104"/>
      <c r="V91" s="104"/>
      <c r="W91" s="104"/>
      <c r="X91" s="104"/>
      <c r="Y91" s="104"/>
      <c r="Z91" s="104"/>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4"/>
      <c r="BK91" s="224"/>
    </row>
    <row r="92" spans="1:63" hidden="1" outlineLevel="1">
      <c r="A92" s="9"/>
      <c r="B92" s="44"/>
      <c r="C92" s="271">
        <f>Asset17</f>
        <v>0</v>
      </c>
      <c r="D92" s="9"/>
      <c r="E92" s="9"/>
      <c r="F92" s="143"/>
      <c r="G92" s="519">
        <f t="shared" si="0"/>
        <v>0</v>
      </c>
      <c r="H92" s="119"/>
      <c r="I92" s="119"/>
      <c r="J92" s="119"/>
      <c r="K92" s="119"/>
      <c r="L92" s="119"/>
      <c r="M92" s="153"/>
      <c r="N92" s="154"/>
      <c r="O92" s="154"/>
      <c r="P92" s="154"/>
      <c r="Q92" s="154"/>
      <c r="R92" s="104"/>
      <c r="S92" s="104"/>
      <c r="T92" s="104"/>
      <c r="U92" s="104"/>
      <c r="V92" s="104"/>
      <c r="W92" s="104"/>
      <c r="X92" s="104"/>
      <c r="Y92" s="104"/>
      <c r="Z92" s="104"/>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4"/>
      <c r="BK92" s="224"/>
    </row>
    <row r="93" spans="1:63" hidden="1" outlineLevel="1">
      <c r="A93" s="9"/>
      <c r="B93" s="44"/>
      <c r="C93" s="271">
        <f>Asset18</f>
        <v>0</v>
      </c>
      <c r="D93" s="9"/>
      <c r="E93" s="9"/>
      <c r="F93" s="143"/>
      <c r="G93" s="519">
        <f t="shared" si="0"/>
        <v>0</v>
      </c>
      <c r="H93" s="119"/>
      <c r="I93" s="119"/>
      <c r="J93" s="119"/>
      <c r="K93" s="119"/>
      <c r="L93" s="119"/>
      <c r="M93" s="153"/>
      <c r="N93" s="154"/>
      <c r="O93" s="154"/>
      <c r="P93" s="154"/>
      <c r="Q93" s="154"/>
      <c r="R93" s="104"/>
      <c r="S93" s="104"/>
      <c r="T93" s="104"/>
      <c r="U93" s="104"/>
      <c r="V93" s="104"/>
      <c r="W93" s="104"/>
      <c r="X93" s="104"/>
      <c r="Y93" s="104"/>
      <c r="Z93" s="104"/>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4"/>
      <c r="BK93" s="224"/>
    </row>
    <row r="94" spans="1:63" hidden="1" outlineLevel="1">
      <c r="A94" s="9"/>
      <c r="B94" s="44"/>
      <c r="C94" s="271">
        <f>Asset19</f>
        <v>0</v>
      </c>
      <c r="D94" s="9"/>
      <c r="E94" s="9"/>
      <c r="F94" s="143"/>
      <c r="G94" s="519">
        <f t="shared" si="0"/>
        <v>0</v>
      </c>
      <c r="H94" s="119"/>
      <c r="I94" s="119"/>
      <c r="J94" s="119"/>
      <c r="K94" s="119"/>
      <c r="L94" s="119"/>
      <c r="M94" s="153"/>
      <c r="N94" s="154"/>
      <c r="O94" s="154"/>
      <c r="P94" s="154"/>
      <c r="Q94" s="154"/>
      <c r="R94" s="104"/>
      <c r="S94" s="104"/>
      <c r="T94" s="104"/>
      <c r="U94" s="104"/>
      <c r="V94" s="104"/>
      <c r="W94" s="104"/>
      <c r="X94" s="104"/>
      <c r="Y94" s="104"/>
      <c r="Z94" s="104"/>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4"/>
      <c r="BK94" s="224"/>
    </row>
    <row r="95" spans="1:63" hidden="1" outlineLevel="1">
      <c r="A95" s="9"/>
      <c r="B95" s="44"/>
      <c r="C95" s="271">
        <f>Asset20</f>
        <v>0</v>
      </c>
      <c r="D95" s="9"/>
      <c r="E95" s="9"/>
      <c r="F95" s="143"/>
      <c r="G95" s="519">
        <f t="shared" si="0"/>
        <v>0</v>
      </c>
      <c r="H95" s="119"/>
      <c r="I95" s="119"/>
      <c r="J95" s="119"/>
      <c r="K95" s="119"/>
      <c r="L95" s="119"/>
      <c r="M95" s="153"/>
      <c r="N95" s="154"/>
      <c r="O95" s="154"/>
      <c r="P95" s="154"/>
      <c r="Q95" s="154"/>
      <c r="R95" s="104"/>
      <c r="S95" s="104"/>
      <c r="T95" s="104"/>
      <c r="U95" s="104"/>
      <c r="V95" s="104"/>
      <c r="W95" s="104"/>
      <c r="X95" s="104"/>
      <c r="Y95" s="104"/>
      <c r="Z95" s="104"/>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4"/>
      <c r="BK95" s="224"/>
    </row>
    <row r="96" spans="1:63" hidden="1" outlineLevel="1">
      <c r="A96" s="9"/>
      <c r="B96" s="44"/>
      <c r="C96" s="271">
        <f>Asset21</f>
        <v>0</v>
      </c>
      <c r="D96" s="9"/>
      <c r="E96" s="9"/>
      <c r="F96" s="143"/>
      <c r="G96" s="519">
        <f t="shared" si="0"/>
        <v>0</v>
      </c>
      <c r="H96" s="119"/>
      <c r="I96" s="119"/>
      <c r="J96" s="119"/>
      <c r="K96" s="119"/>
      <c r="L96" s="119"/>
      <c r="M96" s="153"/>
      <c r="N96" s="154"/>
      <c r="O96" s="154"/>
      <c r="P96" s="154"/>
      <c r="Q96" s="154"/>
      <c r="R96" s="104"/>
      <c r="S96" s="104"/>
      <c r="T96" s="104"/>
      <c r="U96" s="104"/>
      <c r="V96" s="104"/>
      <c r="W96" s="104"/>
      <c r="X96" s="104"/>
      <c r="Y96" s="104"/>
      <c r="Z96" s="104"/>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4"/>
      <c r="BK96" s="224"/>
    </row>
    <row r="97" spans="1:63" hidden="1" outlineLevel="1">
      <c r="A97" s="9"/>
      <c r="B97" s="44"/>
      <c r="C97" s="271">
        <f>Asset22</f>
        <v>0</v>
      </c>
      <c r="D97" s="9"/>
      <c r="E97" s="9"/>
      <c r="F97" s="143"/>
      <c r="G97" s="519">
        <f t="shared" si="0"/>
        <v>0</v>
      </c>
      <c r="H97" s="119"/>
      <c r="I97" s="119"/>
      <c r="J97" s="119"/>
      <c r="K97" s="119"/>
      <c r="L97" s="119"/>
      <c r="M97" s="153"/>
      <c r="N97" s="154"/>
      <c r="O97" s="154"/>
      <c r="P97" s="154"/>
      <c r="Q97" s="154"/>
      <c r="R97" s="104"/>
      <c r="S97" s="104"/>
      <c r="T97" s="104"/>
      <c r="U97" s="104"/>
      <c r="V97" s="104"/>
      <c r="W97" s="104"/>
      <c r="X97" s="104"/>
      <c r="Y97" s="104"/>
      <c r="Z97" s="104"/>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4"/>
      <c r="BK97" s="224"/>
    </row>
    <row r="98" spans="1:63" hidden="1" outlineLevel="1">
      <c r="A98" s="9"/>
      <c r="B98" s="44"/>
      <c r="C98" s="271">
        <f>Asset23</f>
        <v>0</v>
      </c>
      <c r="D98" s="9"/>
      <c r="E98" s="9"/>
      <c r="F98" s="143"/>
      <c r="G98" s="519">
        <f t="shared" si="0"/>
        <v>0</v>
      </c>
      <c r="H98" s="119"/>
      <c r="I98" s="119"/>
      <c r="J98" s="119"/>
      <c r="K98" s="119"/>
      <c r="L98" s="119"/>
      <c r="M98" s="153"/>
      <c r="N98" s="154"/>
      <c r="O98" s="154"/>
      <c r="P98" s="154"/>
      <c r="Q98" s="154"/>
      <c r="R98" s="104"/>
      <c r="S98" s="104"/>
      <c r="T98" s="104"/>
      <c r="U98" s="104"/>
      <c r="V98" s="104"/>
      <c r="W98" s="104"/>
      <c r="X98" s="104"/>
      <c r="Y98" s="104"/>
      <c r="Z98" s="104"/>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4"/>
      <c r="BK98" s="224"/>
    </row>
    <row r="99" spans="1:63" hidden="1" outlineLevel="1">
      <c r="A99" s="9"/>
      <c r="B99" s="44"/>
      <c r="C99" s="271">
        <f>Asset24</f>
        <v>0</v>
      </c>
      <c r="D99" s="9"/>
      <c r="E99" s="9"/>
      <c r="F99" s="143"/>
      <c r="G99" s="519">
        <f t="shared" si="0"/>
        <v>0</v>
      </c>
      <c r="H99" s="119"/>
      <c r="I99" s="119"/>
      <c r="J99" s="119"/>
      <c r="K99" s="119"/>
      <c r="L99" s="119"/>
      <c r="M99" s="153"/>
      <c r="N99" s="154"/>
      <c r="O99" s="154"/>
      <c r="P99" s="154"/>
      <c r="Q99" s="154"/>
      <c r="R99" s="104"/>
      <c r="S99" s="104"/>
      <c r="T99" s="104"/>
      <c r="U99" s="104"/>
      <c r="V99" s="104"/>
      <c r="W99" s="104"/>
      <c r="X99" s="104"/>
      <c r="Y99" s="104"/>
      <c r="Z99" s="104"/>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4"/>
      <c r="BK99" s="224"/>
    </row>
    <row r="100" spans="1:63" hidden="1" outlineLevel="1">
      <c r="A100" s="9"/>
      <c r="B100" s="44"/>
      <c r="C100" s="271">
        <f>Asset25</f>
        <v>0</v>
      </c>
      <c r="D100" s="9"/>
      <c r="E100" s="9"/>
      <c r="F100" s="143"/>
      <c r="G100" s="519">
        <f t="shared" si="0"/>
        <v>0</v>
      </c>
      <c r="H100" s="119"/>
      <c r="I100" s="119"/>
      <c r="J100" s="119"/>
      <c r="K100" s="119"/>
      <c r="L100" s="119"/>
      <c r="M100" s="153"/>
      <c r="N100" s="154"/>
      <c r="O100" s="154"/>
      <c r="P100" s="154"/>
      <c r="Q100" s="154"/>
      <c r="R100" s="104"/>
      <c r="S100" s="104"/>
      <c r="T100" s="104"/>
      <c r="U100" s="104"/>
      <c r="V100" s="104"/>
      <c r="W100" s="104"/>
      <c r="X100" s="104"/>
      <c r="Y100" s="104"/>
      <c r="Z100" s="104"/>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4"/>
      <c r="BK100" s="224"/>
    </row>
    <row r="101" spans="1:63" hidden="1" outlineLevel="1">
      <c r="A101" s="9"/>
      <c r="B101" s="44"/>
      <c r="C101" s="271">
        <f>Asset26</f>
        <v>0</v>
      </c>
      <c r="D101" s="9"/>
      <c r="E101" s="9"/>
      <c r="F101" s="143"/>
      <c r="G101" s="519">
        <f t="shared" si="0"/>
        <v>0</v>
      </c>
      <c r="H101" s="119"/>
      <c r="I101" s="119"/>
      <c r="J101" s="119"/>
      <c r="K101" s="119"/>
      <c r="L101" s="119"/>
      <c r="M101" s="153"/>
      <c r="N101" s="154"/>
      <c r="O101" s="154"/>
      <c r="P101" s="154"/>
      <c r="Q101" s="154"/>
      <c r="R101" s="104"/>
      <c r="S101" s="104"/>
      <c r="T101" s="104"/>
      <c r="U101" s="104"/>
      <c r="V101" s="104"/>
      <c r="W101" s="104"/>
      <c r="X101" s="104"/>
      <c r="Y101" s="104"/>
      <c r="Z101" s="104"/>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4"/>
      <c r="BK101" s="224"/>
    </row>
    <row r="102" spans="1:63" hidden="1" outlineLevel="1">
      <c r="A102" s="9"/>
      <c r="B102" s="44"/>
      <c r="C102" s="271">
        <f>Asset27</f>
        <v>0</v>
      </c>
      <c r="D102" s="9"/>
      <c r="E102" s="9"/>
      <c r="F102" s="143"/>
      <c r="G102" s="519">
        <f t="shared" si="0"/>
        <v>0</v>
      </c>
      <c r="H102" s="119"/>
      <c r="I102" s="119"/>
      <c r="J102" s="119"/>
      <c r="K102" s="119"/>
      <c r="L102" s="119"/>
      <c r="M102" s="153"/>
      <c r="N102" s="154"/>
      <c r="O102" s="154"/>
      <c r="P102" s="154"/>
      <c r="Q102" s="154"/>
      <c r="R102" s="104"/>
      <c r="S102" s="104"/>
      <c r="T102" s="104"/>
      <c r="U102" s="104"/>
      <c r="V102" s="104"/>
      <c r="W102" s="104"/>
      <c r="X102" s="104"/>
      <c r="Y102" s="104"/>
      <c r="Z102" s="104"/>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4"/>
      <c r="BK102" s="224"/>
    </row>
    <row r="103" spans="1:63" hidden="1" outlineLevel="1">
      <c r="A103" s="9"/>
      <c r="B103" s="44"/>
      <c r="C103" s="271">
        <f>Asset28</f>
        <v>0</v>
      </c>
      <c r="D103" s="9"/>
      <c r="E103" s="9"/>
      <c r="F103" s="143"/>
      <c r="G103" s="519">
        <f t="shared" si="0"/>
        <v>0</v>
      </c>
      <c r="H103" s="119"/>
      <c r="I103" s="119"/>
      <c r="J103" s="119"/>
      <c r="K103" s="119"/>
      <c r="L103" s="119"/>
      <c r="M103" s="153"/>
      <c r="N103" s="154"/>
      <c r="O103" s="154"/>
      <c r="P103" s="154"/>
      <c r="Q103" s="154"/>
      <c r="R103" s="104"/>
      <c r="S103" s="104"/>
      <c r="T103" s="104"/>
      <c r="U103" s="104"/>
      <c r="V103" s="104"/>
      <c r="W103" s="104"/>
      <c r="X103" s="104"/>
      <c r="Y103" s="104"/>
      <c r="Z103" s="104"/>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4"/>
      <c r="BK103" s="224"/>
    </row>
    <row r="104" spans="1:63" hidden="1" outlineLevel="1">
      <c r="A104" s="9"/>
      <c r="B104" s="44"/>
      <c r="C104" s="271">
        <f>Asset29</f>
        <v>0</v>
      </c>
      <c r="D104" s="9"/>
      <c r="E104" s="9"/>
      <c r="F104" s="143"/>
      <c r="G104" s="519">
        <f t="shared" si="0"/>
        <v>0</v>
      </c>
      <c r="H104" s="119"/>
      <c r="I104" s="119"/>
      <c r="J104" s="119"/>
      <c r="K104" s="119"/>
      <c r="L104" s="119"/>
      <c r="M104" s="153"/>
      <c r="N104" s="154"/>
      <c r="O104" s="154"/>
      <c r="P104" s="154"/>
      <c r="Q104" s="154"/>
      <c r="R104" s="104"/>
      <c r="S104" s="104"/>
      <c r="T104" s="104"/>
      <c r="U104" s="104"/>
      <c r="V104" s="104"/>
      <c r="W104" s="104"/>
      <c r="X104" s="104"/>
      <c r="Y104" s="104"/>
      <c r="Z104" s="104"/>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4"/>
      <c r="BK104" s="224"/>
    </row>
    <row r="105" spans="1:63" hidden="1" outlineLevel="1">
      <c r="A105" s="9"/>
      <c r="B105" s="44"/>
      <c r="C105" s="271">
        <f>Asset30</f>
        <v>0</v>
      </c>
      <c r="D105" s="9"/>
      <c r="E105" s="9"/>
      <c r="F105" s="143"/>
      <c r="G105" s="519">
        <f t="shared" si="0"/>
        <v>0</v>
      </c>
      <c r="H105" s="119"/>
      <c r="I105" s="119"/>
      <c r="J105" s="119"/>
      <c r="K105" s="119"/>
      <c r="L105" s="119"/>
      <c r="M105" s="153"/>
      <c r="N105" s="154"/>
      <c r="O105" s="154"/>
      <c r="P105" s="154"/>
      <c r="Q105" s="154"/>
      <c r="R105" s="104"/>
      <c r="S105" s="104"/>
      <c r="T105" s="104"/>
      <c r="U105" s="104"/>
      <c r="V105" s="104"/>
      <c r="W105" s="104"/>
      <c r="X105" s="104"/>
      <c r="Y105" s="104"/>
      <c r="Z105" s="104"/>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4"/>
      <c r="BK105" s="224"/>
    </row>
    <row r="106" spans="1:63" collapsed="1">
      <c r="A106" s="9"/>
      <c r="B106" s="44"/>
      <c r="C106" s="131"/>
      <c r="D106" s="9"/>
      <c r="E106" s="9"/>
      <c r="F106" s="143"/>
      <c r="G106" s="204"/>
      <c r="H106" s="119"/>
      <c r="I106" s="119"/>
      <c r="J106" s="119"/>
      <c r="K106" s="119"/>
      <c r="L106" s="119"/>
      <c r="M106" s="153"/>
      <c r="N106" s="154"/>
      <c r="O106" s="154"/>
      <c r="P106" s="154"/>
      <c r="Q106" s="154"/>
      <c r="R106" s="104"/>
      <c r="S106" s="104"/>
      <c r="T106" s="104"/>
      <c r="U106" s="104"/>
      <c r="V106" s="104"/>
      <c r="W106" s="104"/>
      <c r="X106" s="104"/>
      <c r="Y106" s="104"/>
      <c r="Z106" s="104"/>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4"/>
      <c r="BK106" s="224"/>
    </row>
    <row r="107" spans="1:63">
      <c r="A107" s="9"/>
      <c r="B107" s="44" t="s">
        <v>34</v>
      </c>
      <c r="C107" s="9"/>
      <c r="D107" s="9"/>
      <c r="E107" s="9"/>
      <c r="F107" s="143"/>
      <c r="G107" s="205"/>
      <c r="H107" s="35">
        <f t="shared" ref="H107:Q107" si="1">SUM(H108,H110,H112,H114,H116,H118,H120,H122,H124,H126,H128,H130,H132,H134,H136,H138,H140,H142,H144,H146,H148,H150,H152,H154,H156,H158,H160,H162,H164,H166)</f>
        <v>-1.8131478435384221</v>
      </c>
      <c r="I107" s="35">
        <f t="shared" si="1"/>
        <v>-2.1506333750159303</v>
      </c>
      <c r="J107" s="35">
        <f t="shared" si="1"/>
        <v>-2.0230231027344452</v>
      </c>
      <c r="K107" s="35">
        <f t="shared" si="1"/>
        <v>-2.2485127040904458</v>
      </c>
      <c r="L107" s="35">
        <f t="shared" si="1"/>
        <v>-2.4992014339927304</v>
      </c>
      <c r="M107" s="35">
        <f t="shared" si="1"/>
        <v>0</v>
      </c>
      <c r="N107" s="35">
        <f t="shared" si="1"/>
        <v>0</v>
      </c>
      <c r="O107" s="35">
        <f t="shared" si="1"/>
        <v>0</v>
      </c>
      <c r="P107" s="35">
        <f t="shared" si="1"/>
        <v>0</v>
      </c>
      <c r="Q107" s="35">
        <f t="shared" si="1"/>
        <v>0</v>
      </c>
      <c r="R107" s="104"/>
      <c r="S107" s="104"/>
      <c r="T107" s="104"/>
      <c r="U107" s="104"/>
      <c r="V107" s="104"/>
      <c r="W107" s="104"/>
      <c r="X107" s="104"/>
      <c r="Y107" s="104"/>
      <c r="Z107" s="104"/>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4"/>
      <c r="BK107" s="224"/>
    </row>
    <row r="108" spans="1:63" hidden="1" outlineLevel="1">
      <c r="A108" s="9"/>
      <c r="B108" s="44"/>
      <c r="C108" s="271" t="str">
        <f>Asset1</f>
        <v>Subtransmission</v>
      </c>
      <c r="D108" s="9"/>
      <c r="E108" s="9"/>
      <c r="F108" s="143"/>
      <c r="G108" s="204"/>
      <c r="H108" s="115">
        <f>($G76+(SUM($G108:G108)))*H$7</f>
        <v>-0.13335994014506533</v>
      </c>
      <c r="I108" s="115">
        <f>($G76+(SUM($G108:H108)))*I$7</f>
        <v>-0.15818254379432606</v>
      </c>
      <c r="J108" s="115">
        <f>($G76+(SUM($G108:I108)))*J$7</f>
        <v>-0.14879660302065872</v>
      </c>
      <c r="K108" s="115">
        <f>($G76+(SUM($G108:J108)))*K$7</f>
        <v>-0.16538172587610422</v>
      </c>
      <c r="L108" s="115">
        <f>($G76+(SUM($G108:K108)))*L$7</f>
        <v>-0.18382028516621027</v>
      </c>
      <c r="M108" s="115">
        <f>IF(COUNT($H108:L108)&gt;=Input!$Y$7,0,($G76+(SUM($G108:L108)))*M$7)</f>
        <v>0</v>
      </c>
      <c r="N108" s="115">
        <f>IF(COUNT($H108:M108)&gt;=Input!$Y$7,0,($G76+(SUM($G108:M108)))*N$7)</f>
        <v>0</v>
      </c>
      <c r="O108" s="115">
        <f>IF(COUNT($H108:N108)&gt;=Input!$Y$7,0,($G76+(SUM($G108:N108)))*O$7)</f>
        <v>0</v>
      </c>
      <c r="P108" s="115">
        <f>IF(COUNT($H108:O108)&gt;=Input!$Y$7,0,($G76+(SUM($G108:O108)))*P$7)</f>
        <v>0</v>
      </c>
      <c r="Q108" s="115">
        <f>IF(COUNT($H108:P108)&gt;=Input!$Y$7,0,($G76+(SUM($G108:P108)))*Q$7)</f>
        <v>0</v>
      </c>
      <c r="R108" s="104"/>
      <c r="S108" s="104"/>
      <c r="T108" s="104"/>
      <c r="U108" s="104"/>
      <c r="V108" s="104"/>
      <c r="W108" s="104"/>
      <c r="X108" s="104"/>
      <c r="Y108" s="104"/>
      <c r="Z108" s="104"/>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4"/>
      <c r="BK108" s="224"/>
    </row>
    <row r="109" spans="1:63" hidden="1" outlineLevel="1">
      <c r="A109" s="9"/>
      <c r="B109" s="44"/>
      <c r="C109" s="283" t="s">
        <v>6</v>
      </c>
      <c r="D109" s="9"/>
      <c r="E109" s="9"/>
      <c r="F109" s="143"/>
      <c r="G109" s="204"/>
      <c r="H109" s="115"/>
      <c r="I109" s="115"/>
      <c r="J109" s="115"/>
      <c r="K109" s="115"/>
      <c r="L109" s="115">
        <f>IF(COUNT($H108:L108)=Input!$Y$7,SUM($G108:L108),0)</f>
        <v>-0.78954109800236472</v>
      </c>
      <c r="M109" s="115">
        <f>IF(COUNT($H108:M108)=Input!$Y$7,SUM($G108:M108),0)</f>
        <v>0</v>
      </c>
      <c r="N109" s="115">
        <f>IF(COUNT($H108:N108)=Input!$Y$7,SUM($G108:N108),0)</f>
        <v>0</v>
      </c>
      <c r="O109" s="115">
        <f>IF(COUNT($H108:O108)=Input!$Y$7,SUM($G108:O108),0)</f>
        <v>0</v>
      </c>
      <c r="P109" s="115">
        <f>IF(COUNT($H108:P108)=Input!$Y$7,SUM($G108:P108),0)</f>
        <v>0</v>
      </c>
      <c r="Q109" s="115">
        <f>IF(COUNT($H108:Q108)=Input!$Y$7,SUM($G108:Q108),0)</f>
        <v>0</v>
      </c>
      <c r="R109" s="104"/>
      <c r="S109" s="104"/>
      <c r="T109" s="104"/>
      <c r="U109" s="104"/>
      <c r="V109" s="104"/>
      <c r="W109" s="104"/>
      <c r="X109" s="104"/>
      <c r="Y109" s="104"/>
      <c r="Z109" s="104"/>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4"/>
      <c r="BK109" s="224"/>
    </row>
    <row r="110" spans="1:63" hidden="1" outlineLevel="1">
      <c r="A110" s="9"/>
      <c r="B110" s="44"/>
      <c r="C110" s="271" t="str">
        <f>Asset2</f>
        <v>Distribution system assets</v>
      </c>
      <c r="D110" s="9"/>
      <c r="E110" s="9"/>
      <c r="F110" s="143"/>
      <c r="G110" s="204"/>
      <c r="H110" s="115">
        <f>($G77+(SUM($G110:G110)))*H$7</f>
        <v>-0.12988030235140852</v>
      </c>
      <c r="I110" s="115">
        <f>($G77+(SUM($G110:H110)))*I$7</f>
        <v>-0.15405523272111485</v>
      </c>
      <c r="J110" s="115">
        <f>($G77+(SUM($G110:I110)))*J$7</f>
        <v>-0.1449141906344861</v>
      </c>
      <c r="K110" s="115">
        <f>($G77+(SUM($G110:J110)))*K$7</f>
        <v>-0.16106657319147713</v>
      </c>
      <c r="L110" s="115">
        <f>($G77+(SUM($G110:K110)))*L$7</f>
        <v>-0.17902403217742402</v>
      </c>
      <c r="M110" s="115">
        <f>IF(COUNT($H110:L110)&gt;=Input!$Y$7,0,($G77+(SUM($G110:L110)))*M$7)</f>
        <v>0</v>
      </c>
      <c r="N110" s="115">
        <f>IF(COUNT($H110:M110)&gt;=Input!$Y$7,0,($G77+(SUM($G110:M110)))*N$7)</f>
        <v>0</v>
      </c>
      <c r="O110" s="115">
        <f>IF(COUNT($H110:N110)&gt;=Input!$Y$7,0,($G77+(SUM($G110:N110)))*O$7)</f>
        <v>0</v>
      </c>
      <c r="P110" s="115">
        <f>IF(COUNT($H110:O110)&gt;=Input!$Y$7,0,($G77+(SUM($G110:O110)))*P$7)</f>
        <v>0</v>
      </c>
      <c r="Q110" s="115">
        <f>IF(COUNT($H110:P110)&gt;=Input!$Y$7,0,($G77+(SUM($G110:P110)))*Q$7)</f>
        <v>0</v>
      </c>
      <c r="R110" s="104"/>
      <c r="S110" s="104"/>
      <c r="T110" s="104"/>
      <c r="U110" s="104"/>
      <c r="V110" s="104"/>
      <c r="W110" s="104"/>
      <c r="X110" s="104"/>
      <c r="Y110" s="104"/>
      <c r="Z110" s="104"/>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4"/>
      <c r="BK110" s="224"/>
    </row>
    <row r="111" spans="1:63" hidden="1" outlineLevel="1">
      <c r="A111" s="9"/>
      <c r="B111" s="44"/>
      <c r="C111" s="283" t="s">
        <v>6</v>
      </c>
      <c r="D111" s="9"/>
      <c r="E111" s="9"/>
      <c r="F111" s="143"/>
      <c r="G111" s="204"/>
      <c r="H111" s="115"/>
      <c r="I111" s="115"/>
      <c r="J111" s="115"/>
      <c r="K111" s="115"/>
      <c r="L111" s="115">
        <f>IF(COUNT($H110:L110)=Input!$Y$7,SUM($G110:L110),0)</f>
        <v>-0.76894033107591053</v>
      </c>
      <c r="M111" s="115">
        <f>IF(COUNT($H110:M110)=Input!$Y$7,SUM($G110:M110),0)</f>
        <v>0</v>
      </c>
      <c r="N111" s="115">
        <f>IF(COUNT($H110:N110)=Input!$Y$7,SUM($G110:N110),0)</f>
        <v>0</v>
      </c>
      <c r="O111" s="115">
        <f>IF(COUNT($H110:O110)=Input!$Y$7,SUM($G110:O110),0)</f>
        <v>0</v>
      </c>
      <c r="P111" s="115">
        <f>IF(COUNT($H110:P110)=Input!$Y$7,SUM($G110:P110),0)</f>
        <v>0</v>
      </c>
      <c r="Q111" s="115">
        <f>IF(COUNT($H110:Q110)=Input!$Y$7,SUM($G110:Q110),0)</f>
        <v>0</v>
      </c>
      <c r="R111" s="104"/>
      <c r="S111" s="104"/>
      <c r="T111" s="104"/>
      <c r="U111" s="104"/>
      <c r="V111" s="104"/>
      <c r="W111" s="104"/>
      <c r="X111" s="104"/>
      <c r="Y111" s="104"/>
      <c r="Z111" s="104"/>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4"/>
      <c r="BK111" s="224"/>
    </row>
    <row r="112" spans="1:63" hidden="1" outlineLevel="1">
      <c r="A112" s="9"/>
      <c r="B112" s="44"/>
      <c r="C112" s="271" t="str">
        <f>Asset3</f>
        <v>Standard metering</v>
      </c>
      <c r="D112" s="9"/>
      <c r="E112" s="9"/>
      <c r="F112" s="143"/>
      <c r="G112" s="204"/>
      <c r="H112" s="115">
        <f>($G78+(SUM($G112:G112)))*H$7</f>
        <v>0</v>
      </c>
      <c r="I112" s="115">
        <f>($G78+(SUM($G112:H112)))*I$7</f>
        <v>0</v>
      </c>
      <c r="J112" s="115">
        <f>($G78+(SUM($G112:I112)))*J$7</f>
        <v>0</v>
      </c>
      <c r="K112" s="115">
        <f>($G78+(SUM($G112:J112)))*K$7</f>
        <v>0</v>
      </c>
      <c r="L112" s="115">
        <f>($G78+(SUM($G112:K112)))*L$7</f>
        <v>0</v>
      </c>
      <c r="M112" s="115">
        <f>IF(COUNT($H112:L112)&gt;=Input!$Y$7,0,($G78+(SUM($G112:L112)))*M$7)</f>
        <v>0</v>
      </c>
      <c r="N112" s="115">
        <f>IF(COUNT($H112:M112)&gt;=Input!$Y$7,0,($G78+(SUM($G112:M112)))*N$7)</f>
        <v>0</v>
      </c>
      <c r="O112" s="115">
        <f>IF(COUNT($H112:N112)&gt;=Input!$Y$7,0,($G78+(SUM($G112:N112)))*O$7)</f>
        <v>0</v>
      </c>
      <c r="P112" s="115">
        <f>IF(COUNT($H112:O112)&gt;=Input!$Y$7,0,($G78+(SUM($G112:O112)))*P$7)</f>
        <v>0</v>
      </c>
      <c r="Q112" s="115">
        <f>IF(COUNT($H112:P112)&gt;=Input!$Y$7,0,($G78+(SUM($G112:P112)))*Q$7)</f>
        <v>0</v>
      </c>
      <c r="R112" s="104"/>
      <c r="S112" s="104"/>
      <c r="T112" s="104"/>
      <c r="U112" s="104"/>
      <c r="V112" s="104"/>
      <c r="W112" s="104"/>
      <c r="X112" s="104"/>
      <c r="Y112" s="104"/>
      <c r="Z112" s="104"/>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4"/>
      <c r="BK112" s="224"/>
    </row>
    <row r="113" spans="1:63" hidden="1" outlineLevel="1">
      <c r="A113" s="9"/>
      <c r="B113" s="44"/>
      <c r="C113" s="283" t="s">
        <v>6</v>
      </c>
      <c r="D113" s="9"/>
      <c r="E113" s="9"/>
      <c r="F113" s="143"/>
      <c r="G113" s="204"/>
      <c r="H113" s="115"/>
      <c r="I113" s="115"/>
      <c r="J113" s="115"/>
      <c r="K113" s="115"/>
      <c r="L113" s="115">
        <f>IF(COUNT($H112:L112)=Input!$Y$7,SUM($G112:L112),0)</f>
        <v>0</v>
      </c>
      <c r="M113" s="115">
        <f>IF(COUNT($H112:M112)=Input!$Y$7,SUM($G112:M112),0)</f>
        <v>0</v>
      </c>
      <c r="N113" s="115">
        <f>IF(COUNT($H112:N112)=Input!$Y$7,SUM($G112:N112),0)</f>
        <v>0</v>
      </c>
      <c r="O113" s="115">
        <f>IF(COUNT($H112:O112)=Input!$Y$7,SUM($G112:O112),0)</f>
        <v>0</v>
      </c>
      <c r="P113" s="115">
        <f>IF(COUNT($H112:P112)=Input!$Y$7,SUM($G112:P112),0)</f>
        <v>0</v>
      </c>
      <c r="Q113" s="115">
        <f>IF(COUNT($H112:Q112)=Input!$Y$7,SUM($G112:Q112),0)</f>
        <v>0</v>
      </c>
      <c r="R113" s="104"/>
      <c r="S113" s="104"/>
      <c r="T113" s="104"/>
      <c r="U113" s="104"/>
      <c r="V113" s="104"/>
      <c r="W113" s="104"/>
      <c r="X113" s="104"/>
      <c r="Y113" s="104"/>
      <c r="Z113" s="104"/>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4"/>
      <c r="BK113" s="224"/>
    </row>
    <row r="114" spans="1:63" hidden="1" outlineLevel="1">
      <c r="A114" s="9"/>
      <c r="B114" s="44"/>
      <c r="C114" s="271" t="str">
        <f>Asset4</f>
        <v>Public lighting</v>
      </c>
      <c r="D114" s="9"/>
      <c r="E114" s="9"/>
      <c r="F114" s="143"/>
      <c r="G114" s="204"/>
      <c r="H114" s="115">
        <f>($G79+(SUM($G114:G114)))*H$7</f>
        <v>0</v>
      </c>
      <c r="I114" s="115">
        <f>($G79+(SUM($G114:H114)))*I$7</f>
        <v>0</v>
      </c>
      <c r="J114" s="115">
        <f>($G79+(SUM($G114:I114)))*J$7</f>
        <v>0</v>
      </c>
      <c r="K114" s="115">
        <f>($G79+(SUM($G114:J114)))*K$7</f>
        <v>0</v>
      </c>
      <c r="L114" s="115">
        <f>($G79+(SUM($G114:K114)))*L$7</f>
        <v>0</v>
      </c>
      <c r="M114" s="115">
        <f>IF(COUNT($H114:L114)&gt;=Input!$Y$7,0,($G79+(SUM($G114:L114)))*M$7)</f>
        <v>0</v>
      </c>
      <c r="N114" s="115">
        <f>IF(COUNT($H114:M114)&gt;=Input!$Y$7,0,($G79+(SUM($G114:M114)))*N$7)</f>
        <v>0</v>
      </c>
      <c r="O114" s="115">
        <f>IF(COUNT($H114:N114)&gt;=Input!$Y$7,0,($G79+(SUM($G114:N114)))*O$7)</f>
        <v>0</v>
      </c>
      <c r="P114" s="115">
        <f>IF(COUNT($H114:O114)&gt;=Input!$Y$7,0,($G79+(SUM($G114:O114)))*P$7)</f>
        <v>0</v>
      </c>
      <c r="Q114" s="115">
        <f>IF(COUNT($H114:P114)&gt;=Input!$Y$7,0,($G79+(SUM($G114:P114)))*Q$7)</f>
        <v>0</v>
      </c>
      <c r="R114" s="104"/>
      <c r="S114" s="104"/>
      <c r="T114" s="104"/>
      <c r="U114" s="104"/>
      <c r="V114" s="104"/>
      <c r="W114" s="104"/>
      <c r="X114" s="104"/>
      <c r="Y114" s="104"/>
      <c r="Z114" s="104"/>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4"/>
      <c r="BK114" s="224"/>
    </row>
    <row r="115" spans="1:63" hidden="1" outlineLevel="1">
      <c r="A115" s="9"/>
      <c r="B115" s="44"/>
      <c r="C115" s="283" t="s">
        <v>6</v>
      </c>
      <c r="D115" s="9"/>
      <c r="E115" s="9"/>
      <c r="F115" s="143"/>
      <c r="G115" s="204"/>
      <c r="H115" s="115"/>
      <c r="I115" s="115"/>
      <c r="J115" s="115"/>
      <c r="K115" s="115"/>
      <c r="L115" s="115">
        <f>IF(COUNT($H114:L114)=Input!$Y$7,SUM($G114:L114),0)</f>
        <v>0</v>
      </c>
      <c r="M115" s="115">
        <f>IF(COUNT($H114:M114)=Input!$Y$7,SUM($G114:M114),0)</f>
        <v>0</v>
      </c>
      <c r="N115" s="115">
        <f>IF(COUNT($H114:N114)=Input!$Y$7,SUM($G114:N114),0)</f>
        <v>0</v>
      </c>
      <c r="O115" s="115">
        <f>IF(COUNT($H114:O114)=Input!$Y$7,SUM($G114:O114),0)</f>
        <v>0</v>
      </c>
      <c r="P115" s="115">
        <f>IF(COUNT($H114:P114)=Input!$Y$7,SUM($G114:P114),0)</f>
        <v>0</v>
      </c>
      <c r="Q115" s="115">
        <f>IF(COUNT($H114:Q114)=Input!$Y$7,SUM($G114:Q114),0)</f>
        <v>0</v>
      </c>
      <c r="R115" s="104"/>
      <c r="S115" s="104"/>
      <c r="T115" s="104"/>
      <c r="U115" s="104"/>
      <c r="V115" s="104"/>
      <c r="W115" s="104"/>
      <c r="X115" s="104"/>
      <c r="Y115" s="104"/>
      <c r="Z115" s="104"/>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4"/>
      <c r="BK115" s="224"/>
    </row>
    <row r="116" spans="1:63" hidden="1" outlineLevel="1">
      <c r="A116" s="9"/>
      <c r="B116" s="44"/>
      <c r="C116" s="271" t="str">
        <f>Asset5</f>
        <v>SCADA/Network control</v>
      </c>
      <c r="D116" s="9"/>
      <c r="E116" s="9"/>
      <c r="F116" s="143"/>
      <c r="G116" s="204"/>
      <c r="H116" s="115">
        <f>($G80+(SUM($G116:G116)))*H$7</f>
        <v>0.11333736114405453</v>
      </c>
      <c r="I116" s="115">
        <f>($G80+(SUM($G116:H116)))*I$7</f>
        <v>0.13443311442102604</v>
      </c>
      <c r="J116" s="115">
        <f>($G80+(SUM($G116:I116)))*J$7</f>
        <v>0.12645637299489243</v>
      </c>
      <c r="K116" s="115">
        <f>($G80+(SUM($G116:J116)))*K$7</f>
        <v>0.14055141575392066</v>
      </c>
      <c r="L116" s="115">
        <f>($G80+(SUM($G116:K116)))*L$7</f>
        <v>0.15622162114667656</v>
      </c>
      <c r="M116" s="115">
        <f>IF(COUNT($H116:L116)&gt;=Input!$Y$7,0,($G80+(SUM($G116:L116)))*M$7)</f>
        <v>0</v>
      </c>
      <c r="N116" s="115">
        <f>IF(COUNT($H116:M116)&gt;=Input!$Y$7,0,($G80+(SUM($G116:M116)))*N$7)</f>
        <v>0</v>
      </c>
      <c r="O116" s="115">
        <f>IF(COUNT($H116:N116)&gt;=Input!$Y$7,0,($G80+(SUM($G116:N116)))*O$7)</f>
        <v>0</v>
      </c>
      <c r="P116" s="115">
        <f>IF(COUNT($H116:O116)&gt;=Input!$Y$7,0,($G80+(SUM($G116:O116)))*P$7)</f>
        <v>0</v>
      </c>
      <c r="Q116" s="115">
        <f>IF(COUNT($H116:P116)&gt;=Input!$Y$7,0,($G80+(SUM($G116:P116)))*Q$7)</f>
        <v>0</v>
      </c>
      <c r="R116" s="104"/>
      <c r="S116" s="104"/>
      <c r="T116" s="104"/>
      <c r="U116" s="104"/>
      <c r="V116" s="104"/>
      <c r="W116" s="104"/>
      <c r="X116" s="104"/>
      <c r="Y116" s="104"/>
      <c r="Z116" s="104"/>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4"/>
      <c r="BK116" s="224"/>
    </row>
    <row r="117" spans="1:63" hidden="1" outlineLevel="1">
      <c r="A117" s="9"/>
      <c r="B117" s="44"/>
      <c r="C117" s="283" t="s">
        <v>6</v>
      </c>
      <c r="D117" s="9"/>
      <c r="E117" s="9"/>
      <c r="F117" s="143"/>
      <c r="G117" s="204"/>
      <c r="H117" s="115"/>
      <c r="I117" s="115"/>
      <c r="J117" s="115"/>
      <c r="K117" s="115"/>
      <c r="L117" s="115">
        <f>IF(COUNT($H116:L116)=Input!$Y$7,SUM($G116:L116),0)</f>
        <v>0.67099988546057021</v>
      </c>
      <c r="M117" s="115">
        <f>IF(COUNT($H116:M116)=Input!$Y$7,SUM($G116:M116),0)</f>
        <v>0</v>
      </c>
      <c r="N117" s="115">
        <f>IF(COUNT($H116:N116)=Input!$Y$7,SUM($G116:N116),0)</f>
        <v>0</v>
      </c>
      <c r="O117" s="115">
        <f>IF(COUNT($H116:O116)=Input!$Y$7,SUM($G116:O116),0)</f>
        <v>0</v>
      </c>
      <c r="P117" s="115">
        <f>IF(COUNT($H116:P116)=Input!$Y$7,SUM($G116:P116),0)</f>
        <v>0</v>
      </c>
      <c r="Q117" s="115">
        <f>IF(COUNT($H116:Q116)=Input!$Y$7,SUM($G116:Q116),0)</f>
        <v>0</v>
      </c>
      <c r="R117" s="104"/>
      <c r="S117" s="104"/>
      <c r="T117" s="104"/>
      <c r="U117" s="104"/>
      <c r="V117" s="104"/>
      <c r="W117" s="104"/>
      <c r="X117" s="104"/>
      <c r="Y117" s="104"/>
      <c r="Z117" s="104"/>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4"/>
      <c r="BK117" s="224"/>
    </row>
    <row r="118" spans="1:63" hidden="1" outlineLevel="1">
      <c r="A118" s="9"/>
      <c r="B118" s="44"/>
      <c r="C118" s="271" t="str">
        <f>Asset6</f>
        <v>Non-network general assets - IT</v>
      </c>
      <c r="D118" s="9"/>
      <c r="E118" s="9"/>
      <c r="F118" s="143"/>
      <c r="G118" s="204"/>
      <c r="H118" s="115">
        <f>($G81+(SUM($G118:G118)))*H$7</f>
        <v>-1.3633231250175448</v>
      </c>
      <c r="I118" s="115">
        <f>($G81+(SUM($G118:H118)))*I$7</f>
        <v>-1.6170817090523792</v>
      </c>
      <c r="J118" s="115">
        <f>($G81+(SUM($G118:I118)))*J$7</f>
        <v>-1.5211303304534793</v>
      </c>
      <c r="K118" s="115">
        <f>($G81+(SUM($G118:J118)))*K$7</f>
        <v>-1.690678108410566</v>
      </c>
      <c r="L118" s="115">
        <f>($G81+(SUM($G118:K118)))*L$7</f>
        <v>-1.8791733510213871</v>
      </c>
      <c r="M118" s="115">
        <f>IF(COUNT($H118:L118)&gt;=Input!$Y$7,0,($G81+(SUM($G118:L118)))*M$7)</f>
        <v>0</v>
      </c>
      <c r="N118" s="115">
        <f>IF(COUNT($H118:M118)&gt;=Input!$Y$7,0,($G81+(SUM($G118:M118)))*N$7)</f>
        <v>0</v>
      </c>
      <c r="O118" s="115">
        <f>IF(COUNT($H118:N118)&gt;=Input!$Y$7,0,($G81+(SUM($G118:N118)))*O$7)</f>
        <v>0</v>
      </c>
      <c r="P118" s="115">
        <f>IF(COUNT($H118:O118)&gt;=Input!$Y$7,0,($G81+(SUM($G118:O118)))*P$7)</f>
        <v>0</v>
      </c>
      <c r="Q118" s="115">
        <f>IF(COUNT($H118:P118)&gt;=Input!$Y$7,0,($G81+(SUM($G118:P118)))*Q$7)</f>
        <v>0</v>
      </c>
      <c r="R118" s="104"/>
      <c r="S118" s="104"/>
      <c r="T118" s="104"/>
      <c r="U118" s="104"/>
      <c r="V118" s="104"/>
      <c r="W118" s="104"/>
      <c r="X118" s="104"/>
      <c r="Y118" s="104"/>
      <c r="Z118" s="104"/>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4"/>
      <c r="BK118" s="224"/>
    </row>
    <row r="119" spans="1:63" hidden="1" outlineLevel="1">
      <c r="A119" s="9"/>
      <c r="B119" s="44"/>
      <c r="C119" s="283" t="s">
        <v>6</v>
      </c>
      <c r="D119" s="9"/>
      <c r="E119" s="9"/>
      <c r="F119" s="143"/>
      <c r="G119" s="204"/>
      <c r="H119" s="115"/>
      <c r="I119" s="115"/>
      <c r="J119" s="115"/>
      <c r="K119" s="115"/>
      <c r="L119" s="115">
        <f>IF(COUNT($H118:L118)=Input!$Y$7,SUM($G118:L118),0)</f>
        <v>-8.0713866239553571</v>
      </c>
      <c r="M119" s="115">
        <f>IF(COUNT($H118:M118)=Input!$Y$7,SUM($G118:M118),0)</f>
        <v>0</v>
      </c>
      <c r="N119" s="115">
        <f>IF(COUNT($H118:N118)=Input!$Y$7,SUM($G118:N118),0)</f>
        <v>0</v>
      </c>
      <c r="O119" s="115">
        <f>IF(COUNT($H118:O118)=Input!$Y$7,SUM($G118:O118),0)</f>
        <v>0</v>
      </c>
      <c r="P119" s="115">
        <f>IF(COUNT($H118:P118)=Input!$Y$7,SUM($G118:P118),0)</f>
        <v>0</v>
      </c>
      <c r="Q119" s="115">
        <f>IF(COUNT($H118:Q118)=Input!$Y$7,SUM($G118:Q118),0)</f>
        <v>0</v>
      </c>
      <c r="R119" s="104"/>
      <c r="S119" s="104"/>
      <c r="T119" s="104"/>
      <c r="U119" s="104"/>
      <c r="V119" s="104"/>
      <c r="W119" s="104"/>
      <c r="X119" s="104"/>
      <c r="Y119" s="104"/>
      <c r="Z119" s="104"/>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4"/>
      <c r="BK119" s="224"/>
    </row>
    <row r="120" spans="1:63" hidden="1" outlineLevel="1">
      <c r="A120" s="9"/>
      <c r="B120" s="44"/>
      <c r="C120" s="271" t="str">
        <f>Asset7</f>
        <v>Non-network general assets - Other</v>
      </c>
      <c r="D120" s="9"/>
      <c r="E120" s="9"/>
      <c r="F120" s="143"/>
      <c r="G120" s="204"/>
      <c r="H120" s="115">
        <f>($G82+(SUM($G120:G120)))*H$7</f>
        <v>-0.29992183716845805</v>
      </c>
      <c r="I120" s="115">
        <f>($G82+(SUM($G120:H120)))*I$7</f>
        <v>-0.35574700386913627</v>
      </c>
      <c r="J120" s="115">
        <f>($G82+(SUM($G120:I120)))*J$7</f>
        <v>-0.33463835162071359</v>
      </c>
      <c r="K120" s="115">
        <f>($G82+(SUM($G120:J120)))*K$7</f>
        <v>-0.37193771236621903</v>
      </c>
      <c r="L120" s="115">
        <f>($G82+(SUM($G120:K120)))*L$7</f>
        <v>-0.41340538677438549</v>
      </c>
      <c r="M120" s="115">
        <f>IF(COUNT($H120:L120)&gt;=Input!$Y$7,0,($G82+(SUM($G120:L120)))*M$7)</f>
        <v>0</v>
      </c>
      <c r="N120" s="115">
        <f>IF(COUNT($H120:M120)&gt;=Input!$Y$7,0,($G82+(SUM($G120:M120)))*N$7)</f>
        <v>0</v>
      </c>
      <c r="O120" s="115">
        <f>IF(COUNT($H120:N120)&gt;=Input!$Y$7,0,($G82+(SUM($G120:N120)))*O$7)</f>
        <v>0</v>
      </c>
      <c r="P120" s="115">
        <f>IF(COUNT($H120:O120)&gt;=Input!$Y$7,0,($G82+(SUM($G120:O120)))*P$7)</f>
        <v>0</v>
      </c>
      <c r="Q120" s="115">
        <f>IF(COUNT($H120:P120)&gt;=Input!$Y$7,0,($G82+(SUM($G120:P120)))*Q$7)</f>
        <v>0</v>
      </c>
      <c r="R120" s="104"/>
      <c r="S120" s="104"/>
      <c r="T120" s="104"/>
      <c r="U120" s="104"/>
      <c r="V120" s="104"/>
      <c r="W120" s="104"/>
      <c r="X120" s="104"/>
      <c r="Y120" s="104"/>
      <c r="Z120" s="104"/>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4"/>
      <c r="BK120" s="224"/>
    </row>
    <row r="121" spans="1:63" hidden="1" outlineLevel="1">
      <c r="A121" s="9"/>
      <c r="B121" s="44"/>
      <c r="C121" s="283" t="s">
        <v>6</v>
      </c>
      <c r="D121" s="9"/>
      <c r="E121" s="9"/>
      <c r="F121" s="143"/>
      <c r="G121" s="204"/>
      <c r="H121" s="115"/>
      <c r="I121" s="115"/>
      <c r="J121" s="115"/>
      <c r="K121" s="115"/>
      <c r="L121" s="115">
        <f>IF(COUNT($H120:L120)=Input!$Y$7,SUM($G120:L120),0)</f>
        <v>-1.7756502917989125</v>
      </c>
      <c r="M121" s="115">
        <f>IF(COUNT($H120:M120)=Input!$Y$7,SUM($G120:M120),0)</f>
        <v>0</v>
      </c>
      <c r="N121" s="115">
        <f>IF(COUNT($H120:N120)=Input!$Y$7,SUM($G120:N120),0)</f>
        <v>0</v>
      </c>
      <c r="O121" s="115">
        <f>IF(COUNT($H120:O120)=Input!$Y$7,SUM($G120:O120),0)</f>
        <v>0</v>
      </c>
      <c r="P121" s="115">
        <f>IF(COUNT($H120:P120)=Input!$Y$7,SUM($G120:P120),0)</f>
        <v>0</v>
      </c>
      <c r="Q121" s="115">
        <f>IF(COUNT($H120:Q120)=Input!$Y$7,SUM($G120:Q120),0)</f>
        <v>0</v>
      </c>
      <c r="R121" s="104"/>
      <c r="S121" s="104"/>
      <c r="T121" s="104"/>
      <c r="U121" s="104"/>
      <c r="V121" s="104"/>
      <c r="W121" s="104"/>
      <c r="X121" s="104"/>
      <c r="Y121" s="104"/>
      <c r="Z121" s="104"/>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4"/>
      <c r="BK121" s="224"/>
    </row>
    <row r="122" spans="1:63" hidden="1" outlineLevel="1">
      <c r="A122" s="9"/>
      <c r="B122" s="44"/>
      <c r="C122" s="271" t="str">
        <f>Asset8</f>
        <v>Equity Raising Costs</v>
      </c>
      <c r="D122" s="9"/>
      <c r="E122" s="9"/>
      <c r="F122" s="143"/>
      <c r="G122" s="204"/>
      <c r="H122" s="115">
        <f>($G83+(SUM($G122:G122)))*H$7</f>
        <v>0</v>
      </c>
      <c r="I122" s="115">
        <f>($G83+(SUM($G122:H122)))*I$7</f>
        <v>0</v>
      </c>
      <c r="J122" s="115">
        <f>($G83+(SUM($G122:I122)))*J$7</f>
        <v>0</v>
      </c>
      <c r="K122" s="115">
        <f>($G83+(SUM($G122:J122)))*K$7</f>
        <v>0</v>
      </c>
      <c r="L122" s="115">
        <f>($G83+(SUM($G122:K122)))*L$7</f>
        <v>0</v>
      </c>
      <c r="M122" s="115">
        <f>IF(COUNT($H122:L122)&gt;=Input!$Y$7,0,($G83+(SUM($G122:L122)))*M$7)</f>
        <v>0</v>
      </c>
      <c r="N122" s="115">
        <f>IF(COUNT($H122:M122)&gt;=Input!$Y$7,0,($G83+(SUM($G122:M122)))*N$7)</f>
        <v>0</v>
      </c>
      <c r="O122" s="115">
        <f>IF(COUNT($H122:N122)&gt;=Input!$Y$7,0,($G83+(SUM($G122:N122)))*O$7)</f>
        <v>0</v>
      </c>
      <c r="P122" s="115">
        <f>IF(COUNT($H122:O122)&gt;=Input!$Y$7,0,($G83+(SUM($G122:O122)))*P$7)</f>
        <v>0</v>
      </c>
      <c r="Q122" s="115">
        <f>IF(COUNT($H122:P122)&gt;=Input!$Y$7,0,($G83+(SUM($G122:P122)))*Q$7)</f>
        <v>0</v>
      </c>
      <c r="R122" s="104"/>
      <c r="S122" s="104"/>
      <c r="T122" s="104"/>
      <c r="U122" s="104"/>
      <c r="V122" s="104"/>
      <c r="W122" s="104"/>
      <c r="X122" s="104"/>
      <c r="Y122" s="104"/>
      <c r="Z122" s="104"/>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4"/>
      <c r="BK122" s="224"/>
    </row>
    <row r="123" spans="1:63" hidden="1" outlineLevel="1">
      <c r="A123" s="9"/>
      <c r="B123" s="44"/>
      <c r="C123" s="283" t="s">
        <v>6</v>
      </c>
      <c r="D123" s="9"/>
      <c r="E123" s="9"/>
      <c r="F123" s="143"/>
      <c r="G123" s="204"/>
      <c r="H123" s="115"/>
      <c r="I123" s="115"/>
      <c r="J123" s="115"/>
      <c r="K123" s="115"/>
      <c r="L123" s="115">
        <f>IF(COUNT($H122:L122)=Input!$Y$7,SUM($G122:L122),0)</f>
        <v>0</v>
      </c>
      <c r="M123" s="115">
        <f>IF(COUNT($H122:M122)=Input!$Y$7,SUM($G122:M122),0)</f>
        <v>0</v>
      </c>
      <c r="N123" s="115">
        <f>IF(COUNT($H122:N122)=Input!$Y$7,SUM($G122:N122),0)</f>
        <v>0</v>
      </c>
      <c r="O123" s="115">
        <f>IF(COUNT($H122:O122)=Input!$Y$7,SUM($G122:O122),0)</f>
        <v>0</v>
      </c>
      <c r="P123" s="115">
        <f>IF(COUNT($H122:P122)=Input!$Y$7,SUM($G122:P122),0)</f>
        <v>0</v>
      </c>
      <c r="Q123" s="115">
        <f>IF(COUNT($H122:Q122)=Input!$Y$7,SUM($G122:Q122),0)</f>
        <v>0</v>
      </c>
      <c r="R123" s="104"/>
      <c r="S123" s="104"/>
      <c r="T123" s="104"/>
      <c r="U123" s="104"/>
      <c r="V123" s="104"/>
      <c r="W123" s="104"/>
      <c r="X123" s="104"/>
      <c r="Y123" s="104"/>
      <c r="Z123" s="104"/>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4"/>
      <c r="BK123" s="224"/>
    </row>
    <row r="124" spans="1:63" hidden="1" outlineLevel="1">
      <c r="A124" s="9"/>
      <c r="B124" s="44"/>
      <c r="C124" s="271">
        <f>Asset9</f>
        <v>0</v>
      </c>
      <c r="D124" s="9"/>
      <c r="E124" s="9"/>
      <c r="F124" s="143"/>
      <c r="G124" s="204"/>
      <c r="H124" s="115">
        <f>($G84+(SUM($G124:G124)))*H$7</f>
        <v>0</v>
      </c>
      <c r="I124" s="115">
        <f>($G84+(SUM($G124:H124)))*I$7</f>
        <v>0</v>
      </c>
      <c r="J124" s="115">
        <f>($G84+(SUM($G124:I124)))*J$7</f>
        <v>0</v>
      </c>
      <c r="K124" s="115">
        <f>($G84+(SUM($G124:J124)))*K$7</f>
        <v>0</v>
      </c>
      <c r="L124" s="115">
        <f>($G84+(SUM($G124:K124)))*L$7</f>
        <v>0</v>
      </c>
      <c r="M124" s="115">
        <f>IF(COUNT($H124:L124)&gt;=Input!$Y$7,0,($G84+(SUM($G124:L124)))*M$7)</f>
        <v>0</v>
      </c>
      <c r="N124" s="115">
        <f>IF(COUNT($H124:M124)&gt;=Input!$Y$7,0,($G84+(SUM($G124:M124)))*N$7)</f>
        <v>0</v>
      </c>
      <c r="O124" s="115">
        <f>IF(COUNT($H124:N124)&gt;=Input!$Y$7,0,($G84+(SUM($G124:N124)))*O$7)</f>
        <v>0</v>
      </c>
      <c r="P124" s="115">
        <f>IF(COUNT($H124:O124)&gt;=Input!$Y$7,0,($G84+(SUM($G124:O124)))*P$7)</f>
        <v>0</v>
      </c>
      <c r="Q124" s="115">
        <f>IF(COUNT($H124:P124)&gt;=Input!$Y$7,0,($G84+(SUM($G124:P124)))*Q$7)</f>
        <v>0</v>
      </c>
      <c r="R124" s="104"/>
      <c r="S124" s="104"/>
      <c r="T124" s="104"/>
      <c r="U124" s="104"/>
      <c r="V124" s="104"/>
      <c r="W124" s="104"/>
      <c r="X124" s="104"/>
      <c r="Y124" s="104"/>
      <c r="Z124" s="104"/>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4"/>
      <c r="BK124" s="224"/>
    </row>
    <row r="125" spans="1:63" hidden="1" outlineLevel="1">
      <c r="A125" s="9"/>
      <c r="B125" s="44"/>
      <c r="C125" s="283" t="s">
        <v>6</v>
      </c>
      <c r="D125" s="9"/>
      <c r="E125" s="9"/>
      <c r="F125" s="143"/>
      <c r="G125" s="204"/>
      <c r="H125" s="115"/>
      <c r="I125" s="115"/>
      <c r="J125" s="115"/>
      <c r="K125" s="115"/>
      <c r="L125" s="115">
        <f>IF(COUNT($H124:L124)=Input!$Y$7,SUM($G124:L124),0)</f>
        <v>0</v>
      </c>
      <c r="M125" s="115">
        <f>IF(COUNT($H124:M124)=Input!$Y$7,SUM($G124:M124),0)</f>
        <v>0</v>
      </c>
      <c r="N125" s="115">
        <f>IF(COUNT($H124:N124)=Input!$Y$7,SUM($G124:N124),0)</f>
        <v>0</v>
      </c>
      <c r="O125" s="115">
        <f>IF(COUNT($H124:O124)=Input!$Y$7,SUM($G124:O124),0)</f>
        <v>0</v>
      </c>
      <c r="P125" s="115">
        <f>IF(COUNT($H124:P124)=Input!$Y$7,SUM($G124:P124),0)</f>
        <v>0</v>
      </c>
      <c r="Q125" s="115">
        <f>IF(COUNT($H124:Q124)=Input!$Y$7,SUM($G124:Q124),0)</f>
        <v>0</v>
      </c>
      <c r="R125" s="104"/>
      <c r="S125" s="104"/>
      <c r="T125" s="104"/>
      <c r="U125" s="104"/>
      <c r="V125" s="104"/>
      <c r="W125" s="104"/>
      <c r="X125" s="104"/>
      <c r="Y125" s="104"/>
      <c r="Z125" s="104"/>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4"/>
      <c r="BK125" s="224"/>
    </row>
    <row r="126" spans="1:63" hidden="1" outlineLevel="1">
      <c r="A126" s="9"/>
      <c r="B126" s="44"/>
      <c r="C126" s="271">
        <f>Asset10</f>
        <v>0</v>
      </c>
      <c r="D126" s="9"/>
      <c r="E126" s="9"/>
      <c r="F126" s="143"/>
      <c r="G126" s="204"/>
      <c r="H126" s="115">
        <f>($G85+(SUM($G126:G126)))*H$7</f>
        <v>0</v>
      </c>
      <c r="I126" s="115">
        <f>($G85+(SUM($G126:H126)))*I$7</f>
        <v>0</v>
      </c>
      <c r="J126" s="115">
        <f>($G85+(SUM($G126:I126)))*J$7</f>
        <v>0</v>
      </c>
      <c r="K126" s="115">
        <f>($G85+(SUM($G126:J126)))*K$7</f>
        <v>0</v>
      </c>
      <c r="L126" s="115">
        <f>($G85+(SUM($G126:K126)))*L$7</f>
        <v>0</v>
      </c>
      <c r="M126" s="115">
        <f>IF(COUNT($H126:L126)&gt;=Input!$Y$7,0,($G85+(SUM($G126:L126)))*M$7)</f>
        <v>0</v>
      </c>
      <c r="N126" s="115">
        <f>IF(COUNT($H126:M126)&gt;=Input!$Y$7,0,($G85+(SUM($G126:M126)))*N$7)</f>
        <v>0</v>
      </c>
      <c r="O126" s="115">
        <f>IF(COUNT($H126:N126)&gt;=Input!$Y$7,0,($G85+(SUM($G126:N126)))*O$7)</f>
        <v>0</v>
      </c>
      <c r="P126" s="115">
        <f>IF(COUNT($H126:O126)&gt;=Input!$Y$7,0,($G85+(SUM($G126:O126)))*P$7)</f>
        <v>0</v>
      </c>
      <c r="Q126" s="115">
        <f>IF(COUNT($H126:P126)&gt;=Input!$Y$7,0,($G85+(SUM($G126:P126)))*Q$7)</f>
        <v>0</v>
      </c>
      <c r="R126" s="104"/>
      <c r="S126" s="104"/>
      <c r="T126" s="104"/>
      <c r="U126" s="104"/>
      <c r="V126" s="104"/>
      <c r="W126" s="104"/>
      <c r="X126" s="104"/>
      <c r="Y126" s="104"/>
      <c r="Z126" s="104"/>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4"/>
      <c r="BK126" s="224"/>
    </row>
    <row r="127" spans="1:63" hidden="1" outlineLevel="1">
      <c r="A127" s="9"/>
      <c r="B127" s="44"/>
      <c r="C127" s="283" t="s">
        <v>6</v>
      </c>
      <c r="D127" s="9"/>
      <c r="E127" s="9"/>
      <c r="F127" s="143"/>
      <c r="G127" s="204"/>
      <c r="H127" s="115"/>
      <c r="I127" s="115"/>
      <c r="J127" s="115"/>
      <c r="K127" s="115"/>
      <c r="L127" s="115">
        <f>IF(COUNT($H126:L126)=Input!$Y$7,SUM($G126:L126),0)</f>
        <v>0</v>
      </c>
      <c r="M127" s="115">
        <f>IF(COUNT($H126:M126)=Input!$Y$7,SUM($G126:M126),0)</f>
        <v>0</v>
      </c>
      <c r="N127" s="115">
        <f>IF(COUNT($H126:N126)=Input!$Y$7,SUM($G126:N126),0)</f>
        <v>0</v>
      </c>
      <c r="O127" s="115">
        <f>IF(COUNT($H126:O126)=Input!$Y$7,SUM($G126:O126),0)</f>
        <v>0</v>
      </c>
      <c r="P127" s="115">
        <f>IF(COUNT($H126:P126)=Input!$Y$7,SUM($G126:P126),0)</f>
        <v>0</v>
      </c>
      <c r="Q127" s="115">
        <f>IF(COUNT($H126:Q126)=Input!$Y$7,SUM($G126:Q126),0)</f>
        <v>0</v>
      </c>
      <c r="R127" s="104"/>
      <c r="S127" s="104"/>
      <c r="T127" s="104"/>
      <c r="U127" s="104"/>
      <c r="V127" s="104"/>
      <c r="W127" s="104"/>
      <c r="X127" s="104"/>
      <c r="Y127" s="104"/>
      <c r="Z127" s="104"/>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4"/>
      <c r="BK127" s="224"/>
    </row>
    <row r="128" spans="1:63" hidden="1" outlineLevel="1">
      <c r="A128" s="9"/>
      <c r="B128" s="44"/>
      <c r="C128" s="271">
        <f>Asset11</f>
        <v>0</v>
      </c>
      <c r="D128" s="9"/>
      <c r="E128" s="9"/>
      <c r="F128" s="143"/>
      <c r="G128" s="204"/>
      <c r="H128" s="115">
        <f>($G86+(SUM($G128:G128)))*H$7</f>
        <v>0</v>
      </c>
      <c r="I128" s="115">
        <f>($G86+(SUM($G128:H128)))*I$7</f>
        <v>0</v>
      </c>
      <c r="J128" s="115">
        <f>($G86+(SUM($G128:I128)))*J$7</f>
        <v>0</v>
      </c>
      <c r="K128" s="115">
        <f>($G86+(SUM($G128:J128)))*K$7</f>
        <v>0</v>
      </c>
      <c r="L128" s="115">
        <f>($G86+(SUM($G128:K128)))*L$7</f>
        <v>0</v>
      </c>
      <c r="M128" s="115">
        <f>IF(COUNT($H128:L128)&gt;=Input!$Y$7,0,($G86+(SUM($G128:L128)))*M$7)</f>
        <v>0</v>
      </c>
      <c r="N128" s="115">
        <f>IF(COUNT($H128:M128)&gt;=Input!$Y$7,0,($G86+(SUM($G128:M128)))*N$7)</f>
        <v>0</v>
      </c>
      <c r="O128" s="115">
        <f>IF(COUNT($H128:N128)&gt;=Input!$Y$7,0,($G86+(SUM($G128:N128)))*O$7)</f>
        <v>0</v>
      </c>
      <c r="P128" s="115">
        <f>IF(COUNT($H128:O128)&gt;=Input!$Y$7,0,($G86+(SUM($G128:O128)))*P$7)</f>
        <v>0</v>
      </c>
      <c r="Q128" s="115">
        <f>IF(COUNT($H128:P128)&gt;=Input!$Y$7,0,($G86+(SUM($G128:P128)))*Q$7)</f>
        <v>0</v>
      </c>
      <c r="R128" s="104"/>
      <c r="S128" s="104"/>
      <c r="T128" s="104"/>
      <c r="U128" s="104"/>
      <c r="V128" s="104"/>
      <c r="W128" s="104"/>
      <c r="X128" s="104"/>
      <c r="Y128" s="104"/>
      <c r="Z128" s="104"/>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4"/>
      <c r="BK128" s="224"/>
    </row>
    <row r="129" spans="1:63" hidden="1" outlineLevel="1">
      <c r="A129" s="9"/>
      <c r="B129" s="44"/>
      <c r="C129" s="283" t="s">
        <v>6</v>
      </c>
      <c r="D129" s="9"/>
      <c r="E129" s="9"/>
      <c r="F129" s="143"/>
      <c r="G129" s="204"/>
      <c r="H129" s="115"/>
      <c r="I129" s="115"/>
      <c r="J129" s="115"/>
      <c r="K129" s="115"/>
      <c r="L129" s="115">
        <f>IF(COUNT($H128:L128)=Input!$Y$7,SUM($G128:L128),0)</f>
        <v>0</v>
      </c>
      <c r="M129" s="115">
        <f>IF(COUNT($H128:M128)=Input!$Y$7,SUM($G128:M128),0)</f>
        <v>0</v>
      </c>
      <c r="N129" s="115">
        <f>IF(COUNT($H128:N128)=Input!$Y$7,SUM($G128:N128),0)</f>
        <v>0</v>
      </c>
      <c r="O129" s="115">
        <f>IF(COUNT($H128:O128)=Input!$Y$7,SUM($G128:O128),0)</f>
        <v>0</v>
      </c>
      <c r="P129" s="115">
        <f>IF(COUNT($H128:P128)=Input!$Y$7,SUM($G128:P128),0)</f>
        <v>0</v>
      </c>
      <c r="Q129" s="115">
        <f>IF(COUNT($H128:Q128)=Input!$Y$7,SUM($G128:Q128),0)</f>
        <v>0</v>
      </c>
      <c r="R129" s="104"/>
      <c r="S129" s="104"/>
      <c r="T129" s="104"/>
      <c r="U129" s="104"/>
      <c r="V129" s="104"/>
      <c r="W129" s="104"/>
      <c r="X129" s="104"/>
      <c r="Y129" s="104"/>
      <c r="Z129" s="104"/>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4"/>
      <c r="BK129" s="224"/>
    </row>
    <row r="130" spans="1:63" hidden="1" outlineLevel="1">
      <c r="A130" s="9"/>
      <c r="B130" s="44"/>
      <c r="C130" s="271">
        <f>Asset12</f>
        <v>0</v>
      </c>
      <c r="D130" s="9"/>
      <c r="E130" s="9"/>
      <c r="F130" s="143"/>
      <c r="G130" s="204"/>
      <c r="H130" s="115">
        <f>($G87+(SUM($G130:G130)))*H$7</f>
        <v>0</v>
      </c>
      <c r="I130" s="115">
        <f>($G87+(SUM($G130:H130)))*I$7</f>
        <v>0</v>
      </c>
      <c r="J130" s="115">
        <f>($G87+(SUM($G130:I130)))*J$7</f>
        <v>0</v>
      </c>
      <c r="K130" s="115">
        <f>($G87+(SUM($G130:J130)))*K$7</f>
        <v>0</v>
      </c>
      <c r="L130" s="115">
        <f>($G87+(SUM($G130:K130)))*L$7</f>
        <v>0</v>
      </c>
      <c r="M130" s="115">
        <f>IF(COUNT($H130:L130)&gt;=Input!$Y$7,0,($G87+(SUM($G130:L130)))*M$7)</f>
        <v>0</v>
      </c>
      <c r="N130" s="115">
        <f>IF(COUNT($H130:M130)&gt;=Input!$Y$7,0,($G87+(SUM($G130:M130)))*N$7)</f>
        <v>0</v>
      </c>
      <c r="O130" s="115">
        <f>IF(COUNT($H130:N130)&gt;=Input!$Y$7,0,($G87+(SUM($G130:N130)))*O$7)</f>
        <v>0</v>
      </c>
      <c r="P130" s="115">
        <f>IF(COUNT($H130:O130)&gt;=Input!$Y$7,0,($G87+(SUM($G130:O130)))*P$7)</f>
        <v>0</v>
      </c>
      <c r="Q130" s="115">
        <f>IF(COUNT($H130:P130)&gt;=Input!$Y$7,0,($G87+(SUM($G130:P130)))*Q$7)</f>
        <v>0</v>
      </c>
      <c r="R130" s="104"/>
      <c r="S130" s="104"/>
      <c r="T130" s="104"/>
      <c r="U130" s="104"/>
      <c r="V130" s="104"/>
      <c r="W130" s="104"/>
      <c r="X130" s="104"/>
      <c r="Y130" s="104"/>
      <c r="Z130" s="104"/>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4"/>
      <c r="BK130" s="224"/>
    </row>
    <row r="131" spans="1:63" hidden="1" outlineLevel="1">
      <c r="A131" s="9"/>
      <c r="B131" s="44"/>
      <c r="C131" s="283" t="s">
        <v>6</v>
      </c>
      <c r="D131" s="9"/>
      <c r="E131" s="9"/>
      <c r="F131" s="143"/>
      <c r="G131" s="204"/>
      <c r="H131" s="115"/>
      <c r="I131" s="115"/>
      <c r="J131" s="115"/>
      <c r="K131" s="115"/>
      <c r="L131" s="115">
        <f>IF(COUNT($H130:L130)=Input!$Y$7,SUM($G130:L130),0)</f>
        <v>0</v>
      </c>
      <c r="M131" s="115">
        <f>IF(COUNT($H130:M130)=Input!$Y$7,SUM($G130:M130),0)</f>
        <v>0</v>
      </c>
      <c r="N131" s="115">
        <f>IF(COUNT($H130:N130)=Input!$Y$7,SUM($G130:N130),0)</f>
        <v>0</v>
      </c>
      <c r="O131" s="115">
        <f>IF(COUNT($H130:O130)=Input!$Y$7,SUM($G130:O130),0)</f>
        <v>0</v>
      </c>
      <c r="P131" s="115">
        <f>IF(COUNT($H130:P130)=Input!$Y$7,SUM($G130:P130),0)</f>
        <v>0</v>
      </c>
      <c r="Q131" s="115">
        <f>IF(COUNT($H130:Q130)=Input!$Y$7,SUM($G130:Q130),0)</f>
        <v>0</v>
      </c>
      <c r="R131" s="104"/>
      <c r="S131" s="104"/>
      <c r="T131" s="104"/>
      <c r="U131" s="104"/>
      <c r="V131" s="104"/>
      <c r="W131" s="104"/>
      <c r="X131" s="104"/>
      <c r="Y131" s="104"/>
      <c r="Z131" s="104"/>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4"/>
      <c r="BK131" s="224"/>
    </row>
    <row r="132" spans="1:63" hidden="1" outlineLevel="1">
      <c r="A132" s="9"/>
      <c r="B132" s="44"/>
      <c r="C132" s="271">
        <f>Asset13</f>
        <v>0</v>
      </c>
      <c r="D132" s="9"/>
      <c r="E132" s="9"/>
      <c r="F132" s="143"/>
      <c r="G132" s="204"/>
      <c r="H132" s="115">
        <f>($G88+(SUM($G132:G132)))*H$7</f>
        <v>0</v>
      </c>
      <c r="I132" s="115">
        <f>($G88+(SUM($G132:H132)))*I$7</f>
        <v>0</v>
      </c>
      <c r="J132" s="115">
        <f>($G88+(SUM($G132:I132)))*J$7</f>
        <v>0</v>
      </c>
      <c r="K132" s="115">
        <f>($G88+(SUM($G132:J132)))*K$7</f>
        <v>0</v>
      </c>
      <c r="L132" s="115">
        <f>($G88+(SUM($G132:K132)))*L$7</f>
        <v>0</v>
      </c>
      <c r="M132" s="115">
        <f>IF(COUNT($H132:L132)&gt;=Input!$Y$7,0,($G88+(SUM($G132:L132)))*M$7)</f>
        <v>0</v>
      </c>
      <c r="N132" s="115">
        <f>IF(COUNT($H132:M132)&gt;=Input!$Y$7,0,($G88+(SUM($G132:M132)))*N$7)</f>
        <v>0</v>
      </c>
      <c r="O132" s="115">
        <f>IF(COUNT($H132:N132)&gt;=Input!$Y$7,0,($G88+(SUM($G132:N132)))*O$7)</f>
        <v>0</v>
      </c>
      <c r="P132" s="115">
        <f>IF(COUNT($H132:O132)&gt;=Input!$Y$7,0,($G88+(SUM($G132:O132)))*P$7)</f>
        <v>0</v>
      </c>
      <c r="Q132" s="115">
        <f>IF(COUNT($H132:P132)&gt;=Input!$Y$7,0,($G88+(SUM($G132:P132)))*Q$7)</f>
        <v>0</v>
      </c>
      <c r="R132" s="104"/>
      <c r="S132" s="104"/>
      <c r="T132" s="104"/>
      <c r="U132" s="104"/>
      <c r="V132" s="104"/>
      <c r="W132" s="104"/>
      <c r="X132" s="104"/>
      <c r="Y132" s="104"/>
      <c r="Z132" s="104"/>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4"/>
      <c r="BK132" s="224"/>
    </row>
    <row r="133" spans="1:63" hidden="1" outlineLevel="1">
      <c r="A133" s="9"/>
      <c r="B133" s="44"/>
      <c r="C133" s="283" t="s">
        <v>6</v>
      </c>
      <c r="D133" s="9"/>
      <c r="E133" s="9"/>
      <c r="F133" s="143"/>
      <c r="G133" s="204"/>
      <c r="H133" s="115"/>
      <c r="I133" s="115"/>
      <c r="J133" s="115"/>
      <c r="K133" s="115"/>
      <c r="L133" s="115">
        <f>IF(COUNT($H132:L132)=Input!$Y$7,SUM($G132:L132),0)</f>
        <v>0</v>
      </c>
      <c r="M133" s="115">
        <f>IF(COUNT($H132:M132)=Input!$Y$7,SUM($G132:M132),0)</f>
        <v>0</v>
      </c>
      <c r="N133" s="115">
        <f>IF(COUNT($H132:N132)=Input!$Y$7,SUM($G132:N132),0)</f>
        <v>0</v>
      </c>
      <c r="O133" s="115">
        <f>IF(COUNT($H132:O132)=Input!$Y$7,SUM($G132:O132),0)</f>
        <v>0</v>
      </c>
      <c r="P133" s="115">
        <f>IF(COUNT($H132:P132)=Input!$Y$7,SUM($G132:P132),0)</f>
        <v>0</v>
      </c>
      <c r="Q133" s="115">
        <f>IF(COUNT($H132:Q132)=Input!$Y$7,SUM($G132:Q132),0)</f>
        <v>0</v>
      </c>
      <c r="R133" s="104"/>
      <c r="S133" s="104"/>
      <c r="T133" s="104"/>
      <c r="U133" s="104"/>
      <c r="V133" s="104"/>
      <c r="W133" s="104"/>
      <c r="X133" s="104"/>
      <c r="Y133" s="104"/>
      <c r="Z133" s="104"/>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4"/>
      <c r="BK133" s="224"/>
    </row>
    <row r="134" spans="1:63" hidden="1" outlineLevel="1">
      <c r="A134" s="9"/>
      <c r="B134" s="44"/>
      <c r="C134" s="271">
        <f>Asset14</f>
        <v>0</v>
      </c>
      <c r="D134" s="9"/>
      <c r="E134" s="9"/>
      <c r="F134" s="143"/>
      <c r="G134" s="204"/>
      <c r="H134" s="115">
        <f>($G89+(SUM($G134:G134)))*H$7</f>
        <v>0</v>
      </c>
      <c r="I134" s="115">
        <f>($G89+(SUM($G134:H134)))*I$7</f>
        <v>0</v>
      </c>
      <c r="J134" s="115">
        <f>($G89+(SUM($G134:I134)))*J$7</f>
        <v>0</v>
      </c>
      <c r="K134" s="115">
        <f>($G89+(SUM($G134:J134)))*K$7</f>
        <v>0</v>
      </c>
      <c r="L134" s="115">
        <f>($G89+(SUM($G134:K134)))*L$7</f>
        <v>0</v>
      </c>
      <c r="M134" s="115">
        <f>IF(COUNT($H134:L134)&gt;=Input!$Y$7,0,($G89+(SUM($G134:L134)))*M$7)</f>
        <v>0</v>
      </c>
      <c r="N134" s="115">
        <f>IF(COUNT($H134:M134)&gt;=Input!$Y$7,0,($G89+(SUM($G134:M134)))*N$7)</f>
        <v>0</v>
      </c>
      <c r="O134" s="115">
        <f>IF(COUNT($H134:N134)&gt;=Input!$Y$7,0,($G89+(SUM($G134:N134)))*O$7)</f>
        <v>0</v>
      </c>
      <c r="P134" s="115">
        <f>IF(COUNT($H134:O134)&gt;=Input!$Y$7,0,($G89+(SUM($G134:O134)))*P$7)</f>
        <v>0</v>
      </c>
      <c r="Q134" s="115">
        <f>IF(COUNT($H134:P134)&gt;=Input!$Y$7,0,($G89+(SUM($G134:P134)))*Q$7)</f>
        <v>0</v>
      </c>
      <c r="R134" s="104"/>
      <c r="S134" s="104"/>
      <c r="T134" s="104"/>
      <c r="U134" s="104"/>
      <c r="V134" s="104"/>
      <c r="W134" s="104"/>
      <c r="X134" s="104"/>
      <c r="Y134" s="104"/>
      <c r="Z134" s="104"/>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4"/>
      <c r="BK134" s="224"/>
    </row>
    <row r="135" spans="1:63" hidden="1" outlineLevel="1">
      <c r="A135" s="9"/>
      <c r="B135" s="44"/>
      <c r="C135" s="283" t="s">
        <v>6</v>
      </c>
      <c r="D135" s="9"/>
      <c r="E135" s="9"/>
      <c r="F135" s="143"/>
      <c r="G135" s="204"/>
      <c r="H135" s="115"/>
      <c r="I135" s="115"/>
      <c r="J135" s="115"/>
      <c r="K135" s="115"/>
      <c r="L135" s="115">
        <f>IF(COUNT($H134:L134)=Input!$Y$7,SUM($G134:L134),0)</f>
        <v>0</v>
      </c>
      <c r="M135" s="115">
        <f>IF(COUNT($H134:M134)=Input!$Y$7,SUM($G134:M134),0)</f>
        <v>0</v>
      </c>
      <c r="N135" s="115">
        <f>IF(COUNT($H134:N134)=Input!$Y$7,SUM($G134:N134),0)</f>
        <v>0</v>
      </c>
      <c r="O135" s="115">
        <f>IF(COUNT($H134:O134)=Input!$Y$7,SUM($G134:O134),0)</f>
        <v>0</v>
      </c>
      <c r="P135" s="115">
        <f>IF(COUNT($H134:P134)=Input!$Y$7,SUM($G134:P134),0)</f>
        <v>0</v>
      </c>
      <c r="Q135" s="115">
        <f>IF(COUNT($H134:Q134)=Input!$Y$7,SUM($G134:Q134),0)</f>
        <v>0</v>
      </c>
      <c r="R135" s="104"/>
      <c r="S135" s="104"/>
      <c r="T135" s="104"/>
      <c r="U135" s="104"/>
      <c r="V135" s="104"/>
      <c r="W135" s="104"/>
      <c r="X135" s="104"/>
      <c r="Y135" s="104"/>
      <c r="Z135" s="104"/>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4"/>
      <c r="BK135" s="224"/>
    </row>
    <row r="136" spans="1:63" hidden="1" outlineLevel="1">
      <c r="A136" s="9"/>
      <c r="B136" s="44"/>
      <c r="C136" s="271">
        <f>Asset15</f>
        <v>0</v>
      </c>
      <c r="D136" s="9"/>
      <c r="E136" s="9"/>
      <c r="F136" s="143"/>
      <c r="G136" s="204"/>
      <c r="H136" s="115">
        <f>($G90+(SUM($G136:G136)))*H$7</f>
        <v>0</v>
      </c>
      <c r="I136" s="115">
        <f>($G90+(SUM($G136:H136)))*I$7</f>
        <v>0</v>
      </c>
      <c r="J136" s="115">
        <f>($G90+(SUM($G136:I136)))*J$7</f>
        <v>0</v>
      </c>
      <c r="K136" s="115">
        <f>($G90+(SUM($G136:J136)))*K$7</f>
        <v>0</v>
      </c>
      <c r="L136" s="115">
        <f>($G90+(SUM($G136:K136)))*L$7</f>
        <v>0</v>
      </c>
      <c r="M136" s="115">
        <f>IF(COUNT($H136:L136)&gt;=Input!$Y$7,0,($G90+(SUM($G136:L136)))*M$7)</f>
        <v>0</v>
      </c>
      <c r="N136" s="115">
        <f>IF(COUNT($H136:M136)&gt;=Input!$Y$7,0,($G90+(SUM($G136:M136)))*N$7)</f>
        <v>0</v>
      </c>
      <c r="O136" s="115">
        <f>IF(COUNT($H136:N136)&gt;=Input!$Y$7,0,($G90+(SUM($G136:N136)))*O$7)</f>
        <v>0</v>
      </c>
      <c r="P136" s="115">
        <f>IF(COUNT($H136:O136)&gt;=Input!$Y$7,0,($G90+(SUM($G136:O136)))*P$7)</f>
        <v>0</v>
      </c>
      <c r="Q136" s="115">
        <f>IF(COUNT($H136:P136)&gt;=Input!$Y$7,0,($G90+(SUM($G136:P136)))*Q$7)</f>
        <v>0</v>
      </c>
      <c r="R136" s="104"/>
      <c r="S136" s="104"/>
      <c r="T136" s="104"/>
      <c r="U136" s="104"/>
      <c r="V136" s="104"/>
      <c r="W136" s="104"/>
      <c r="X136" s="104"/>
      <c r="Y136" s="104"/>
      <c r="Z136" s="104"/>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4"/>
      <c r="BK136" s="224"/>
    </row>
    <row r="137" spans="1:63" hidden="1" outlineLevel="1">
      <c r="A137" s="9"/>
      <c r="B137" s="44"/>
      <c r="C137" s="283" t="s">
        <v>6</v>
      </c>
      <c r="D137" s="9"/>
      <c r="E137" s="9"/>
      <c r="F137" s="143"/>
      <c r="G137" s="204"/>
      <c r="H137" s="115"/>
      <c r="I137" s="115"/>
      <c r="J137" s="115"/>
      <c r="K137" s="115"/>
      <c r="L137" s="115">
        <f>IF(COUNT($H136:L136)=Input!$Y$7,SUM($G136:L136),0)</f>
        <v>0</v>
      </c>
      <c r="M137" s="115">
        <f>IF(COUNT($H136:M136)=Input!$Y$7,SUM($G136:M136),0)</f>
        <v>0</v>
      </c>
      <c r="N137" s="115">
        <f>IF(COUNT($H136:N136)=Input!$Y$7,SUM($G136:N136),0)</f>
        <v>0</v>
      </c>
      <c r="O137" s="115">
        <f>IF(COUNT($H136:O136)=Input!$Y$7,SUM($G136:O136),0)</f>
        <v>0</v>
      </c>
      <c r="P137" s="115">
        <f>IF(COUNT($H136:P136)=Input!$Y$7,SUM($G136:P136),0)</f>
        <v>0</v>
      </c>
      <c r="Q137" s="115">
        <f>IF(COUNT($H136:Q136)=Input!$Y$7,SUM($G136:Q136),0)</f>
        <v>0</v>
      </c>
      <c r="R137" s="104"/>
      <c r="S137" s="104"/>
      <c r="T137" s="104"/>
      <c r="U137" s="104"/>
      <c r="V137" s="104"/>
      <c r="W137" s="104"/>
      <c r="X137" s="104"/>
      <c r="Y137" s="104"/>
      <c r="Z137" s="104"/>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4"/>
      <c r="BK137" s="224"/>
    </row>
    <row r="138" spans="1:63" hidden="1" outlineLevel="1">
      <c r="A138" s="9"/>
      <c r="B138" s="44"/>
      <c r="C138" s="271">
        <f>Asset16</f>
        <v>0</v>
      </c>
      <c r="D138" s="9"/>
      <c r="E138" s="9"/>
      <c r="F138" s="143"/>
      <c r="G138" s="204"/>
      <c r="H138" s="115">
        <f>($G91+(SUM($G138:G138)))*H$7</f>
        <v>0</v>
      </c>
      <c r="I138" s="115">
        <f>($G91+(SUM($G138:H138)))*I$7</f>
        <v>0</v>
      </c>
      <c r="J138" s="115">
        <f>($G91+(SUM($G138:I138)))*J$7</f>
        <v>0</v>
      </c>
      <c r="K138" s="115">
        <f>($G91+(SUM($G138:J138)))*K$7</f>
        <v>0</v>
      </c>
      <c r="L138" s="115">
        <f>($G91+(SUM($G138:K138)))*L$7</f>
        <v>0</v>
      </c>
      <c r="M138" s="115">
        <f>IF(COUNT($H138:L138)&gt;=Input!$Y$7,0,($G91+(SUM($G138:L138)))*M$7)</f>
        <v>0</v>
      </c>
      <c r="N138" s="115">
        <f>IF(COUNT($H138:M138)&gt;=Input!$Y$7,0,($G91+(SUM($G138:M138)))*N$7)</f>
        <v>0</v>
      </c>
      <c r="O138" s="115">
        <f>IF(COUNT($H138:N138)&gt;=Input!$Y$7,0,($G91+(SUM($G138:N138)))*O$7)</f>
        <v>0</v>
      </c>
      <c r="P138" s="115">
        <f>IF(COUNT($H138:O138)&gt;=Input!$Y$7,0,($G91+(SUM($G138:O138)))*P$7)</f>
        <v>0</v>
      </c>
      <c r="Q138" s="115">
        <f>IF(COUNT($H138:P138)&gt;=Input!$Y$7,0,($G91+(SUM($G138:P138)))*Q$7)</f>
        <v>0</v>
      </c>
      <c r="R138" s="104"/>
      <c r="S138" s="104"/>
      <c r="T138" s="104"/>
      <c r="U138" s="104"/>
      <c r="V138" s="104"/>
      <c r="W138" s="104"/>
      <c r="X138" s="104"/>
      <c r="Y138" s="104"/>
      <c r="Z138" s="104"/>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4"/>
      <c r="BK138" s="224"/>
    </row>
    <row r="139" spans="1:63" hidden="1" outlineLevel="1">
      <c r="A139" s="9"/>
      <c r="B139" s="44"/>
      <c r="C139" s="283" t="s">
        <v>6</v>
      </c>
      <c r="D139" s="9"/>
      <c r="E139" s="9"/>
      <c r="F139" s="143"/>
      <c r="G139" s="204"/>
      <c r="H139" s="115"/>
      <c r="I139" s="115"/>
      <c r="J139" s="115"/>
      <c r="K139" s="115"/>
      <c r="L139" s="115">
        <f>IF(COUNT($H138:L138)=Input!$Y$7,SUM($G138:L138),0)</f>
        <v>0</v>
      </c>
      <c r="M139" s="115">
        <f>IF(COUNT($H138:M138)=Input!$Y$7,SUM($G138:M138),0)</f>
        <v>0</v>
      </c>
      <c r="N139" s="115">
        <f>IF(COUNT($H138:N138)=Input!$Y$7,SUM($G138:N138),0)</f>
        <v>0</v>
      </c>
      <c r="O139" s="115">
        <f>IF(COUNT($H138:O138)=Input!$Y$7,SUM($G138:O138),0)</f>
        <v>0</v>
      </c>
      <c r="P139" s="115">
        <f>IF(COUNT($H138:P138)=Input!$Y$7,SUM($G138:P138),0)</f>
        <v>0</v>
      </c>
      <c r="Q139" s="115">
        <f>IF(COUNT($H138:Q138)=Input!$Y$7,SUM($G138:Q138),0)</f>
        <v>0</v>
      </c>
      <c r="R139" s="104"/>
      <c r="S139" s="104"/>
      <c r="T139" s="104"/>
      <c r="U139" s="104"/>
      <c r="V139" s="104"/>
      <c r="W139" s="104"/>
      <c r="X139" s="104"/>
      <c r="Y139" s="104"/>
      <c r="Z139" s="104"/>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4"/>
      <c r="BK139" s="224"/>
    </row>
    <row r="140" spans="1:63" hidden="1" outlineLevel="1">
      <c r="A140" s="9"/>
      <c r="B140" s="44"/>
      <c r="C140" s="271">
        <f>Asset17</f>
        <v>0</v>
      </c>
      <c r="D140" s="9"/>
      <c r="E140" s="9"/>
      <c r="F140" s="143"/>
      <c r="G140" s="204"/>
      <c r="H140" s="115">
        <f>($G92+(SUM($G140:G140)))*H$7</f>
        <v>0</v>
      </c>
      <c r="I140" s="115">
        <f>($G92+(SUM($G140:H140)))*I$7</f>
        <v>0</v>
      </c>
      <c r="J140" s="115">
        <f>($G92+(SUM($G140:I140)))*J$7</f>
        <v>0</v>
      </c>
      <c r="K140" s="115">
        <f>($G92+(SUM($G140:J140)))*K$7</f>
        <v>0</v>
      </c>
      <c r="L140" s="115">
        <f>($G92+(SUM($G140:K140)))*L$7</f>
        <v>0</v>
      </c>
      <c r="M140" s="115">
        <f>IF(COUNT($H140:L140)&gt;=Input!$Y$7,0,($G92+(SUM($G140:L140)))*M$7)</f>
        <v>0</v>
      </c>
      <c r="N140" s="115">
        <f>IF(COUNT($H140:M140)&gt;=Input!$Y$7,0,($G92+(SUM($G140:M140)))*N$7)</f>
        <v>0</v>
      </c>
      <c r="O140" s="115">
        <f>IF(COUNT($H140:N140)&gt;=Input!$Y$7,0,($G92+(SUM($G140:N140)))*O$7)</f>
        <v>0</v>
      </c>
      <c r="P140" s="115">
        <f>IF(COUNT($H140:O140)&gt;=Input!$Y$7,0,($G92+(SUM($G140:O140)))*P$7)</f>
        <v>0</v>
      </c>
      <c r="Q140" s="115">
        <f>IF(COUNT($H140:P140)&gt;=Input!$Y$7,0,($G92+(SUM($G140:P140)))*Q$7)</f>
        <v>0</v>
      </c>
      <c r="R140" s="104"/>
      <c r="S140" s="104"/>
      <c r="T140" s="104"/>
      <c r="U140" s="104"/>
      <c r="V140" s="104"/>
      <c r="W140" s="104"/>
      <c r="X140" s="104"/>
      <c r="Y140" s="104"/>
      <c r="Z140" s="104"/>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4"/>
      <c r="BK140" s="224"/>
    </row>
    <row r="141" spans="1:63" hidden="1" outlineLevel="1">
      <c r="A141" s="9"/>
      <c r="B141" s="44"/>
      <c r="C141" s="283" t="s">
        <v>6</v>
      </c>
      <c r="D141" s="9"/>
      <c r="E141" s="9"/>
      <c r="F141" s="143"/>
      <c r="G141" s="204"/>
      <c r="H141" s="115"/>
      <c r="I141" s="115"/>
      <c r="J141" s="115"/>
      <c r="K141" s="115"/>
      <c r="L141" s="115">
        <f>IF(COUNT($H140:L140)=Input!$Y$7,SUM($G140:L140),0)</f>
        <v>0</v>
      </c>
      <c r="M141" s="115">
        <f>IF(COUNT($H140:M140)=Input!$Y$7,SUM($G140:M140),0)</f>
        <v>0</v>
      </c>
      <c r="N141" s="115">
        <f>IF(COUNT($H140:N140)=Input!$Y$7,SUM($G140:N140),0)</f>
        <v>0</v>
      </c>
      <c r="O141" s="115">
        <f>IF(COUNT($H140:O140)=Input!$Y$7,SUM($G140:O140),0)</f>
        <v>0</v>
      </c>
      <c r="P141" s="115">
        <f>IF(COUNT($H140:P140)=Input!$Y$7,SUM($G140:P140),0)</f>
        <v>0</v>
      </c>
      <c r="Q141" s="115">
        <f>IF(COUNT($H140:Q140)=Input!$Y$7,SUM($G140:Q140),0)</f>
        <v>0</v>
      </c>
      <c r="R141" s="104"/>
      <c r="S141" s="104"/>
      <c r="T141" s="104"/>
      <c r="U141" s="104"/>
      <c r="V141" s="104"/>
      <c r="W141" s="104"/>
      <c r="X141" s="104"/>
      <c r="Y141" s="104"/>
      <c r="Z141" s="104"/>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4"/>
      <c r="BK141" s="224"/>
    </row>
    <row r="142" spans="1:63" hidden="1" outlineLevel="1">
      <c r="A142" s="9"/>
      <c r="B142" s="44"/>
      <c r="C142" s="271">
        <f>Asset18</f>
        <v>0</v>
      </c>
      <c r="D142" s="9"/>
      <c r="E142" s="9"/>
      <c r="F142" s="143"/>
      <c r="G142" s="204"/>
      <c r="H142" s="115">
        <f>($G93+(SUM($G142:G142)))*H$7</f>
        <v>0</v>
      </c>
      <c r="I142" s="115">
        <f>($G93+(SUM($G142:H142)))*I$7</f>
        <v>0</v>
      </c>
      <c r="J142" s="115">
        <f>($G93+(SUM($G142:I142)))*J$7</f>
        <v>0</v>
      </c>
      <c r="K142" s="115">
        <f>($G93+(SUM($G142:J142)))*K$7</f>
        <v>0</v>
      </c>
      <c r="L142" s="115">
        <f>($G93+(SUM($G142:K142)))*L$7</f>
        <v>0</v>
      </c>
      <c r="M142" s="115">
        <f>IF(COUNT($H142:L142)&gt;=Input!$Y$7,0,($G93+(SUM($G142:L142)))*M$7)</f>
        <v>0</v>
      </c>
      <c r="N142" s="115">
        <f>IF(COUNT($H142:M142)&gt;=Input!$Y$7,0,($G93+(SUM($G142:M142)))*N$7)</f>
        <v>0</v>
      </c>
      <c r="O142" s="115">
        <f>IF(COUNT($H142:N142)&gt;=Input!$Y$7,0,($G93+(SUM($G142:N142)))*O$7)</f>
        <v>0</v>
      </c>
      <c r="P142" s="115">
        <f>IF(COUNT($H142:O142)&gt;=Input!$Y$7,0,($G93+(SUM($G142:O142)))*P$7)</f>
        <v>0</v>
      </c>
      <c r="Q142" s="115">
        <f>IF(COUNT($H142:P142)&gt;=Input!$Y$7,0,($G93+(SUM($G142:P142)))*Q$7)</f>
        <v>0</v>
      </c>
      <c r="R142" s="104"/>
      <c r="S142" s="104"/>
      <c r="T142" s="104"/>
      <c r="U142" s="104"/>
      <c r="V142" s="104"/>
      <c r="W142" s="104"/>
      <c r="X142" s="104"/>
      <c r="Y142" s="104"/>
      <c r="Z142" s="104"/>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4"/>
      <c r="BK142" s="224"/>
    </row>
    <row r="143" spans="1:63" hidden="1" outlineLevel="1">
      <c r="A143" s="9"/>
      <c r="B143" s="44"/>
      <c r="C143" s="283" t="s">
        <v>6</v>
      </c>
      <c r="D143" s="9"/>
      <c r="E143" s="9"/>
      <c r="F143" s="143"/>
      <c r="G143" s="204"/>
      <c r="H143" s="115"/>
      <c r="I143" s="115"/>
      <c r="J143" s="115"/>
      <c r="K143" s="115"/>
      <c r="L143" s="115">
        <f>IF(COUNT($H142:L142)=Input!$Y$7,SUM($G142:L142),0)</f>
        <v>0</v>
      </c>
      <c r="M143" s="115">
        <f>IF(COUNT($H142:M142)=Input!$Y$7,SUM($G142:M142),0)</f>
        <v>0</v>
      </c>
      <c r="N143" s="115">
        <f>IF(COUNT($H142:N142)=Input!$Y$7,SUM($G142:N142),0)</f>
        <v>0</v>
      </c>
      <c r="O143" s="115">
        <f>IF(COUNT($H142:O142)=Input!$Y$7,SUM($G142:O142),0)</f>
        <v>0</v>
      </c>
      <c r="P143" s="115">
        <f>IF(COUNT($H142:P142)=Input!$Y$7,SUM($G142:P142),0)</f>
        <v>0</v>
      </c>
      <c r="Q143" s="115">
        <f>IF(COUNT($H142:Q142)=Input!$Y$7,SUM($G142:Q142),0)</f>
        <v>0</v>
      </c>
      <c r="R143" s="104"/>
      <c r="S143" s="104"/>
      <c r="T143" s="104"/>
      <c r="U143" s="104"/>
      <c r="V143" s="104"/>
      <c r="W143" s="104"/>
      <c r="X143" s="104"/>
      <c r="Y143" s="104"/>
      <c r="Z143" s="104"/>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4"/>
      <c r="BK143" s="224"/>
    </row>
    <row r="144" spans="1:63" hidden="1" outlineLevel="1">
      <c r="A144" s="9"/>
      <c r="B144" s="44"/>
      <c r="C144" s="271">
        <f>Asset19</f>
        <v>0</v>
      </c>
      <c r="D144" s="9"/>
      <c r="E144" s="9"/>
      <c r="F144" s="143"/>
      <c r="G144" s="204"/>
      <c r="H144" s="115">
        <f>($G94+(SUM($G144:G144)))*H$7</f>
        <v>0</v>
      </c>
      <c r="I144" s="115">
        <f>($G94+(SUM($G144:H144)))*I$7</f>
        <v>0</v>
      </c>
      <c r="J144" s="115">
        <f>($G94+(SUM($G144:I144)))*J$7</f>
        <v>0</v>
      </c>
      <c r="K144" s="115">
        <f>($G94+(SUM($G144:J144)))*K$7</f>
        <v>0</v>
      </c>
      <c r="L144" s="115">
        <f>($G94+(SUM($G144:K144)))*L$7</f>
        <v>0</v>
      </c>
      <c r="M144" s="115">
        <f>IF(COUNT($H144:L144)&gt;=Input!$Y$7,0,($G94+(SUM($G144:L144)))*M$7)</f>
        <v>0</v>
      </c>
      <c r="N144" s="115">
        <f>IF(COUNT($H144:M144)&gt;=Input!$Y$7,0,($G94+(SUM($G144:M144)))*N$7)</f>
        <v>0</v>
      </c>
      <c r="O144" s="115">
        <f>IF(COUNT($H144:N144)&gt;=Input!$Y$7,0,($G94+(SUM($G144:N144)))*O$7)</f>
        <v>0</v>
      </c>
      <c r="P144" s="115">
        <f>IF(COUNT($H144:O144)&gt;=Input!$Y$7,0,($G94+(SUM($G144:O144)))*P$7)</f>
        <v>0</v>
      </c>
      <c r="Q144" s="115">
        <f>IF(COUNT($H144:P144)&gt;=Input!$Y$7,0,($G94+(SUM($G144:P144)))*Q$7)</f>
        <v>0</v>
      </c>
      <c r="R144" s="104"/>
      <c r="S144" s="104"/>
      <c r="T144" s="104"/>
      <c r="U144" s="104"/>
      <c r="V144" s="104"/>
      <c r="W144" s="104"/>
      <c r="X144" s="104"/>
      <c r="Y144" s="104"/>
      <c r="Z144" s="104"/>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4"/>
      <c r="BK144" s="224"/>
    </row>
    <row r="145" spans="1:63" hidden="1" outlineLevel="1">
      <c r="A145" s="9"/>
      <c r="B145" s="44"/>
      <c r="C145" s="283" t="s">
        <v>6</v>
      </c>
      <c r="D145" s="9"/>
      <c r="E145" s="9"/>
      <c r="F145" s="143"/>
      <c r="G145" s="204"/>
      <c r="H145" s="115"/>
      <c r="I145" s="115"/>
      <c r="J145" s="115"/>
      <c r="K145" s="115"/>
      <c r="L145" s="115">
        <f>IF(COUNT($H144:L144)=Input!$Y$7,SUM($G144:L144),0)</f>
        <v>0</v>
      </c>
      <c r="M145" s="115">
        <f>IF(COUNT($H144:M144)=Input!$Y$7,SUM($G144:M144),0)</f>
        <v>0</v>
      </c>
      <c r="N145" s="115">
        <f>IF(COUNT($H144:N144)=Input!$Y$7,SUM($G144:N144),0)</f>
        <v>0</v>
      </c>
      <c r="O145" s="115">
        <f>IF(COUNT($H144:O144)=Input!$Y$7,SUM($G144:O144),0)</f>
        <v>0</v>
      </c>
      <c r="P145" s="115">
        <f>IF(COUNT($H144:P144)=Input!$Y$7,SUM($G144:P144),0)</f>
        <v>0</v>
      </c>
      <c r="Q145" s="115">
        <f>IF(COUNT($H144:Q144)=Input!$Y$7,SUM($G144:Q144),0)</f>
        <v>0</v>
      </c>
      <c r="R145" s="104"/>
      <c r="S145" s="104"/>
      <c r="T145" s="104"/>
      <c r="U145" s="104"/>
      <c r="V145" s="104"/>
      <c r="W145" s="104"/>
      <c r="X145" s="104"/>
      <c r="Y145" s="104"/>
      <c r="Z145" s="104"/>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4"/>
      <c r="BK145" s="224"/>
    </row>
    <row r="146" spans="1:63" hidden="1" outlineLevel="1">
      <c r="A146" s="9"/>
      <c r="B146" s="44"/>
      <c r="C146" s="271">
        <f>Asset20</f>
        <v>0</v>
      </c>
      <c r="D146" s="9"/>
      <c r="E146" s="9"/>
      <c r="F146" s="143"/>
      <c r="G146" s="204"/>
      <c r="H146" s="115">
        <f>($G95+(SUM($G146:G146)))*H$7</f>
        <v>0</v>
      </c>
      <c r="I146" s="115">
        <f>($G95+(SUM($G146:H146)))*I$7</f>
        <v>0</v>
      </c>
      <c r="J146" s="115">
        <f>($G95+(SUM($G146:I146)))*J$7</f>
        <v>0</v>
      </c>
      <c r="K146" s="115">
        <f>($G95+(SUM($G146:J146)))*K$7</f>
        <v>0</v>
      </c>
      <c r="L146" s="115">
        <f>($G95+(SUM($G146:K146)))*L$7</f>
        <v>0</v>
      </c>
      <c r="M146" s="115">
        <f>IF(COUNT($H146:L146)&gt;=Input!$Y$7,0,($G95+(SUM($G146:L146)))*M$7)</f>
        <v>0</v>
      </c>
      <c r="N146" s="115">
        <f>IF(COUNT($H146:M146)&gt;=Input!$Y$7,0,($G95+(SUM($G146:M146)))*N$7)</f>
        <v>0</v>
      </c>
      <c r="O146" s="115">
        <f>IF(COUNT($H146:N146)&gt;=Input!$Y$7,0,($G95+(SUM($G146:N146)))*O$7)</f>
        <v>0</v>
      </c>
      <c r="P146" s="115">
        <f>IF(COUNT($H146:O146)&gt;=Input!$Y$7,0,($G95+(SUM($G146:O146)))*P$7)</f>
        <v>0</v>
      </c>
      <c r="Q146" s="115">
        <f>IF(COUNT($H146:P146)&gt;=Input!$Y$7,0,($G95+(SUM($G146:P146)))*Q$7)</f>
        <v>0</v>
      </c>
      <c r="R146" s="104"/>
      <c r="S146" s="104"/>
      <c r="T146" s="104"/>
      <c r="U146" s="104"/>
      <c r="V146" s="104"/>
      <c r="W146" s="104"/>
      <c r="X146" s="104"/>
      <c r="Y146" s="104"/>
      <c r="Z146" s="104"/>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4"/>
      <c r="BK146" s="224"/>
    </row>
    <row r="147" spans="1:63" hidden="1" outlineLevel="1">
      <c r="A147" s="9"/>
      <c r="B147" s="44"/>
      <c r="C147" s="283" t="s">
        <v>6</v>
      </c>
      <c r="D147" s="9"/>
      <c r="E147" s="9"/>
      <c r="F147" s="143"/>
      <c r="G147" s="204"/>
      <c r="H147" s="115"/>
      <c r="I147" s="115"/>
      <c r="J147" s="115"/>
      <c r="K147" s="115"/>
      <c r="L147" s="115">
        <f>IF(COUNT($H146:L146)=Input!$Y$7,SUM($G146:L146),0)</f>
        <v>0</v>
      </c>
      <c r="M147" s="115">
        <f>IF(COUNT($H146:M146)=Input!$Y$7,SUM($G146:M146),0)</f>
        <v>0</v>
      </c>
      <c r="N147" s="115">
        <f>IF(COUNT($H146:N146)=Input!$Y$7,SUM($G146:N146),0)</f>
        <v>0</v>
      </c>
      <c r="O147" s="115">
        <f>IF(COUNT($H146:O146)=Input!$Y$7,SUM($G146:O146),0)</f>
        <v>0</v>
      </c>
      <c r="P147" s="115">
        <f>IF(COUNT($H146:P146)=Input!$Y$7,SUM($G146:P146),0)</f>
        <v>0</v>
      </c>
      <c r="Q147" s="115">
        <f>IF(COUNT($H146:Q146)=Input!$Y$7,SUM($G146:Q146),0)</f>
        <v>0</v>
      </c>
      <c r="R147" s="104"/>
      <c r="S147" s="104"/>
      <c r="T147" s="104"/>
      <c r="U147" s="104"/>
      <c r="V147" s="104"/>
      <c r="W147" s="104"/>
      <c r="X147" s="104"/>
      <c r="Y147" s="104"/>
      <c r="Z147" s="104"/>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4"/>
      <c r="BK147" s="224"/>
    </row>
    <row r="148" spans="1:63" hidden="1" outlineLevel="1">
      <c r="A148" s="9"/>
      <c r="B148" s="44"/>
      <c r="C148" s="283">
        <f>Asset21</f>
        <v>0</v>
      </c>
      <c r="D148" s="9"/>
      <c r="E148" s="9"/>
      <c r="F148" s="143"/>
      <c r="G148" s="204"/>
      <c r="H148" s="115">
        <f>($G96+(SUM($G148:G148)))*H$7</f>
        <v>0</v>
      </c>
      <c r="I148" s="115">
        <f>($G96+(SUM($G148:H148)))*I$7</f>
        <v>0</v>
      </c>
      <c r="J148" s="115">
        <f>($G96+(SUM($G148:I148)))*J$7</f>
        <v>0</v>
      </c>
      <c r="K148" s="115">
        <f>($G96+(SUM($G148:J148)))*K$7</f>
        <v>0</v>
      </c>
      <c r="L148" s="115">
        <f>($G96+(SUM($G148:K148)))*L$7</f>
        <v>0</v>
      </c>
      <c r="M148" s="115">
        <f>IF(COUNT($H148:L148)&gt;=Input!$Y$7,0,($G96+(SUM($G148:L148)))*M$7)</f>
        <v>0</v>
      </c>
      <c r="N148" s="115">
        <f>IF(COUNT($H148:M148)&gt;=Input!$Y$7,0,($G96+(SUM($G148:M148)))*N$7)</f>
        <v>0</v>
      </c>
      <c r="O148" s="115">
        <f>IF(COUNT($H148:N148)&gt;=Input!$Y$7,0,($G96+(SUM($G148:N148)))*O$7)</f>
        <v>0</v>
      </c>
      <c r="P148" s="115">
        <f>IF(COUNT($H148:O148)&gt;=Input!$Y$7,0,($G96+(SUM($G148:O148)))*P$7)</f>
        <v>0</v>
      </c>
      <c r="Q148" s="115">
        <f>IF(COUNT($H148:P148)&gt;=Input!$Y$7,0,($G96+(SUM($G148:P148)))*Q$7)</f>
        <v>0</v>
      </c>
      <c r="R148" s="104"/>
      <c r="S148" s="104"/>
      <c r="T148" s="104"/>
      <c r="U148" s="104"/>
      <c r="V148" s="104"/>
      <c r="W148" s="104"/>
      <c r="X148" s="104"/>
      <c r="Y148" s="104"/>
      <c r="Z148" s="104"/>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4"/>
      <c r="BK148" s="224"/>
    </row>
    <row r="149" spans="1:63" hidden="1" outlineLevel="1">
      <c r="A149" s="9"/>
      <c r="B149" s="44"/>
      <c r="C149" s="283" t="s">
        <v>6</v>
      </c>
      <c r="D149" s="9"/>
      <c r="E149" s="9"/>
      <c r="F149" s="143"/>
      <c r="G149" s="204"/>
      <c r="H149" s="115"/>
      <c r="I149" s="115"/>
      <c r="J149" s="115"/>
      <c r="K149" s="115"/>
      <c r="L149" s="115">
        <f>IF(COUNT($H148:L148)=Input!$Y$7,SUM($G148:L148),0)</f>
        <v>0</v>
      </c>
      <c r="M149" s="115">
        <f>IF(COUNT($H148:M148)=Input!$Y$7,SUM($G148:M148),0)</f>
        <v>0</v>
      </c>
      <c r="N149" s="115">
        <f>IF(COUNT($H148:N148)=Input!$Y$7,SUM($G148:N148),0)</f>
        <v>0</v>
      </c>
      <c r="O149" s="115">
        <f>IF(COUNT($H148:O148)=Input!$Y$7,SUM($G148:O148),0)</f>
        <v>0</v>
      </c>
      <c r="P149" s="115">
        <f>IF(COUNT($H148:P148)=Input!$Y$7,SUM($G148:P148),0)</f>
        <v>0</v>
      </c>
      <c r="Q149" s="115">
        <f>IF(COUNT($H148:Q148)=Input!$Y$7,SUM($G148:Q148),0)</f>
        <v>0</v>
      </c>
      <c r="R149" s="104"/>
      <c r="S149" s="104"/>
      <c r="T149" s="104"/>
      <c r="U149" s="104"/>
      <c r="V149" s="104"/>
      <c r="W149" s="104"/>
      <c r="X149" s="104"/>
      <c r="Y149" s="104"/>
      <c r="Z149" s="104"/>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4"/>
      <c r="BK149" s="224"/>
    </row>
    <row r="150" spans="1:63" hidden="1" outlineLevel="1">
      <c r="A150" s="9"/>
      <c r="B150" s="44"/>
      <c r="C150" s="283">
        <f>Asset22</f>
        <v>0</v>
      </c>
      <c r="D150" s="9"/>
      <c r="E150" s="9"/>
      <c r="F150" s="143"/>
      <c r="G150" s="204"/>
      <c r="H150" s="115">
        <f>($G97+(SUM($G150:G150)))*H$7</f>
        <v>0</v>
      </c>
      <c r="I150" s="115">
        <f>($G97+(SUM($G150:H150)))*I$7</f>
        <v>0</v>
      </c>
      <c r="J150" s="115">
        <f>($G97+(SUM($G150:I150)))*J$7</f>
        <v>0</v>
      </c>
      <c r="K150" s="115">
        <f>($G97+(SUM($G150:J150)))*K$7</f>
        <v>0</v>
      </c>
      <c r="L150" s="115">
        <f>($G97+(SUM($G150:K150)))*L$7</f>
        <v>0</v>
      </c>
      <c r="M150" s="115">
        <f>IF(COUNT($H150:L150)&gt;=Input!$Y$7,0,($G97+(SUM($G150:L150)))*M$7)</f>
        <v>0</v>
      </c>
      <c r="N150" s="115">
        <f>IF(COUNT($H150:M150)&gt;=Input!$Y$7,0,($G97+(SUM($G150:M150)))*N$7)</f>
        <v>0</v>
      </c>
      <c r="O150" s="115">
        <f>IF(COUNT($H150:N150)&gt;=Input!$Y$7,0,($G97+(SUM($G150:N150)))*O$7)</f>
        <v>0</v>
      </c>
      <c r="P150" s="115">
        <f>IF(COUNT($H150:O150)&gt;=Input!$Y$7,0,($G97+(SUM($G150:O150)))*P$7)</f>
        <v>0</v>
      </c>
      <c r="Q150" s="115">
        <f>IF(COUNT($H150:P150)&gt;=Input!$Y$7,0,($G97+(SUM($G150:P150)))*Q$7)</f>
        <v>0</v>
      </c>
      <c r="R150" s="104"/>
      <c r="S150" s="104"/>
      <c r="T150" s="104"/>
      <c r="U150" s="104"/>
      <c r="V150" s="104"/>
      <c r="W150" s="104"/>
      <c r="X150" s="104"/>
      <c r="Y150" s="104"/>
      <c r="Z150" s="104"/>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4"/>
      <c r="BK150" s="224"/>
    </row>
    <row r="151" spans="1:63" hidden="1" outlineLevel="1">
      <c r="A151" s="9"/>
      <c r="B151" s="44"/>
      <c r="C151" s="283" t="s">
        <v>6</v>
      </c>
      <c r="D151" s="9"/>
      <c r="E151" s="9"/>
      <c r="F151" s="143"/>
      <c r="G151" s="204"/>
      <c r="H151" s="115"/>
      <c r="I151" s="115"/>
      <c r="J151" s="115"/>
      <c r="K151" s="115"/>
      <c r="L151" s="115">
        <f>IF(COUNT($H150:L150)=Input!$Y$7,SUM($G150:L150),0)</f>
        <v>0</v>
      </c>
      <c r="M151" s="115">
        <f>IF(COUNT($H150:M150)=Input!$Y$7,SUM($G150:M150),0)</f>
        <v>0</v>
      </c>
      <c r="N151" s="115">
        <f>IF(COUNT($H150:N150)=Input!$Y$7,SUM($G150:N150),0)</f>
        <v>0</v>
      </c>
      <c r="O151" s="115">
        <f>IF(COUNT($H150:O150)=Input!$Y$7,SUM($G150:O150),0)</f>
        <v>0</v>
      </c>
      <c r="P151" s="115">
        <f>IF(COUNT($H150:P150)=Input!$Y$7,SUM($G150:P150),0)</f>
        <v>0</v>
      </c>
      <c r="Q151" s="115">
        <f>IF(COUNT($H150:Q150)=Input!$Y$7,SUM($G150:Q150),0)</f>
        <v>0</v>
      </c>
      <c r="R151" s="104"/>
      <c r="S151" s="104"/>
      <c r="T151" s="104"/>
      <c r="U151" s="104"/>
      <c r="V151" s="104"/>
      <c r="W151" s="104"/>
      <c r="X151" s="104"/>
      <c r="Y151" s="104"/>
      <c r="Z151" s="104"/>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4"/>
      <c r="BK151" s="224"/>
    </row>
    <row r="152" spans="1:63" hidden="1" outlineLevel="1">
      <c r="A152" s="9"/>
      <c r="B152" s="44"/>
      <c r="C152" s="283">
        <f>Asset23</f>
        <v>0</v>
      </c>
      <c r="D152" s="9"/>
      <c r="E152" s="9"/>
      <c r="F152" s="143"/>
      <c r="G152" s="204"/>
      <c r="H152" s="115">
        <f>($G98+(SUM($G152:G152)))*H$7</f>
        <v>0</v>
      </c>
      <c r="I152" s="115">
        <f>($G98+(SUM($G152:H152)))*I$7</f>
        <v>0</v>
      </c>
      <c r="J152" s="115">
        <f>($G98+(SUM($G152:I152)))*J$7</f>
        <v>0</v>
      </c>
      <c r="K152" s="115">
        <f>($G98+(SUM($G152:J152)))*K$7</f>
        <v>0</v>
      </c>
      <c r="L152" s="115">
        <f>($G98+(SUM($G152:K152)))*L$7</f>
        <v>0</v>
      </c>
      <c r="M152" s="115">
        <f>IF(COUNT($H152:L152)&gt;=Input!$Y$7,0,($G98+(SUM($G152:L152)))*M$7)</f>
        <v>0</v>
      </c>
      <c r="N152" s="115">
        <f>IF(COUNT($H152:M152)&gt;=Input!$Y$7,0,($G98+(SUM($G152:M152)))*N$7)</f>
        <v>0</v>
      </c>
      <c r="O152" s="115">
        <f>IF(COUNT($H152:N152)&gt;=Input!$Y$7,0,($G98+(SUM($G152:N152)))*O$7)</f>
        <v>0</v>
      </c>
      <c r="P152" s="115">
        <f>IF(COUNT($H152:O152)&gt;=Input!$Y$7,0,($G98+(SUM($G152:O152)))*P$7)</f>
        <v>0</v>
      </c>
      <c r="Q152" s="115">
        <f>IF(COUNT($H152:P152)&gt;=Input!$Y$7,0,($G98+(SUM($G152:P152)))*Q$7)</f>
        <v>0</v>
      </c>
      <c r="R152" s="104"/>
      <c r="S152" s="104"/>
      <c r="T152" s="104"/>
      <c r="U152" s="104"/>
      <c r="V152" s="104"/>
      <c r="W152" s="104"/>
      <c r="X152" s="104"/>
      <c r="Y152" s="104"/>
      <c r="Z152" s="104"/>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4"/>
      <c r="BK152" s="224"/>
    </row>
    <row r="153" spans="1:63" hidden="1" outlineLevel="1">
      <c r="A153" s="9"/>
      <c r="B153" s="44"/>
      <c r="C153" s="283" t="s">
        <v>6</v>
      </c>
      <c r="D153" s="9"/>
      <c r="E153" s="9"/>
      <c r="F153" s="143"/>
      <c r="G153" s="204"/>
      <c r="H153" s="115"/>
      <c r="I153" s="115"/>
      <c r="J153" s="115"/>
      <c r="K153" s="115"/>
      <c r="L153" s="115">
        <f>IF(COUNT($H152:L152)=Input!$Y$7,SUM($G152:L152),0)</f>
        <v>0</v>
      </c>
      <c r="M153" s="115">
        <f>IF(COUNT($H152:M152)=Input!$Y$7,SUM($G152:M152),0)</f>
        <v>0</v>
      </c>
      <c r="N153" s="115">
        <f>IF(COUNT($H152:N152)=Input!$Y$7,SUM($G152:N152),0)</f>
        <v>0</v>
      </c>
      <c r="O153" s="115">
        <f>IF(COUNT($H152:O152)=Input!$Y$7,SUM($G152:O152),0)</f>
        <v>0</v>
      </c>
      <c r="P153" s="115">
        <f>IF(COUNT($H152:P152)=Input!$Y$7,SUM($G152:P152),0)</f>
        <v>0</v>
      </c>
      <c r="Q153" s="115">
        <f>IF(COUNT($H152:Q152)=Input!$Y$7,SUM($G152:Q152),0)</f>
        <v>0</v>
      </c>
      <c r="R153" s="104"/>
      <c r="S153" s="104"/>
      <c r="T153" s="104"/>
      <c r="U153" s="104"/>
      <c r="V153" s="104"/>
      <c r="W153" s="104"/>
      <c r="X153" s="104"/>
      <c r="Y153" s="104"/>
      <c r="Z153" s="104"/>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4"/>
      <c r="BK153" s="224"/>
    </row>
    <row r="154" spans="1:63" hidden="1" outlineLevel="1">
      <c r="A154" s="9"/>
      <c r="B154" s="44"/>
      <c r="C154" s="283">
        <f>Asset24</f>
        <v>0</v>
      </c>
      <c r="D154" s="9"/>
      <c r="E154" s="9"/>
      <c r="F154" s="143"/>
      <c r="G154" s="204"/>
      <c r="H154" s="115">
        <f>($G99+(SUM($G154:G154)))*H$7</f>
        <v>0</v>
      </c>
      <c r="I154" s="115">
        <f>($G99+(SUM($G154:H154)))*I$7</f>
        <v>0</v>
      </c>
      <c r="J154" s="115">
        <f>($G99+(SUM($G154:I154)))*J$7</f>
        <v>0</v>
      </c>
      <c r="K154" s="115">
        <f>($G99+(SUM($G154:J154)))*K$7</f>
        <v>0</v>
      </c>
      <c r="L154" s="115">
        <f>($G99+(SUM($G154:K154)))*L$7</f>
        <v>0</v>
      </c>
      <c r="M154" s="115">
        <f>IF(COUNT($H154:L154)&gt;=Input!$Y$7,0,($G99+(SUM($G154:L154)))*M$7)</f>
        <v>0</v>
      </c>
      <c r="N154" s="115">
        <f>IF(COUNT($H154:M154)&gt;=Input!$Y$7,0,($G99+(SUM($G154:M154)))*N$7)</f>
        <v>0</v>
      </c>
      <c r="O154" s="115">
        <f>IF(COUNT($H154:N154)&gt;=Input!$Y$7,0,($G99+(SUM($G154:N154)))*O$7)</f>
        <v>0</v>
      </c>
      <c r="P154" s="115">
        <f>IF(COUNT($H154:O154)&gt;=Input!$Y$7,0,($G99+(SUM($G154:O154)))*P$7)</f>
        <v>0</v>
      </c>
      <c r="Q154" s="115">
        <f>IF(COUNT($H154:P154)&gt;=Input!$Y$7,0,($G99+(SUM($G154:P154)))*Q$7)</f>
        <v>0</v>
      </c>
      <c r="R154" s="104"/>
      <c r="S154" s="104"/>
      <c r="T154" s="104"/>
      <c r="U154" s="104"/>
      <c r="V154" s="104"/>
      <c r="W154" s="104"/>
      <c r="X154" s="104"/>
      <c r="Y154" s="104"/>
      <c r="Z154" s="104"/>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4"/>
      <c r="BK154" s="224"/>
    </row>
    <row r="155" spans="1:63" hidden="1" outlineLevel="1">
      <c r="A155" s="9"/>
      <c r="B155" s="44"/>
      <c r="C155" s="283" t="s">
        <v>6</v>
      </c>
      <c r="D155" s="9"/>
      <c r="E155" s="9"/>
      <c r="F155" s="143"/>
      <c r="G155" s="204"/>
      <c r="H155" s="115"/>
      <c r="I155" s="115"/>
      <c r="J155" s="115"/>
      <c r="K155" s="115"/>
      <c r="L155" s="115">
        <f>IF(COUNT($H154:L154)=Input!$Y$7,SUM($G154:L154),0)</f>
        <v>0</v>
      </c>
      <c r="M155" s="115">
        <f>IF(COUNT($H154:M154)=Input!$Y$7,SUM($G154:M154),0)</f>
        <v>0</v>
      </c>
      <c r="N155" s="115">
        <f>IF(COUNT($H154:N154)=Input!$Y$7,SUM($G154:N154),0)</f>
        <v>0</v>
      </c>
      <c r="O155" s="115">
        <f>IF(COUNT($H154:O154)=Input!$Y$7,SUM($G154:O154),0)</f>
        <v>0</v>
      </c>
      <c r="P155" s="115">
        <f>IF(COUNT($H154:P154)=Input!$Y$7,SUM($G154:P154),0)</f>
        <v>0</v>
      </c>
      <c r="Q155" s="115">
        <f>IF(COUNT($H154:Q154)=Input!$Y$7,SUM($G154:Q154),0)</f>
        <v>0</v>
      </c>
      <c r="R155" s="104"/>
      <c r="S155" s="104"/>
      <c r="T155" s="104"/>
      <c r="U155" s="104"/>
      <c r="V155" s="104"/>
      <c r="W155" s="104"/>
      <c r="X155" s="104"/>
      <c r="Y155" s="104"/>
      <c r="Z155" s="104"/>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4"/>
      <c r="BK155" s="224"/>
    </row>
    <row r="156" spans="1:63" hidden="1" outlineLevel="1">
      <c r="A156" s="9"/>
      <c r="B156" s="44"/>
      <c r="C156" s="283">
        <f>Asset25</f>
        <v>0</v>
      </c>
      <c r="D156" s="9"/>
      <c r="E156" s="9"/>
      <c r="F156" s="143"/>
      <c r="G156" s="204"/>
      <c r="H156" s="115">
        <f>($G100+(SUM($G156:G156)))*H$7</f>
        <v>0</v>
      </c>
      <c r="I156" s="115">
        <f>($G100+(SUM($G156:H156)))*I$7</f>
        <v>0</v>
      </c>
      <c r="J156" s="115">
        <f>($G100+(SUM($G156:I156)))*J$7</f>
        <v>0</v>
      </c>
      <c r="K156" s="115">
        <f>($G100+(SUM($G156:J156)))*K$7</f>
        <v>0</v>
      </c>
      <c r="L156" s="115">
        <f>($G100+(SUM($G156:K156)))*L$7</f>
        <v>0</v>
      </c>
      <c r="M156" s="115">
        <f>IF(COUNT($H156:L156)&gt;=Input!$Y$7,0,($G100+(SUM($G156:L156)))*M$7)</f>
        <v>0</v>
      </c>
      <c r="N156" s="115">
        <f>IF(COUNT($H156:M156)&gt;=Input!$Y$7,0,($G100+(SUM($G156:M156)))*N$7)</f>
        <v>0</v>
      </c>
      <c r="O156" s="115">
        <f>IF(COUNT($H156:N156)&gt;=Input!$Y$7,0,($G100+(SUM($G156:N156)))*O$7)</f>
        <v>0</v>
      </c>
      <c r="P156" s="115">
        <f>IF(COUNT($H156:O156)&gt;=Input!$Y$7,0,($G100+(SUM($G156:O156)))*P$7)</f>
        <v>0</v>
      </c>
      <c r="Q156" s="115">
        <f>IF(COUNT($H156:P156)&gt;=Input!$Y$7,0,($G100+(SUM($G156:P156)))*Q$7)</f>
        <v>0</v>
      </c>
      <c r="R156" s="104"/>
      <c r="S156" s="104"/>
      <c r="T156" s="104"/>
      <c r="U156" s="104"/>
      <c r="V156" s="104"/>
      <c r="W156" s="104"/>
      <c r="X156" s="104"/>
      <c r="Y156" s="104"/>
      <c r="Z156" s="104"/>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4"/>
      <c r="BK156" s="224"/>
    </row>
    <row r="157" spans="1:63" hidden="1" outlineLevel="1">
      <c r="A157" s="9"/>
      <c r="B157" s="44"/>
      <c r="C157" s="283" t="s">
        <v>6</v>
      </c>
      <c r="D157" s="9"/>
      <c r="E157" s="9"/>
      <c r="F157" s="143"/>
      <c r="G157" s="204"/>
      <c r="H157" s="115"/>
      <c r="I157" s="115"/>
      <c r="J157" s="115"/>
      <c r="K157" s="115"/>
      <c r="L157" s="115">
        <f>IF(COUNT($H156:L156)=Input!$Y$7,SUM($G156:L156),0)</f>
        <v>0</v>
      </c>
      <c r="M157" s="115">
        <f>IF(COUNT($H156:M156)=Input!$Y$7,SUM($G156:M156),0)</f>
        <v>0</v>
      </c>
      <c r="N157" s="115">
        <f>IF(COUNT($H156:N156)=Input!$Y$7,SUM($G156:N156),0)</f>
        <v>0</v>
      </c>
      <c r="O157" s="115">
        <f>IF(COUNT($H156:O156)=Input!$Y$7,SUM($G156:O156),0)</f>
        <v>0</v>
      </c>
      <c r="P157" s="115">
        <f>IF(COUNT($H156:P156)=Input!$Y$7,SUM($G156:P156),0)</f>
        <v>0</v>
      </c>
      <c r="Q157" s="115">
        <f>IF(COUNT($H156:Q156)=Input!$Y$7,SUM($G156:Q156),0)</f>
        <v>0</v>
      </c>
      <c r="R157" s="104"/>
      <c r="S157" s="104"/>
      <c r="T157" s="104"/>
      <c r="U157" s="104"/>
      <c r="V157" s="104"/>
      <c r="W157" s="104"/>
      <c r="X157" s="104"/>
      <c r="Y157" s="104"/>
      <c r="Z157" s="104"/>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4"/>
      <c r="BK157" s="224"/>
    </row>
    <row r="158" spans="1:63" hidden="1" outlineLevel="1">
      <c r="A158" s="9"/>
      <c r="B158" s="44"/>
      <c r="C158" s="283">
        <f>Asset26</f>
        <v>0</v>
      </c>
      <c r="D158" s="9"/>
      <c r="E158" s="9"/>
      <c r="F158" s="143"/>
      <c r="G158" s="204"/>
      <c r="H158" s="115">
        <f>($G101+(SUM($G158:G158)))*H$7</f>
        <v>0</v>
      </c>
      <c r="I158" s="115">
        <f>($G101+(SUM($G158:H158)))*I$7</f>
        <v>0</v>
      </c>
      <c r="J158" s="115">
        <f>($G101+(SUM($G158:I158)))*J$7</f>
        <v>0</v>
      </c>
      <c r="K158" s="115">
        <f>($G101+(SUM($G158:J158)))*K$7</f>
        <v>0</v>
      </c>
      <c r="L158" s="115">
        <f>($G101+(SUM($G158:K158)))*L$7</f>
        <v>0</v>
      </c>
      <c r="M158" s="115">
        <f>IF(COUNT($H158:L158)&gt;=Input!$Y$7,0,($G101+(SUM($G158:L158)))*M$7)</f>
        <v>0</v>
      </c>
      <c r="N158" s="115">
        <f>IF(COUNT($H158:M158)&gt;=Input!$Y$7,0,($G101+(SUM($G158:M158)))*N$7)</f>
        <v>0</v>
      </c>
      <c r="O158" s="115">
        <f>IF(COUNT($H158:N158)&gt;=Input!$Y$7,0,($G101+(SUM($G158:N158)))*O$7)</f>
        <v>0</v>
      </c>
      <c r="P158" s="115">
        <f>IF(COUNT($H158:O158)&gt;=Input!$Y$7,0,($G101+(SUM($G158:O158)))*P$7)</f>
        <v>0</v>
      </c>
      <c r="Q158" s="115">
        <f>IF(COUNT($H158:P158)&gt;=Input!$Y$7,0,($G101+(SUM($G158:P158)))*Q$7)</f>
        <v>0</v>
      </c>
      <c r="R158" s="104"/>
      <c r="S158" s="104"/>
      <c r="T158" s="104"/>
      <c r="U158" s="104"/>
      <c r="V158" s="104"/>
      <c r="W158" s="104"/>
      <c r="X158" s="104"/>
      <c r="Y158" s="104"/>
      <c r="Z158" s="104"/>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4"/>
      <c r="BK158" s="224"/>
    </row>
    <row r="159" spans="1:63" hidden="1" outlineLevel="1">
      <c r="A159" s="9"/>
      <c r="B159" s="44"/>
      <c r="C159" s="283" t="s">
        <v>6</v>
      </c>
      <c r="D159" s="9"/>
      <c r="E159" s="9"/>
      <c r="F159" s="143"/>
      <c r="G159" s="204"/>
      <c r="H159" s="115"/>
      <c r="I159" s="115"/>
      <c r="J159" s="115"/>
      <c r="K159" s="115"/>
      <c r="L159" s="115">
        <f>IF(COUNT($H158:L158)=Input!$Y$7,SUM($G158:L158),0)</f>
        <v>0</v>
      </c>
      <c r="M159" s="115">
        <f>IF(COUNT($H158:M158)=Input!$Y$7,SUM($G158:M158),0)</f>
        <v>0</v>
      </c>
      <c r="N159" s="115">
        <f>IF(COUNT($H158:N158)=Input!$Y$7,SUM($G158:N158),0)</f>
        <v>0</v>
      </c>
      <c r="O159" s="115">
        <f>IF(COUNT($H158:O158)=Input!$Y$7,SUM($G158:O158),0)</f>
        <v>0</v>
      </c>
      <c r="P159" s="115">
        <f>IF(COUNT($H158:P158)=Input!$Y$7,SUM($G158:P158),0)</f>
        <v>0</v>
      </c>
      <c r="Q159" s="115">
        <f>IF(COUNT($H158:Q158)=Input!$Y$7,SUM($G158:Q158),0)</f>
        <v>0</v>
      </c>
      <c r="R159" s="104"/>
      <c r="S159" s="104"/>
      <c r="T159" s="104"/>
      <c r="U159" s="104"/>
      <c r="V159" s="104"/>
      <c r="W159" s="104"/>
      <c r="X159" s="104"/>
      <c r="Y159" s="104"/>
      <c r="Z159" s="104"/>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4"/>
      <c r="BK159" s="224"/>
    </row>
    <row r="160" spans="1:63" hidden="1" outlineLevel="1">
      <c r="A160" s="9"/>
      <c r="B160" s="44"/>
      <c r="C160" s="283">
        <f>Asset27</f>
        <v>0</v>
      </c>
      <c r="D160" s="9"/>
      <c r="E160" s="9"/>
      <c r="F160" s="143"/>
      <c r="G160" s="204"/>
      <c r="H160" s="115">
        <f>($G102+(SUM($G160:G160)))*H$7</f>
        <v>0</v>
      </c>
      <c r="I160" s="115">
        <f>($G102+(SUM($G160:H160)))*I$7</f>
        <v>0</v>
      </c>
      <c r="J160" s="115">
        <f>($G102+(SUM($G160:I160)))*J$7</f>
        <v>0</v>
      </c>
      <c r="K160" s="115">
        <f>($G102+(SUM($G160:J160)))*K$7</f>
        <v>0</v>
      </c>
      <c r="L160" s="115">
        <f>($G102+(SUM($G160:K160)))*L$7</f>
        <v>0</v>
      </c>
      <c r="M160" s="115">
        <f>IF(COUNT($H160:L160)&gt;=Input!$Y$7,0,($G102+(SUM($G160:L160)))*M$7)</f>
        <v>0</v>
      </c>
      <c r="N160" s="115">
        <f>IF(COUNT($H160:M160)&gt;=Input!$Y$7,0,($G102+(SUM($G160:M160)))*N$7)</f>
        <v>0</v>
      </c>
      <c r="O160" s="115">
        <f>IF(COUNT($H160:N160)&gt;=Input!$Y$7,0,($G102+(SUM($G160:N160)))*O$7)</f>
        <v>0</v>
      </c>
      <c r="P160" s="115">
        <f>IF(COUNT($H160:O160)&gt;=Input!$Y$7,0,($G102+(SUM($G160:O160)))*P$7)</f>
        <v>0</v>
      </c>
      <c r="Q160" s="115">
        <f>IF(COUNT($H160:P160)&gt;=Input!$Y$7,0,($G102+(SUM($G160:P160)))*Q$7)</f>
        <v>0</v>
      </c>
      <c r="R160" s="104"/>
      <c r="S160" s="104"/>
      <c r="T160" s="104"/>
      <c r="U160" s="104"/>
      <c r="V160" s="104"/>
      <c r="W160" s="104"/>
      <c r="X160" s="104"/>
      <c r="Y160" s="104"/>
      <c r="Z160" s="104"/>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4"/>
      <c r="BK160" s="224"/>
    </row>
    <row r="161" spans="1:63" hidden="1" outlineLevel="1">
      <c r="A161" s="9"/>
      <c r="B161" s="44"/>
      <c r="C161" s="283" t="s">
        <v>6</v>
      </c>
      <c r="D161" s="9"/>
      <c r="E161" s="9"/>
      <c r="F161" s="143"/>
      <c r="G161" s="204"/>
      <c r="H161" s="115"/>
      <c r="I161" s="115"/>
      <c r="J161" s="115"/>
      <c r="K161" s="115"/>
      <c r="L161" s="115">
        <f>IF(COUNT($H160:L160)=Input!$Y$7,SUM($G160:L160),0)</f>
        <v>0</v>
      </c>
      <c r="M161" s="115">
        <f>IF(COUNT($H160:M160)=Input!$Y$7,SUM($G160:M160),0)</f>
        <v>0</v>
      </c>
      <c r="N161" s="115">
        <f>IF(COUNT($H160:N160)=Input!$Y$7,SUM($G160:N160),0)</f>
        <v>0</v>
      </c>
      <c r="O161" s="115">
        <f>IF(COUNT($H160:O160)=Input!$Y$7,SUM($G160:O160),0)</f>
        <v>0</v>
      </c>
      <c r="P161" s="115">
        <f>IF(COUNT($H160:P160)=Input!$Y$7,SUM($G160:P160),0)</f>
        <v>0</v>
      </c>
      <c r="Q161" s="115">
        <f>IF(COUNT($H160:Q160)=Input!$Y$7,SUM($G160:Q160),0)</f>
        <v>0</v>
      </c>
      <c r="R161" s="104"/>
      <c r="S161" s="104"/>
      <c r="T161" s="104"/>
      <c r="U161" s="104"/>
      <c r="V161" s="104"/>
      <c r="W161" s="104"/>
      <c r="X161" s="104"/>
      <c r="Y161" s="104"/>
      <c r="Z161" s="104"/>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4"/>
      <c r="BK161" s="224"/>
    </row>
    <row r="162" spans="1:63" hidden="1" outlineLevel="1">
      <c r="A162" s="9"/>
      <c r="B162" s="44"/>
      <c r="C162" s="283">
        <f>Asset28</f>
        <v>0</v>
      </c>
      <c r="D162" s="9"/>
      <c r="E162" s="9"/>
      <c r="F162" s="143"/>
      <c r="G162" s="204"/>
      <c r="H162" s="115">
        <f>($G103+(SUM($G162:G162)))*H$7</f>
        <v>0</v>
      </c>
      <c r="I162" s="115">
        <f>($G103+(SUM($G162:H162)))*I$7</f>
        <v>0</v>
      </c>
      <c r="J162" s="115">
        <f>($G103+(SUM($G162:I162)))*J$7</f>
        <v>0</v>
      </c>
      <c r="K162" s="115">
        <f>($G103+(SUM($G162:J162)))*K$7</f>
        <v>0</v>
      </c>
      <c r="L162" s="115">
        <f>($G103+(SUM($G162:K162)))*L$7</f>
        <v>0</v>
      </c>
      <c r="M162" s="115">
        <f>IF(COUNT($H162:L162)&gt;=Input!$Y$7,0,($G103+(SUM($G162:L162)))*M$7)</f>
        <v>0</v>
      </c>
      <c r="N162" s="115">
        <f>IF(COUNT($H162:M162)&gt;=Input!$Y$7,0,($G103+(SUM($G162:M162)))*N$7)</f>
        <v>0</v>
      </c>
      <c r="O162" s="115">
        <f>IF(COUNT($H162:N162)&gt;=Input!$Y$7,0,($G103+(SUM($G162:N162)))*O$7)</f>
        <v>0</v>
      </c>
      <c r="P162" s="115">
        <f>IF(COUNT($H162:O162)&gt;=Input!$Y$7,0,($G103+(SUM($G162:O162)))*P$7)</f>
        <v>0</v>
      </c>
      <c r="Q162" s="115">
        <f>IF(COUNT($H162:P162)&gt;=Input!$Y$7,0,($G103+(SUM($G162:P162)))*Q$7)</f>
        <v>0</v>
      </c>
      <c r="R162" s="104"/>
      <c r="S162" s="104"/>
      <c r="T162" s="104"/>
      <c r="U162" s="104"/>
      <c r="V162" s="104"/>
      <c r="W162" s="104"/>
      <c r="X162" s="104"/>
      <c r="Y162" s="104"/>
      <c r="Z162" s="104"/>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4"/>
      <c r="BK162" s="224"/>
    </row>
    <row r="163" spans="1:63" hidden="1" outlineLevel="1">
      <c r="A163" s="9"/>
      <c r="B163" s="44"/>
      <c r="C163" s="283" t="s">
        <v>6</v>
      </c>
      <c r="D163" s="9"/>
      <c r="E163" s="9"/>
      <c r="F163" s="143"/>
      <c r="G163" s="204"/>
      <c r="H163" s="115"/>
      <c r="I163" s="115"/>
      <c r="J163" s="115"/>
      <c r="K163" s="115"/>
      <c r="L163" s="115">
        <f>IF(COUNT($H162:L162)=Input!$Y$7,SUM($G162:L162),0)</f>
        <v>0</v>
      </c>
      <c r="M163" s="115">
        <f>IF(COUNT($H162:M162)=Input!$Y$7,SUM($G162:M162),0)</f>
        <v>0</v>
      </c>
      <c r="N163" s="115">
        <f>IF(COUNT($H162:N162)=Input!$Y$7,SUM($G162:N162),0)</f>
        <v>0</v>
      </c>
      <c r="O163" s="115">
        <f>IF(COUNT($H162:O162)=Input!$Y$7,SUM($G162:O162),0)</f>
        <v>0</v>
      </c>
      <c r="P163" s="115">
        <f>IF(COUNT($H162:P162)=Input!$Y$7,SUM($G162:P162),0)</f>
        <v>0</v>
      </c>
      <c r="Q163" s="115">
        <f>IF(COUNT($H162:Q162)=Input!$Y$7,SUM($G162:Q162),0)</f>
        <v>0</v>
      </c>
      <c r="R163" s="104"/>
      <c r="S163" s="104"/>
      <c r="T163" s="104"/>
      <c r="U163" s="104"/>
      <c r="V163" s="104"/>
      <c r="W163" s="104"/>
      <c r="X163" s="104"/>
      <c r="Y163" s="104"/>
      <c r="Z163" s="104"/>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4"/>
      <c r="BK163" s="224"/>
    </row>
    <row r="164" spans="1:63" hidden="1" outlineLevel="1">
      <c r="A164" s="9"/>
      <c r="B164" s="44"/>
      <c r="C164" s="283">
        <f>Asset29</f>
        <v>0</v>
      </c>
      <c r="D164" s="9"/>
      <c r="E164" s="9"/>
      <c r="F164" s="143"/>
      <c r="G164" s="204"/>
      <c r="H164" s="115">
        <f>($G104+(SUM($G164:G164)))*H$7</f>
        <v>0</v>
      </c>
      <c r="I164" s="115">
        <f>($G104+(SUM($G164:H164)))*I$7</f>
        <v>0</v>
      </c>
      <c r="J164" s="115">
        <f>($G104+(SUM($G164:I164)))*J$7</f>
        <v>0</v>
      </c>
      <c r="K164" s="115">
        <f>($G104+(SUM($G164:J164)))*K$7</f>
        <v>0</v>
      </c>
      <c r="L164" s="115">
        <f>($G104+(SUM($G164:K164)))*L$7</f>
        <v>0</v>
      </c>
      <c r="M164" s="115">
        <f>IF(COUNT($H164:L164)&gt;=Input!$Y$7,0,($G104+(SUM($G164:L164)))*M$7)</f>
        <v>0</v>
      </c>
      <c r="N164" s="115">
        <f>IF(COUNT($H164:M164)&gt;=Input!$Y$7,0,($G104+(SUM($G164:M164)))*N$7)</f>
        <v>0</v>
      </c>
      <c r="O164" s="115">
        <f>IF(COUNT($H164:N164)&gt;=Input!$Y$7,0,($G104+(SUM($G164:N164)))*O$7)</f>
        <v>0</v>
      </c>
      <c r="P164" s="115">
        <f>IF(COUNT($H164:O164)&gt;=Input!$Y$7,0,($G104+(SUM($G164:O164)))*P$7)</f>
        <v>0</v>
      </c>
      <c r="Q164" s="115">
        <f>IF(COUNT($H164:P164)&gt;=Input!$Y$7,0,($G104+(SUM($G164:P164)))*Q$7)</f>
        <v>0</v>
      </c>
      <c r="R164" s="104"/>
      <c r="S164" s="104"/>
      <c r="T164" s="104"/>
      <c r="U164" s="104"/>
      <c r="V164" s="104"/>
      <c r="W164" s="104"/>
      <c r="X164" s="104"/>
      <c r="Y164" s="104"/>
      <c r="Z164" s="104"/>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4"/>
      <c r="BK164" s="224"/>
    </row>
    <row r="165" spans="1:63" hidden="1" outlineLevel="1">
      <c r="A165" s="9"/>
      <c r="B165" s="44"/>
      <c r="C165" s="283" t="s">
        <v>6</v>
      </c>
      <c r="D165" s="9"/>
      <c r="E165" s="9"/>
      <c r="F165" s="143"/>
      <c r="G165" s="204"/>
      <c r="H165" s="115"/>
      <c r="I165" s="115"/>
      <c r="J165" s="115"/>
      <c r="K165" s="115"/>
      <c r="L165" s="115">
        <f>IF(COUNT($H164:L164)=Input!$Y$7,SUM($G164:L164),0)</f>
        <v>0</v>
      </c>
      <c r="M165" s="115">
        <f>IF(COUNT($H164:M164)=Input!$Y$7,SUM($G164:M164),0)</f>
        <v>0</v>
      </c>
      <c r="N165" s="115">
        <f>IF(COUNT($H164:N164)=Input!$Y$7,SUM($G164:N164),0)</f>
        <v>0</v>
      </c>
      <c r="O165" s="115">
        <f>IF(COUNT($H164:O164)=Input!$Y$7,SUM($G164:O164),0)</f>
        <v>0</v>
      </c>
      <c r="P165" s="115">
        <f>IF(COUNT($H164:P164)=Input!$Y$7,SUM($G164:P164),0)</f>
        <v>0</v>
      </c>
      <c r="Q165" s="115">
        <f>IF(COUNT($H164:Q164)=Input!$Y$7,SUM($G164:Q164),0)</f>
        <v>0</v>
      </c>
      <c r="R165" s="104"/>
      <c r="S165" s="104"/>
      <c r="T165" s="104"/>
      <c r="U165" s="104"/>
      <c r="V165" s="104"/>
      <c r="W165" s="104"/>
      <c r="X165" s="104"/>
      <c r="Y165" s="104"/>
      <c r="Z165" s="104"/>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4"/>
      <c r="BK165" s="224"/>
    </row>
    <row r="166" spans="1:63" hidden="1" outlineLevel="1">
      <c r="A166" s="9"/>
      <c r="B166" s="44"/>
      <c r="C166" s="283">
        <f>Asset30</f>
        <v>0</v>
      </c>
      <c r="D166" s="9"/>
      <c r="E166" s="9"/>
      <c r="F166" s="143"/>
      <c r="G166" s="204"/>
      <c r="H166" s="115">
        <f>($G105+(SUM($G166:G166)))*H$7</f>
        <v>0</v>
      </c>
      <c r="I166" s="115">
        <f>($G105+(SUM($G166:H166)))*I$7</f>
        <v>0</v>
      </c>
      <c r="J166" s="115">
        <f>($G105+(SUM($G166:I166)))*J$7</f>
        <v>0</v>
      </c>
      <c r="K166" s="115">
        <f>($G105+(SUM($G166:J166)))*K$7</f>
        <v>0</v>
      </c>
      <c r="L166" s="115">
        <f>($G105+(SUM($G166:K166)))*L$7</f>
        <v>0</v>
      </c>
      <c r="M166" s="115">
        <f>IF(COUNT($H166:L166)&gt;=Input!$Y$7,0,($G105+(SUM($G166:L166)))*M$7)</f>
        <v>0</v>
      </c>
      <c r="N166" s="115">
        <f>IF(COUNT($H166:M166)&gt;=Input!$Y$7,0,($G105+(SUM($G166:M166)))*N$7)</f>
        <v>0</v>
      </c>
      <c r="O166" s="115">
        <f>IF(COUNT($H166:N166)&gt;=Input!$Y$7,0,($G105+(SUM($G166:N166)))*O$7)</f>
        <v>0</v>
      </c>
      <c r="P166" s="115">
        <f>IF(COUNT($H166:O166)&gt;=Input!$Y$7,0,($G105+(SUM($G166:O166)))*P$7)</f>
        <v>0</v>
      </c>
      <c r="Q166" s="115">
        <f>IF(COUNT($H166:P166)&gt;=Input!$Y$7,0,($G105+(SUM($G166:P166)))*Q$7)</f>
        <v>0</v>
      </c>
      <c r="R166" s="104"/>
      <c r="S166" s="104"/>
      <c r="T166" s="104"/>
      <c r="U166" s="104"/>
      <c r="V166" s="104"/>
      <c r="W166" s="104"/>
      <c r="X166" s="104"/>
      <c r="Y166" s="104"/>
      <c r="Z166" s="104"/>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4"/>
      <c r="BK166" s="224"/>
    </row>
    <row r="167" spans="1:63" hidden="1" outlineLevel="1">
      <c r="A167" s="9"/>
      <c r="B167" s="44"/>
      <c r="C167" s="283" t="s">
        <v>6</v>
      </c>
      <c r="D167" s="9"/>
      <c r="E167" s="9"/>
      <c r="F167" s="143"/>
      <c r="G167" s="204"/>
      <c r="H167" s="115"/>
      <c r="I167" s="115"/>
      <c r="J167" s="115"/>
      <c r="K167" s="115"/>
      <c r="L167" s="115">
        <f>IF(COUNT($H166:L166)=Input!$Y$7,SUM($G166:L166),0)</f>
        <v>0</v>
      </c>
      <c r="M167" s="115">
        <f>IF(COUNT($H166:M166)=Input!$Y$7,SUM($G166:M166),0)</f>
        <v>0</v>
      </c>
      <c r="N167" s="115">
        <f>IF(COUNT($H166:N166)=Input!$Y$7,SUM($G166:N166),0)</f>
        <v>0</v>
      </c>
      <c r="O167" s="115">
        <f>IF(COUNT($H166:O166)=Input!$Y$7,SUM($G166:O166),0)</f>
        <v>0</v>
      </c>
      <c r="P167" s="115">
        <f>IF(COUNT($H166:P166)=Input!$Y$7,SUM($G166:P166),0)</f>
        <v>0</v>
      </c>
      <c r="Q167" s="115">
        <f>IF(COUNT($H166:Q166)=Input!$Y$7,SUM($G166:Q166),0)</f>
        <v>0</v>
      </c>
      <c r="R167" s="104"/>
      <c r="S167" s="104"/>
      <c r="T167" s="104"/>
      <c r="U167" s="104"/>
      <c r="V167" s="104"/>
      <c r="W167" s="104"/>
      <c r="X167" s="104"/>
      <c r="Y167" s="104"/>
      <c r="Z167" s="104"/>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4"/>
      <c r="BK167" s="224"/>
    </row>
    <row r="168" spans="1:63" collapsed="1">
      <c r="A168" s="9"/>
      <c r="B168" s="189" t="s">
        <v>18</v>
      </c>
      <c r="D168" s="9"/>
      <c r="E168" s="9"/>
      <c r="F168" s="143"/>
      <c r="G168" s="206"/>
      <c r="H168" s="119"/>
      <c r="I168" s="119"/>
      <c r="J168" s="119"/>
      <c r="K168" s="119"/>
      <c r="L168" s="119">
        <f>IF(COUNT($H107:L107)=Input!$Y$7, SUM($G107:L107), 0)</f>
        <v>-10.734518459371975</v>
      </c>
      <c r="M168" s="119">
        <f>IF(COUNT($H107:M107)=Input!$Y$7, SUM($G107:M107), 0)</f>
        <v>0</v>
      </c>
      <c r="N168" s="119">
        <f>IF(COUNT($H107:N107)=Input!$Y$7, SUM($G107:N107), 0)</f>
        <v>0</v>
      </c>
      <c r="O168" s="119">
        <f>IF(COUNT($H107:O107)=Input!$Y$7, SUM($G107:O107), 0)</f>
        <v>0</v>
      </c>
      <c r="P168" s="119">
        <f>IF(COUNT($H107:P107)=Input!$Y$7, SUM($G107:P107), 0)</f>
        <v>0</v>
      </c>
      <c r="Q168" s="119">
        <f>IF(COUNT($H107:Q107)=Input!$Y$7, SUM($G107:Q107), 0)</f>
        <v>0</v>
      </c>
      <c r="R168" s="104"/>
      <c r="S168" s="104"/>
      <c r="T168" s="104"/>
      <c r="U168" s="104"/>
      <c r="V168" s="104"/>
      <c r="W168" s="104"/>
      <c r="X168" s="104"/>
      <c r="Y168" s="104"/>
      <c r="Z168" s="104"/>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4"/>
      <c r="BK168" s="224"/>
    </row>
    <row r="169" spans="1:63">
      <c r="A169" s="9"/>
      <c r="B169" s="155"/>
      <c r="C169" s="26"/>
      <c r="D169" s="9"/>
      <c r="E169" s="9"/>
      <c r="F169" s="143"/>
      <c r="G169" s="119"/>
      <c r="H169" s="119"/>
      <c r="I169" s="119"/>
      <c r="J169" s="119"/>
      <c r="K169" s="119"/>
      <c r="L169" s="119"/>
      <c r="M169" s="9"/>
      <c r="N169" s="115"/>
      <c r="O169" s="154"/>
      <c r="P169" s="154"/>
      <c r="Q169" s="154"/>
      <c r="R169" s="104"/>
      <c r="S169" s="104"/>
      <c r="T169" s="104"/>
      <c r="U169" s="104"/>
      <c r="V169" s="104"/>
      <c r="W169" s="104"/>
      <c r="X169" s="104"/>
      <c r="Y169" s="104"/>
      <c r="Z169" s="104"/>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4"/>
      <c r="BK169" s="224"/>
    </row>
    <row r="170" spans="1:63">
      <c r="A170" s="78"/>
      <c r="B170" s="183" t="s">
        <v>27</v>
      </c>
      <c r="C170" s="184"/>
      <c r="D170" s="78"/>
      <c r="E170" s="78"/>
      <c r="F170" s="185"/>
      <c r="G170" s="186"/>
      <c r="H170" s="186"/>
      <c r="I170" s="186"/>
      <c r="J170" s="186"/>
      <c r="K170" s="186"/>
      <c r="L170" s="186"/>
      <c r="M170" s="78"/>
      <c r="N170" s="187"/>
      <c r="O170" s="188"/>
      <c r="P170" s="188"/>
      <c r="Q170" s="188"/>
      <c r="R170" s="188"/>
      <c r="S170" s="104"/>
      <c r="T170" s="104"/>
      <c r="U170" s="104"/>
      <c r="V170" s="104"/>
      <c r="W170" s="104"/>
      <c r="X170" s="104"/>
      <c r="Y170" s="104"/>
      <c r="Z170" s="104"/>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4"/>
      <c r="BK170" s="224"/>
    </row>
    <row r="171" spans="1:63">
      <c r="A171" s="9"/>
      <c r="B171" s="155"/>
      <c r="C171" s="26"/>
      <c r="D171" s="9"/>
      <c r="E171" s="9"/>
      <c r="F171" s="143"/>
      <c r="G171" s="119"/>
      <c r="H171" s="119"/>
      <c r="I171" s="119"/>
      <c r="J171" s="119"/>
      <c r="K171" s="119"/>
      <c r="L171" s="119"/>
      <c r="M171" s="9"/>
      <c r="N171" s="115"/>
      <c r="O171" s="154"/>
      <c r="P171" s="154"/>
      <c r="Q171" s="154"/>
      <c r="R171" s="104"/>
      <c r="S171" s="104"/>
      <c r="T171" s="104"/>
      <c r="U171" s="104"/>
      <c r="V171" s="104"/>
      <c r="W171" s="104"/>
      <c r="X171" s="104"/>
      <c r="Y171" s="104"/>
      <c r="Z171" s="104"/>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4"/>
      <c r="BK171" s="224"/>
    </row>
    <row r="172" spans="1:63">
      <c r="A172" s="9"/>
      <c r="B172" s="44" t="s">
        <v>28</v>
      </c>
      <c r="C172" s="9"/>
      <c r="D172" s="9"/>
      <c r="E172" s="9"/>
      <c r="F172" s="143"/>
      <c r="G172" s="206">
        <f>SUM(G173:G202)</f>
        <v>0</v>
      </c>
      <c r="H172" s="119"/>
      <c r="I172" s="119"/>
      <c r="J172" s="119"/>
      <c r="K172" s="119"/>
      <c r="L172" s="119"/>
      <c r="M172" s="9"/>
      <c r="N172" s="115"/>
      <c r="O172" s="154"/>
      <c r="P172" s="154"/>
      <c r="Q172" s="154"/>
      <c r="R172" s="104"/>
      <c r="S172" s="104"/>
      <c r="T172" s="104"/>
      <c r="U172" s="104"/>
      <c r="V172" s="104"/>
      <c r="W172" s="104"/>
      <c r="X172" s="104"/>
      <c r="Y172" s="104"/>
      <c r="Z172" s="104"/>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4"/>
      <c r="BK172" s="224"/>
    </row>
    <row r="173" spans="1:63" hidden="1" outlineLevel="1">
      <c r="A173" s="9"/>
      <c r="B173" s="9"/>
      <c r="C173" s="271" t="str">
        <f>Asset1</f>
        <v>Subtransmission</v>
      </c>
      <c r="D173" s="9"/>
      <c r="E173" s="9"/>
      <c r="F173" s="143"/>
      <c r="G173" s="204">
        <f>Input!S7</f>
        <v>0</v>
      </c>
      <c r="H173" s="119"/>
      <c r="I173" s="119"/>
      <c r="J173" s="119"/>
      <c r="K173" s="119"/>
      <c r="L173" s="119"/>
      <c r="M173" s="9"/>
      <c r="N173" s="115"/>
      <c r="O173" s="154"/>
      <c r="P173" s="154"/>
      <c r="Q173" s="154"/>
      <c r="R173" s="104"/>
      <c r="S173" s="104"/>
      <c r="T173" s="104"/>
      <c r="U173" s="104"/>
      <c r="V173" s="104"/>
      <c r="W173" s="104"/>
      <c r="X173" s="104"/>
      <c r="Y173" s="104"/>
      <c r="Z173" s="104"/>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4"/>
      <c r="BK173" s="224"/>
    </row>
    <row r="174" spans="1:63" hidden="1" outlineLevel="1">
      <c r="A174" s="9"/>
      <c r="B174" s="44"/>
      <c r="C174" s="271" t="str">
        <f>Asset2</f>
        <v>Distribution system assets</v>
      </c>
      <c r="D174" s="9"/>
      <c r="E174" s="9"/>
      <c r="F174" s="143"/>
      <c r="G174" s="204">
        <f>Input!S8</f>
        <v>0</v>
      </c>
      <c r="H174" s="119"/>
      <c r="I174" s="119"/>
      <c r="J174" s="119"/>
      <c r="K174" s="119"/>
      <c r="L174" s="119"/>
      <c r="M174" s="9"/>
      <c r="N174" s="115"/>
      <c r="O174" s="154"/>
      <c r="P174" s="154"/>
      <c r="Q174" s="154"/>
      <c r="R174" s="104"/>
      <c r="S174" s="104"/>
      <c r="T174" s="104"/>
      <c r="U174" s="104"/>
      <c r="V174" s="104"/>
      <c r="W174" s="104"/>
      <c r="X174" s="104"/>
      <c r="Y174" s="104"/>
      <c r="Z174" s="104"/>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4"/>
      <c r="BK174" s="224"/>
    </row>
    <row r="175" spans="1:63" hidden="1" outlineLevel="1">
      <c r="A175" s="9"/>
      <c r="B175" s="44"/>
      <c r="C175" s="271" t="str">
        <f>Asset3</f>
        <v>Standard metering</v>
      </c>
      <c r="D175" s="9"/>
      <c r="E175" s="9"/>
      <c r="F175" s="143"/>
      <c r="G175" s="204">
        <f>Input!S9</f>
        <v>0</v>
      </c>
      <c r="H175" s="119"/>
      <c r="I175" s="119"/>
      <c r="J175" s="119"/>
      <c r="K175" s="119"/>
      <c r="L175" s="119"/>
      <c r="M175" s="9"/>
      <c r="N175" s="115"/>
      <c r="O175" s="154"/>
      <c r="P175" s="154"/>
      <c r="Q175" s="154"/>
      <c r="R175" s="104"/>
      <c r="S175" s="104"/>
      <c r="T175" s="104"/>
      <c r="U175" s="104"/>
      <c r="V175" s="104"/>
      <c r="W175" s="104"/>
      <c r="X175" s="104"/>
      <c r="Y175" s="104"/>
      <c r="Z175" s="104"/>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4"/>
      <c r="BK175" s="224"/>
    </row>
    <row r="176" spans="1:63" hidden="1" outlineLevel="1">
      <c r="A176" s="9"/>
      <c r="B176" s="44"/>
      <c r="C176" s="271" t="str">
        <f>Asset4</f>
        <v>Public lighting</v>
      </c>
      <c r="D176" s="9"/>
      <c r="E176" s="9"/>
      <c r="F176" s="143"/>
      <c r="G176" s="204">
        <f>Input!S10</f>
        <v>0</v>
      </c>
      <c r="H176" s="119"/>
      <c r="I176" s="119"/>
      <c r="J176" s="119"/>
      <c r="K176" s="119"/>
      <c r="L176" s="119"/>
      <c r="M176" s="9"/>
      <c r="N176" s="115"/>
      <c r="O176" s="154"/>
      <c r="P176" s="154"/>
      <c r="Q176" s="154"/>
      <c r="R176" s="104"/>
      <c r="S176" s="104"/>
      <c r="T176" s="104"/>
      <c r="U176" s="104"/>
      <c r="V176" s="104"/>
      <c r="W176" s="104"/>
      <c r="X176" s="104"/>
      <c r="Y176" s="104"/>
      <c r="Z176" s="104"/>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4"/>
      <c r="BK176" s="224"/>
    </row>
    <row r="177" spans="1:63" hidden="1" outlineLevel="1">
      <c r="A177" s="9"/>
      <c r="B177" s="44"/>
      <c r="C177" s="271" t="str">
        <f>Asset5</f>
        <v>SCADA/Network control</v>
      </c>
      <c r="D177" s="9"/>
      <c r="E177" s="9"/>
      <c r="F177" s="143"/>
      <c r="G177" s="204">
        <f>Input!S11</f>
        <v>0</v>
      </c>
      <c r="H177" s="119"/>
      <c r="I177" s="119"/>
      <c r="J177" s="119"/>
      <c r="K177" s="119"/>
      <c r="L177" s="119"/>
      <c r="M177" s="9"/>
      <c r="N177" s="115"/>
      <c r="O177" s="154"/>
      <c r="P177" s="154"/>
      <c r="Q177" s="154"/>
      <c r="R177" s="104"/>
      <c r="S177" s="104"/>
      <c r="T177" s="104"/>
      <c r="U177" s="104"/>
      <c r="V177" s="104"/>
      <c r="W177" s="104"/>
      <c r="X177" s="104"/>
      <c r="Y177" s="104"/>
      <c r="Z177" s="104"/>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4"/>
      <c r="BK177" s="224"/>
    </row>
    <row r="178" spans="1:63" hidden="1" outlineLevel="1">
      <c r="A178" s="9"/>
      <c r="B178" s="44"/>
      <c r="C178" s="271" t="str">
        <f>Asset6</f>
        <v>Non-network general assets - IT</v>
      </c>
      <c r="D178" s="9"/>
      <c r="E178" s="9"/>
      <c r="F178" s="143"/>
      <c r="G178" s="204">
        <f>Input!S12</f>
        <v>0</v>
      </c>
      <c r="H178" s="119"/>
      <c r="I178" s="119"/>
      <c r="J178" s="119"/>
      <c r="K178" s="119"/>
      <c r="L178" s="119"/>
      <c r="M178" s="9"/>
      <c r="N178" s="115"/>
      <c r="O178" s="154"/>
      <c r="P178" s="154"/>
      <c r="Q178" s="154"/>
      <c r="R178" s="104"/>
      <c r="S178" s="104"/>
      <c r="T178" s="104"/>
      <c r="U178" s="104"/>
      <c r="V178" s="104"/>
      <c r="W178" s="104"/>
      <c r="X178" s="104"/>
      <c r="Y178" s="104"/>
      <c r="Z178" s="104"/>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4"/>
      <c r="BK178" s="224"/>
    </row>
    <row r="179" spans="1:63" hidden="1" outlineLevel="1">
      <c r="A179" s="9"/>
      <c r="B179" s="44"/>
      <c r="C179" s="271" t="str">
        <f>Asset7</f>
        <v>Non-network general assets - Other</v>
      </c>
      <c r="D179" s="9"/>
      <c r="E179" s="9"/>
      <c r="F179" s="143"/>
      <c r="G179" s="204">
        <f>Input!S13</f>
        <v>0</v>
      </c>
      <c r="H179" s="119"/>
      <c r="I179" s="119"/>
      <c r="J179" s="119"/>
      <c r="K179" s="119"/>
      <c r="L179" s="119"/>
      <c r="M179" s="9"/>
      <c r="N179" s="115"/>
      <c r="O179" s="154"/>
      <c r="P179" s="154"/>
      <c r="Q179" s="154"/>
      <c r="R179" s="104"/>
      <c r="S179" s="104"/>
      <c r="T179" s="104"/>
      <c r="U179" s="104"/>
      <c r="V179" s="104"/>
      <c r="W179" s="104"/>
      <c r="X179" s="104"/>
      <c r="Y179" s="104"/>
      <c r="Z179" s="104"/>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4"/>
      <c r="BK179" s="224"/>
    </row>
    <row r="180" spans="1:63" hidden="1" outlineLevel="1">
      <c r="A180" s="9"/>
      <c r="B180" s="44"/>
      <c r="C180" s="271" t="str">
        <f>Asset8</f>
        <v>Equity Raising Costs</v>
      </c>
      <c r="D180" s="9"/>
      <c r="E180" s="9"/>
      <c r="F180" s="143"/>
      <c r="G180" s="204">
        <f>Input!S14</f>
        <v>0</v>
      </c>
      <c r="H180" s="119"/>
      <c r="I180" s="119"/>
      <c r="J180" s="119"/>
      <c r="K180" s="119"/>
      <c r="L180" s="119"/>
      <c r="M180" s="9"/>
      <c r="N180" s="115"/>
      <c r="O180" s="154"/>
      <c r="P180" s="154"/>
      <c r="Q180" s="154"/>
      <c r="R180" s="104"/>
      <c r="S180" s="104"/>
      <c r="T180" s="104"/>
      <c r="U180" s="104"/>
      <c r="V180" s="104"/>
      <c r="W180" s="104"/>
      <c r="X180" s="104"/>
      <c r="Y180" s="104"/>
      <c r="Z180" s="104"/>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4"/>
      <c r="BK180" s="224"/>
    </row>
    <row r="181" spans="1:63" hidden="1" outlineLevel="1">
      <c r="A181" s="9"/>
      <c r="B181" s="44"/>
      <c r="C181" s="271">
        <f>Asset9</f>
        <v>0</v>
      </c>
      <c r="D181" s="9"/>
      <c r="E181" s="9"/>
      <c r="F181" s="143"/>
      <c r="G181" s="204">
        <f>Input!S15</f>
        <v>0</v>
      </c>
      <c r="H181" s="119"/>
      <c r="I181" s="119"/>
      <c r="J181" s="119"/>
      <c r="K181" s="119"/>
      <c r="L181" s="119"/>
      <c r="M181" s="9"/>
      <c r="N181" s="115"/>
      <c r="O181" s="154"/>
      <c r="P181" s="154"/>
      <c r="Q181" s="154"/>
      <c r="R181" s="104"/>
      <c r="S181" s="104"/>
      <c r="T181" s="104"/>
      <c r="U181" s="104"/>
      <c r="V181" s="104"/>
      <c r="W181" s="104"/>
      <c r="X181" s="104"/>
      <c r="Y181" s="104"/>
      <c r="Z181" s="104"/>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4"/>
      <c r="BK181" s="224"/>
    </row>
    <row r="182" spans="1:63" hidden="1" outlineLevel="1">
      <c r="A182" s="9"/>
      <c r="B182" s="44"/>
      <c r="C182" s="271">
        <f>Asset10</f>
        <v>0</v>
      </c>
      <c r="D182" s="9"/>
      <c r="E182" s="9"/>
      <c r="F182" s="143"/>
      <c r="G182" s="204">
        <f>Input!S16</f>
        <v>0</v>
      </c>
      <c r="H182" s="119"/>
      <c r="I182" s="119"/>
      <c r="J182" s="119"/>
      <c r="K182" s="119"/>
      <c r="L182" s="119"/>
      <c r="M182" s="9"/>
      <c r="N182" s="115"/>
      <c r="O182" s="154"/>
      <c r="P182" s="154"/>
      <c r="Q182" s="154"/>
      <c r="R182" s="104"/>
      <c r="S182" s="104"/>
      <c r="T182" s="104"/>
      <c r="U182" s="104"/>
      <c r="V182" s="104"/>
      <c r="W182" s="104"/>
      <c r="X182" s="104"/>
      <c r="Y182" s="104"/>
      <c r="Z182" s="104"/>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4"/>
      <c r="BK182" s="224"/>
    </row>
    <row r="183" spans="1:63" hidden="1" outlineLevel="1">
      <c r="A183" s="9"/>
      <c r="B183" s="44"/>
      <c r="C183" s="271">
        <f>Asset11</f>
        <v>0</v>
      </c>
      <c r="D183" s="9"/>
      <c r="E183" s="9"/>
      <c r="F183" s="143"/>
      <c r="G183" s="204">
        <f>Input!S17</f>
        <v>0</v>
      </c>
      <c r="H183" s="119"/>
      <c r="I183" s="119"/>
      <c r="J183" s="119"/>
      <c r="K183" s="119"/>
      <c r="L183" s="119"/>
      <c r="M183" s="9"/>
      <c r="N183" s="115"/>
      <c r="O183" s="154"/>
      <c r="P183" s="154"/>
      <c r="Q183" s="154"/>
      <c r="R183" s="104"/>
      <c r="S183" s="104"/>
      <c r="T183" s="104"/>
      <c r="U183" s="104"/>
      <c r="V183" s="104"/>
      <c r="W183" s="104"/>
      <c r="X183" s="104"/>
      <c r="Y183" s="104"/>
      <c r="Z183" s="104"/>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4"/>
      <c r="BK183" s="224"/>
    </row>
    <row r="184" spans="1:63" hidden="1" outlineLevel="1">
      <c r="A184" s="9"/>
      <c r="B184" s="44"/>
      <c r="C184" s="271">
        <f>Asset12</f>
        <v>0</v>
      </c>
      <c r="D184" s="9"/>
      <c r="E184" s="9"/>
      <c r="F184" s="143"/>
      <c r="G184" s="204">
        <f>Input!S18</f>
        <v>0</v>
      </c>
      <c r="H184" s="119"/>
      <c r="I184" s="119"/>
      <c r="J184" s="119"/>
      <c r="K184" s="119"/>
      <c r="L184" s="119"/>
      <c r="M184" s="9"/>
      <c r="N184" s="115"/>
      <c r="O184" s="154"/>
      <c r="P184" s="154"/>
      <c r="Q184" s="154"/>
      <c r="R184" s="104"/>
      <c r="S184" s="104"/>
      <c r="T184" s="104"/>
      <c r="U184" s="104"/>
      <c r="V184" s="104"/>
      <c r="W184" s="104"/>
      <c r="X184" s="104"/>
      <c r="Y184" s="104"/>
      <c r="Z184" s="104"/>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4"/>
      <c r="BK184" s="224"/>
    </row>
    <row r="185" spans="1:63" hidden="1" outlineLevel="1">
      <c r="A185" s="9"/>
      <c r="B185" s="44"/>
      <c r="C185" s="271">
        <f>Asset13</f>
        <v>0</v>
      </c>
      <c r="D185" s="9"/>
      <c r="E185" s="9"/>
      <c r="F185" s="143"/>
      <c r="G185" s="204">
        <f>Input!S19</f>
        <v>0</v>
      </c>
      <c r="H185" s="119"/>
      <c r="I185" s="119"/>
      <c r="J185" s="119"/>
      <c r="K185" s="119"/>
      <c r="L185" s="119"/>
      <c r="M185" s="9"/>
      <c r="N185" s="115"/>
      <c r="O185" s="154"/>
      <c r="P185" s="154"/>
      <c r="Q185" s="154"/>
      <c r="R185" s="104"/>
      <c r="S185" s="104"/>
      <c r="T185" s="104"/>
      <c r="U185" s="104"/>
      <c r="V185" s="104"/>
      <c r="W185" s="104"/>
      <c r="X185" s="104"/>
      <c r="Y185" s="104"/>
      <c r="Z185" s="104"/>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4"/>
      <c r="BK185" s="224"/>
    </row>
    <row r="186" spans="1:63" hidden="1" outlineLevel="1">
      <c r="A186" s="9"/>
      <c r="B186" s="44"/>
      <c r="C186" s="271">
        <f>Asset14</f>
        <v>0</v>
      </c>
      <c r="D186" s="9"/>
      <c r="E186" s="9"/>
      <c r="F186" s="143"/>
      <c r="G186" s="204">
        <f>Input!S20</f>
        <v>0</v>
      </c>
      <c r="H186" s="119"/>
      <c r="I186" s="119"/>
      <c r="J186" s="119"/>
      <c r="K186" s="119"/>
      <c r="L186" s="119"/>
      <c r="M186" s="9"/>
      <c r="N186" s="115"/>
      <c r="O186" s="154"/>
      <c r="P186" s="154"/>
      <c r="Q186" s="154"/>
      <c r="R186" s="104"/>
      <c r="S186" s="104"/>
      <c r="T186" s="104"/>
      <c r="U186" s="104"/>
      <c r="V186" s="104"/>
      <c r="W186" s="104"/>
      <c r="X186" s="104"/>
      <c r="Y186" s="104"/>
      <c r="Z186" s="104"/>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4"/>
      <c r="BK186" s="224"/>
    </row>
    <row r="187" spans="1:63" hidden="1" outlineLevel="1">
      <c r="A187" s="9"/>
      <c r="B187" s="44"/>
      <c r="C187" s="271">
        <f>Asset15</f>
        <v>0</v>
      </c>
      <c r="D187" s="9"/>
      <c r="E187" s="9"/>
      <c r="F187" s="143"/>
      <c r="G187" s="204">
        <f>Input!S21</f>
        <v>0</v>
      </c>
      <c r="H187" s="119"/>
      <c r="I187" s="119"/>
      <c r="J187" s="119"/>
      <c r="K187" s="119"/>
      <c r="L187" s="119"/>
      <c r="M187" s="9"/>
      <c r="N187" s="115"/>
      <c r="O187" s="154"/>
      <c r="P187" s="154"/>
      <c r="Q187" s="154"/>
      <c r="R187" s="104"/>
      <c r="S187" s="104"/>
      <c r="T187" s="104"/>
      <c r="U187" s="104"/>
      <c r="V187" s="104"/>
      <c r="W187" s="104"/>
      <c r="X187" s="104"/>
      <c r="Y187" s="104"/>
      <c r="Z187" s="104"/>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4"/>
      <c r="BK187" s="224"/>
    </row>
    <row r="188" spans="1:63" hidden="1" outlineLevel="1">
      <c r="A188" s="9"/>
      <c r="B188" s="44"/>
      <c r="C188" s="271">
        <f>Asset16</f>
        <v>0</v>
      </c>
      <c r="D188" s="9"/>
      <c r="E188" s="9"/>
      <c r="F188" s="143"/>
      <c r="G188" s="204">
        <f>Input!S22</f>
        <v>0</v>
      </c>
      <c r="H188" s="119"/>
      <c r="I188" s="119"/>
      <c r="J188" s="119"/>
      <c r="K188" s="119"/>
      <c r="L188" s="119"/>
      <c r="M188" s="9"/>
      <c r="N188" s="115"/>
      <c r="O188" s="154"/>
      <c r="P188" s="154"/>
      <c r="Q188" s="154"/>
      <c r="R188" s="104"/>
      <c r="S188" s="104"/>
      <c r="T188" s="104"/>
      <c r="U188" s="104"/>
      <c r="V188" s="104"/>
      <c r="W188" s="104"/>
      <c r="X188" s="104"/>
      <c r="Y188" s="104"/>
      <c r="Z188" s="104"/>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4"/>
      <c r="BK188" s="224"/>
    </row>
    <row r="189" spans="1:63" hidden="1" outlineLevel="1">
      <c r="A189" s="9"/>
      <c r="B189" s="44"/>
      <c r="C189" s="271">
        <f>Asset17</f>
        <v>0</v>
      </c>
      <c r="D189" s="9"/>
      <c r="E189" s="9"/>
      <c r="F189" s="143"/>
      <c r="G189" s="204">
        <f>Input!S23</f>
        <v>0</v>
      </c>
      <c r="H189" s="119"/>
      <c r="I189" s="119"/>
      <c r="J189" s="119"/>
      <c r="K189" s="119"/>
      <c r="L189" s="119"/>
      <c r="M189" s="9"/>
      <c r="N189" s="115"/>
      <c r="O189" s="154"/>
      <c r="P189" s="154"/>
      <c r="Q189" s="154"/>
      <c r="R189" s="104"/>
      <c r="S189" s="104"/>
      <c r="T189" s="104"/>
      <c r="U189" s="104"/>
      <c r="V189" s="104"/>
      <c r="W189" s="104"/>
      <c r="X189" s="104"/>
      <c r="Y189" s="104"/>
      <c r="Z189" s="104"/>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4"/>
      <c r="BK189" s="224"/>
    </row>
    <row r="190" spans="1:63" hidden="1" outlineLevel="1">
      <c r="A190" s="9"/>
      <c r="B190" s="44"/>
      <c r="C190" s="271">
        <f>Asset18</f>
        <v>0</v>
      </c>
      <c r="D190" s="9"/>
      <c r="E190" s="9"/>
      <c r="F190" s="143"/>
      <c r="G190" s="204">
        <f>Input!S24</f>
        <v>0</v>
      </c>
      <c r="H190" s="119"/>
      <c r="I190" s="119"/>
      <c r="J190" s="119"/>
      <c r="K190" s="119"/>
      <c r="L190" s="119"/>
      <c r="M190" s="9"/>
      <c r="N190" s="115"/>
      <c r="O190" s="154"/>
      <c r="P190" s="154"/>
      <c r="Q190" s="154"/>
      <c r="R190" s="104"/>
      <c r="S190" s="104"/>
      <c r="T190" s="104"/>
      <c r="U190" s="104"/>
      <c r="V190" s="104"/>
      <c r="W190" s="104"/>
      <c r="X190" s="104"/>
      <c r="Y190" s="104"/>
      <c r="Z190" s="104"/>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4"/>
      <c r="BK190" s="224"/>
    </row>
    <row r="191" spans="1:63" hidden="1" outlineLevel="1">
      <c r="A191" s="9"/>
      <c r="B191" s="44"/>
      <c r="C191" s="271">
        <f>Asset19</f>
        <v>0</v>
      </c>
      <c r="D191" s="9"/>
      <c r="E191" s="9"/>
      <c r="F191" s="143"/>
      <c r="G191" s="204">
        <f>Input!S25</f>
        <v>0</v>
      </c>
      <c r="H191" s="119"/>
      <c r="I191" s="119"/>
      <c r="J191" s="119"/>
      <c r="K191" s="119"/>
      <c r="L191" s="119"/>
      <c r="M191" s="9"/>
      <c r="N191" s="115"/>
      <c r="O191" s="154"/>
      <c r="P191" s="154"/>
      <c r="Q191" s="154"/>
      <c r="R191" s="104"/>
      <c r="S191" s="104"/>
      <c r="T191" s="104"/>
      <c r="U191" s="104"/>
      <c r="V191" s="104"/>
      <c r="W191" s="104"/>
      <c r="X191" s="104"/>
      <c r="Y191" s="104"/>
      <c r="Z191" s="104"/>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4"/>
      <c r="BK191" s="224"/>
    </row>
    <row r="192" spans="1:63" hidden="1" outlineLevel="1">
      <c r="A192" s="9"/>
      <c r="B192" s="44"/>
      <c r="C192" s="271">
        <f>Asset20</f>
        <v>0</v>
      </c>
      <c r="D192" s="9"/>
      <c r="E192" s="9"/>
      <c r="F192" s="143"/>
      <c r="G192" s="204">
        <f>Input!S26</f>
        <v>0</v>
      </c>
      <c r="H192" s="119"/>
      <c r="I192" s="119"/>
      <c r="J192" s="119"/>
      <c r="K192" s="119"/>
      <c r="L192" s="119"/>
      <c r="M192" s="9"/>
      <c r="N192" s="115"/>
      <c r="O192" s="154"/>
      <c r="P192" s="154"/>
      <c r="Q192" s="154"/>
      <c r="R192" s="104"/>
      <c r="S192" s="104"/>
      <c r="T192" s="104"/>
      <c r="U192" s="104"/>
      <c r="V192" s="104"/>
      <c r="W192" s="104"/>
      <c r="X192" s="104"/>
      <c r="Y192" s="104"/>
      <c r="Z192" s="104"/>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4"/>
      <c r="BK192" s="224"/>
    </row>
    <row r="193" spans="1:63" hidden="1" outlineLevel="1">
      <c r="A193" s="9"/>
      <c r="B193" s="44"/>
      <c r="C193" s="271">
        <f>Asset21</f>
        <v>0</v>
      </c>
      <c r="D193" s="9"/>
      <c r="E193" s="9"/>
      <c r="F193" s="143"/>
      <c r="G193" s="204">
        <f>Input!S27</f>
        <v>0</v>
      </c>
      <c r="H193" s="119"/>
      <c r="I193" s="119"/>
      <c r="J193" s="119"/>
      <c r="K193" s="119"/>
      <c r="L193" s="119"/>
      <c r="M193" s="9"/>
      <c r="N193" s="115"/>
      <c r="O193" s="154"/>
      <c r="P193" s="154"/>
      <c r="Q193" s="154"/>
      <c r="R193" s="104"/>
      <c r="S193" s="104"/>
      <c r="T193" s="104"/>
      <c r="U193" s="104"/>
      <c r="V193" s="104"/>
      <c r="W193" s="104"/>
      <c r="X193" s="104"/>
      <c r="Y193" s="104"/>
      <c r="Z193" s="104"/>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4"/>
      <c r="BK193" s="224"/>
    </row>
    <row r="194" spans="1:63" hidden="1" outlineLevel="1">
      <c r="A194" s="9"/>
      <c r="B194" s="44"/>
      <c r="C194" s="271">
        <f>Asset22</f>
        <v>0</v>
      </c>
      <c r="D194" s="9"/>
      <c r="E194" s="9"/>
      <c r="F194" s="143"/>
      <c r="G194" s="204">
        <f>Input!S28</f>
        <v>0</v>
      </c>
      <c r="H194" s="119"/>
      <c r="I194" s="119"/>
      <c r="J194" s="119"/>
      <c r="K194" s="119"/>
      <c r="L194" s="119"/>
      <c r="M194" s="9"/>
      <c r="N194" s="115"/>
      <c r="O194" s="154"/>
      <c r="P194" s="154"/>
      <c r="Q194" s="154"/>
      <c r="R194" s="104"/>
      <c r="S194" s="104"/>
      <c r="T194" s="104"/>
      <c r="U194" s="104"/>
      <c r="V194" s="104"/>
      <c r="W194" s="104"/>
      <c r="X194" s="104"/>
      <c r="Y194" s="104"/>
      <c r="Z194" s="104"/>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4"/>
      <c r="BK194" s="224"/>
    </row>
    <row r="195" spans="1:63" hidden="1" outlineLevel="1">
      <c r="A195" s="9"/>
      <c r="B195" s="44"/>
      <c r="C195" s="271">
        <f>Asset23</f>
        <v>0</v>
      </c>
      <c r="D195" s="9"/>
      <c r="E195" s="9"/>
      <c r="F195" s="143"/>
      <c r="G195" s="204">
        <f>Input!S29</f>
        <v>0</v>
      </c>
      <c r="H195" s="119"/>
      <c r="I195" s="119"/>
      <c r="J195" s="119"/>
      <c r="K195" s="119"/>
      <c r="L195" s="119"/>
      <c r="M195" s="9"/>
      <c r="N195" s="115"/>
      <c r="O195" s="154"/>
      <c r="P195" s="154"/>
      <c r="Q195" s="154"/>
      <c r="R195" s="104"/>
      <c r="S195" s="104"/>
      <c r="T195" s="104"/>
      <c r="U195" s="104"/>
      <c r="V195" s="104"/>
      <c r="W195" s="104"/>
      <c r="X195" s="104"/>
      <c r="Y195" s="104"/>
      <c r="Z195" s="104"/>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4"/>
      <c r="BK195" s="224"/>
    </row>
    <row r="196" spans="1:63" hidden="1" outlineLevel="1">
      <c r="A196" s="9"/>
      <c r="B196" s="44"/>
      <c r="C196" s="271">
        <f>Asset24</f>
        <v>0</v>
      </c>
      <c r="D196" s="9"/>
      <c r="E196" s="9"/>
      <c r="F196" s="143"/>
      <c r="G196" s="204">
        <f>Input!S30</f>
        <v>0</v>
      </c>
      <c r="H196" s="119"/>
      <c r="I196" s="119"/>
      <c r="J196" s="119"/>
      <c r="K196" s="119"/>
      <c r="L196" s="119"/>
      <c r="M196" s="9"/>
      <c r="N196" s="115"/>
      <c r="O196" s="154"/>
      <c r="P196" s="154"/>
      <c r="Q196" s="154"/>
      <c r="R196" s="104"/>
      <c r="S196" s="104"/>
      <c r="T196" s="104"/>
      <c r="U196" s="104"/>
      <c r="V196" s="104"/>
      <c r="W196" s="104"/>
      <c r="X196" s="104"/>
      <c r="Y196" s="104"/>
      <c r="Z196" s="104"/>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4"/>
      <c r="BK196" s="224"/>
    </row>
    <row r="197" spans="1:63" hidden="1" outlineLevel="1">
      <c r="A197" s="9"/>
      <c r="B197" s="44"/>
      <c r="C197" s="271">
        <f>Asset25</f>
        <v>0</v>
      </c>
      <c r="D197" s="9"/>
      <c r="E197" s="9"/>
      <c r="F197" s="143"/>
      <c r="G197" s="204">
        <f>Input!S31</f>
        <v>0</v>
      </c>
      <c r="H197" s="119"/>
      <c r="I197" s="119"/>
      <c r="J197" s="119"/>
      <c r="K197" s="119"/>
      <c r="L197" s="119"/>
      <c r="M197" s="9"/>
      <c r="N197" s="115"/>
      <c r="O197" s="154"/>
      <c r="P197" s="154"/>
      <c r="Q197" s="154"/>
      <c r="R197" s="104"/>
      <c r="S197" s="104"/>
      <c r="T197" s="104"/>
      <c r="U197" s="104"/>
      <c r="V197" s="104"/>
      <c r="W197" s="104"/>
      <c r="X197" s="104"/>
      <c r="Y197" s="104"/>
      <c r="Z197" s="104"/>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4"/>
      <c r="BK197" s="224"/>
    </row>
    <row r="198" spans="1:63" hidden="1" outlineLevel="1">
      <c r="A198" s="9"/>
      <c r="B198" s="44"/>
      <c r="C198" s="271">
        <f>Asset26</f>
        <v>0</v>
      </c>
      <c r="D198" s="9"/>
      <c r="E198" s="9"/>
      <c r="F198" s="143"/>
      <c r="G198" s="204">
        <f>Input!S32</f>
        <v>0</v>
      </c>
      <c r="H198" s="119"/>
      <c r="I198" s="119"/>
      <c r="J198" s="119"/>
      <c r="K198" s="119"/>
      <c r="L198" s="119"/>
      <c r="M198" s="9"/>
      <c r="N198" s="115"/>
      <c r="O198" s="154"/>
      <c r="P198" s="154"/>
      <c r="Q198" s="154"/>
      <c r="R198" s="104"/>
      <c r="S198" s="104"/>
      <c r="T198" s="104"/>
      <c r="U198" s="104"/>
      <c r="V198" s="104"/>
      <c r="W198" s="104"/>
      <c r="X198" s="104"/>
      <c r="Y198" s="104"/>
      <c r="Z198" s="104"/>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4"/>
      <c r="BK198" s="224"/>
    </row>
    <row r="199" spans="1:63" hidden="1" outlineLevel="1">
      <c r="A199" s="9"/>
      <c r="B199" s="44"/>
      <c r="C199" s="271">
        <f>Asset27</f>
        <v>0</v>
      </c>
      <c r="D199" s="9"/>
      <c r="E199" s="9"/>
      <c r="F199" s="143"/>
      <c r="G199" s="204">
        <f>Input!S33</f>
        <v>0</v>
      </c>
      <c r="H199" s="119"/>
      <c r="I199" s="119"/>
      <c r="J199" s="119"/>
      <c r="K199" s="119"/>
      <c r="L199" s="119"/>
      <c r="M199" s="9"/>
      <c r="N199" s="115"/>
      <c r="O199" s="154"/>
      <c r="P199" s="154"/>
      <c r="Q199" s="154"/>
      <c r="R199" s="104"/>
      <c r="S199" s="104"/>
      <c r="T199" s="104"/>
      <c r="U199" s="104"/>
      <c r="V199" s="104"/>
      <c r="W199" s="104"/>
      <c r="X199" s="104"/>
      <c r="Y199" s="104"/>
      <c r="Z199" s="104"/>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4"/>
      <c r="BK199" s="224"/>
    </row>
    <row r="200" spans="1:63" hidden="1" outlineLevel="1">
      <c r="A200" s="9"/>
      <c r="B200" s="44"/>
      <c r="C200" s="271">
        <f>Asset28</f>
        <v>0</v>
      </c>
      <c r="D200" s="9"/>
      <c r="E200" s="9"/>
      <c r="F200" s="143"/>
      <c r="G200" s="204">
        <f>Input!S34</f>
        <v>0</v>
      </c>
      <c r="H200" s="119"/>
      <c r="I200" s="119"/>
      <c r="J200" s="119"/>
      <c r="K200" s="119"/>
      <c r="L200" s="119"/>
      <c r="M200" s="9"/>
      <c r="N200" s="115"/>
      <c r="O200" s="154"/>
      <c r="P200" s="154"/>
      <c r="Q200" s="154"/>
      <c r="R200" s="104"/>
      <c r="S200" s="104"/>
      <c r="T200" s="104"/>
      <c r="U200" s="104"/>
      <c r="V200" s="104"/>
      <c r="W200" s="104"/>
      <c r="X200" s="104"/>
      <c r="Y200" s="104"/>
      <c r="Z200" s="104"/>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4"/>
      <c r="BK200" s="224"/>
    </row>
    <row r="201" spans="1:63" hidden="1" outlineLevel="1">
      <c r="A201" s="9"/>
      <c r="B201" s="44"/>
      <c r="C201" s="271">
        <f>Asset29</f>
        <v>0</v>
      </c>
      <c r="D201" s="9"/>
      <c r="E201" s="9"/>
      <c r="F201" s="143"/>
      <c r="G201" s="204">
        <f>Input!S35</f>
        <v>0</v>
      </c>
      <c r="H201" s="119"/>
      <c r="I201" s="119"/>
      <c r="J201" s="119"/>
      <c r="K201" s="119"/>
      <c r="L201" s="119"/>
      <c r="M201" s="9"/>
      <c r="N201" s="115"/>
      <c r="O201" s="154"/>
      <c r="P201" s="154"/>
      <c r="Q201" s="154"/>
      <c r="R201" s="104"/>
      <c r="S201" s="104"/>
      <c r="T201" s="104"/>
      <c r="U201" s="104"/>
      <c r="V201" s="104"/>
      <c r="W201" s="104"/>
      <c r="X201" s="104"/>
      <c r="Y201" s="104"/>
      <c r="Z201" s="104"/>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4"/>
      <c r="BK201" s="224"/>
    </row>
    <row r="202" spans="1:63" hidden="1" outlineLevel="1">
      <c r="A202" s="9"/>
      <c r="B202" s="44"/>
      <c r="C202" s="271">
        <f>Asset30</f>
        <v>0</v>
      </c>
      <c r="D202" s="9"/>
      <c r="E202" s="9"/>
      <c r="F202" s="143"/>
      <c r="G202" s="204">
        <f>Input!S36</f>
        <v>0</v>
      </c>
      <c r="H202" s="119"/>
      <c r="I202" s="119"/>
      <c r="J202" s="119"/>
      <c r="K202" s="119"/>
      <c r="L202" s="119"/>
      <c r="M202" s="9"/>
      <c r="N202" s="115"/>
      <c r="O202" s="154"/>
      <c r="P202" s="154"/>
      <c r="Q202" s="154"/>
      <c r="R202" s="104"/>
      <c r="S202" s="104"/>
      <c r="T202" s="104"/>
      <c r="U202" s="104"/>
      <c r="V202" s="104"/>
      <c r="W202" s="104"/>
      <c r="X202" s="104"/>
      <c r="Y202" s="104"/>
      <c r="Z202" s="104"/>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4"/>
      <c r="BK202" s="224"/>
    </row>
    <row r="203" spans="1:63" collapsed="1">
      <c r="A203" s="9"/>
      <c r="B203" s="155"/>
      <c r="C203" s="26"/>
      <c r="D203" s="9"/>
      <c r="E203" s="9"/>
      <c r="F203" s="143"/>
      <c r="G203" s="206"/>
      <c r="H203" s="119"/>
      <c r="I203" s="119"/>
      <c r="J203" s="119"/>
      <c r="K203" s="119"/>
      <c r="L203" s="119"/>
      <c r="M203" s="9"/>
      <c r="N203" s="115"/>
      <c r="O203" s="154"/>
      <c r="P203" s="154"/>
      <c r="Q203" s="154"/>
      <c r="R203" s="104"/>
      <c r="S203" s="104"/>
      <c r="T203" s="104"/>
      <c r="U203" s="104"/>
      <c r="V203" s="104"/>
      <c r="W203" s="104"/>
      <c r="X203" s="104"/>
      <c r="Y203" s="104"/>
      <c r="Z203" s="104"/>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4"/>
      <c r="BK203" s="224"/>
    </row>
    <row r="204" spans="1:63">
      <c r="A204" s="9"/>
      <c r="B204" s="155" t="s">
        <v>29</v>
      </c>
      <c r="C204" s="26"/>
      <c r="D204" s="9"/>
      <c r="E204" s="9"/>
      <c r="F204" s="143"/>
      <c r="G204" s="206">
        <f>SUM(G205:G234)</f>
        <v>0</v>
      </c>
      <c r="H204" s="119"/>
      <c r="I204" s="119"/>
      <c r="J204" s="119"/>
      <c r="K204" s="119"/>
      <c r="L204" s="119"/>
      <c r="M204" s="9"/>
      <c r="N204" s="115"/>
      <c r="O204" s="154"/>
      <c r="P204" s="154"/>
      <c r="Q204" s="154"/>
      <c r="R204" s="104"/>
      <c r="S204" s="104"/>
      <c r="T204" s="104"/>
      <c r="U204" s="104"/>
      <c r="V204" s="104"/>
      <c r="W204" s="104"/>
      <c r="X204" s="104"/>
      <c r="Y204" s="104"/>
      <c r="Z204" s="104"/>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4"/>
      <c r="BK204" s="224"/>
    </row>
    <row r="205" spans="1:63" hidden="1" outlineLevel="1">
      <c r="A205" s="9"/>
      <c r="B205" s="9"/>
      <c r="C205" s="271" t="str">
        <f>Asset1</f>
        <v>Subtransmission</v>
      </c>
      <c r="D205" s="9"/>
      <c r="E205" s="9"/>
      <c r="F205" s="143"/>
      <c r="G205" s="204">
        <f>Input!T7</f>
        <v>0</v>
      </c>
      <c r="H205" s="119"/>
      <c r="I205" s="119"/>
      <c r="J205" s="119"/>
      <c r="K205" s="119"/>
      <c r="L205" s="119"/>
      <c r="M205" s="9"/>
      <c r="N205" s="115"/>
      <c r="O205" s="154"/>
      <c r="P205" s="154"/>
      <c r="Q205" s="154"/>
      <c r="R205" s="104"/>
      <c r="S205" s="104"/>
      <c r="T205" s="104"/>
      <c r="U205" s="104"/>
      <c r="V205" s="104"/>
      <c r="W205" s="104"/>
      <c r="X205" s="104"/>
      <c r="Y205" s="104"/>
      <c r="Z205" s="104"/>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4"/>
      <c r="BK205" s="224"/>
    </row>
    <row r="206" spans="1:63" hidden="1" outlineLevel="1">
      <c r="A206" s="9"/>
      <c r="B206" s="44"/>
      <c r="C206" s="271" t="str">
        <f>Asset2</f>
        <v>Distribution system assets</v>
      </c>
      <c r="D206" s="9"/>
      <c r="E206" s="9"/>
      <c r="F206" s="143"/>
      <c r="G206" s="204">
        <f>Input!T8</f>
        <v>0</v>
      </c>
      <c r="H206" s="119"/>
      <c r="I206" s="119"/>
      <c r="J206" s="119"/>
      <c r="K206" s="119"/>
      <c r="L206" s="119"/>
      <c r="M206" s="9"/>
      <c r="N206" s="115"/>
      <c r="O206" s="154"/>
      <c r="P206" s="154"/>
      <c r="Q206" s="154"/>
      <c r="R206" s="104"/>
      <c r="S206" s="104"/>
      <c r="T206" s="104"/>
      <c r="U206" s="104"/>
      <c r="V206" s="104"/>
      <c r="W206" s="104"/>
      <c r="X206" s="104"/>
      <c r="Y206" s="104"/>
      <c r="Z206" s="104"/>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4"/>
      <c r="BK206" s="224"/>
    </row>
    <row r="207" spans="1:63" hidden="1" outlineLevel="1">
      <c r="A207" s="9"/>
      <c r="B207" s="44"/>
      <c r="C207" s="271" t="str">
        <f>Asset3</f>
        <v>Standard metering</v>
      </c>
      <c r="D207" s="9"/>
      <c r="E207" s="9"/>
      <c r="F207" s="143"/>
      <c r="G207" s="204">
        <f>Input!T9</f>
        <v>0</v>
      </c>
      <c r="H207" s="119"/>
      <c r="I207" s="119"/>
      <c r="J207" s="119"/>
      <c r="K207" s="119"/>
      <c r="L207" s="119"/>
      <c r="M207" s="9"/>
      <c r="N207" s="115"/>
      <c r="O207" s="154"/>
      <c r="P207" s="154"/>
      <c r="Q207" s="154"/>
      <c r="R207" s="104"/>
      <c r="S207" s="104"/>
      <c r="T207" s="104"/>
      <c r="U207" s="104"/>
      <c r="V207" s="104"/>
      <c r="W207" s="104"/>
      <c r="X207" s="104"/>
      <c r="Y207" s="104"/>
      <c r="Z207" s="104"/>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4"/>
      <c r="BK207" s="224"/>
    </row>
    <row r="208" spans="1:63" hidden="1" outlineLevel="1">
      <c r="A208" s="9"/>
      <c r="B208" s="44"/>
      <c r="C208" s="271" t="str">
        <f>Asset4</f>
        <v>Public lighting</v>
      </c>
      <c r="D208" s="9"/>
      <c r="E208" s="9"/>
      <c r="F208" s="143"/>
      <c r="G208" s="204">
        <f>Input!T10</f>
        <v>0</v>
      </c>
      <c r="H208" s="119"/>
      <c r="I208" s="119"/>
      <c r="J208" s="119"/>
      <c r="K208" s="119"/>
      <c r="L208" s="119"/>
      <c r="M208" s="9"/>
      <c r="N208" s="115"/>
      <c r="O208" s="154"/>
      <c r="P208" s="154"/>
      <c r="Q208" s="154"/>
      <c r="R208" s="104"/>
      <c r="S208" s="104"/>
      <c r="T208" s="104"/>
      <c r="U208" s="104"/>
      <c r="V208" s="104"/>
      <c r="W208" s="104"/>
      <c r="X208" s="104"/>
      <c r="Y208" s="104"/>
      <c r="Z208" s="104"/>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4"/>
      <c r="BK208" s="224"/>
    </row>
    <row r="209" spans="1:63" hidden="1" outlineLevel="1">
      <c r="A209" s="9"/>
      <c r="B209" s="44"/>
      <c r="C209" s="271" t="str">
        <f>Asset5</f>
        <v>SCADA/Network control</v>
      </c>
      <c r="D209" s="9"/>
      <c r="E209" s="9"/>
      <c r="F209" s="143"/>
      <c r="G209" s="204">
        <f>Input!T11</f>
        <v>0</v>
      </c>
      <c r="H209" s="119"/>
      <c r="I209" s="119"/>
      <c r="J209" s="119"/>
      <c r="K209" s="119"/>
      <c r="L209" s="119"/>
      <c r="M209" s="9"/>
      <c r="N209" s="115"/>
      <c r="O209" s="154"/>
      <c r="P209" s="154"/>
      <c r="Q209" s="154"/>
      <c r="R209" s="104"/>
      <c r="S209" s="104"/>
      <c r="T209" s="104"/>
      <c r="U209" s="104"/>
      <c r="V209" s="104"/>
      <c r="W209" s="104"/>
      <c r="X209" s="104"/>
      <c r="Y209" s="104"/>
      <c r="Z209" s="104"/>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4"/>
      <c r="BK209" s="224"/>
    </row>
    <row r="210" spans="1:63" hidden="1" outlineLevel="1">
      <c r="A210" s="9"/>
      <c r="B210" s="44"/>
      <c r="C210" s="271" t="str">
        <f>Asset6</f>
        <v>Non-network general assets - IT</v>
      </c>
      <c r="D210" s="9"/>
      <c r="E210" s="9"/>
      <c r="F210" s="143"/>
      <c r="G210" s="204">
        <f>Input!T12</f>
        <v>0</v>
      </c>
      <c r="H210" s="119"/>
      <c r="I210" s="119"/>
      <c r="J210" s="119"/>
      <c r="K210" s="119"/>
      <c r="L210" s="119"/>
      <c r="M210" s="9"/>
      <c r="N210" s="115"/>
      <c r="O210" s="154"/>
      <c r="P210" s="154"/>
      <c r="Q210" s="154"/>
      <c r="R210" s="104"/>
      <c r="S210" s="104"/>
      <c r="T210" s="104"/>
      <c r="U210" s="104"/>
      <c r="V210" s="104"/>
      <c r="W210" s="104"/>
      <c r="X210" s="104"/>
      <c r="Y210" s="104"/>
      <c r="Z210" s="104"/>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4"/>
      <c r="BK210" s="224"/>
    </row>
    <row r="211" spans="1:63" hidden="1" outlineLevel="1">
      <c r="A211" s="9"/>
      <c r="B211" s="44"/>
      <c r="C211" s="271" t="str">
        <f>Asset7</f>
        <v>Non-network general assets - Other</v>
      </c>
      <c r="D211" s="9"/>
      <c r="E211" s="9"/>
      <c r="F211" s="143"/>
      <c r="G211" s="204">
        <f>Input!T13</f>
        <v>0</v>
      </c>
      <c r="H211" s="119"/>
      <c r="I211" s="119"/>
      <c r="J211" s="119"/>
      <c r="K211" s="119"/>
      <c r="L211" s="119"/>
      <c r="M211" s="9"/>
      <c r="N211" s="115"/>
      <c r="O211" s="154"/>
      <c r="P211" s="154"/>
      <c r="Q211" s="154"/>
      <c r="R211" s="104"/>
      <c r="S211" s="104"/>
      <c r="T211" s="104"/>
      <c r="U211" s="104"/>
      <c r="V211" s="104"/>
      <c r="W211" s="104"/>
      <c r="X211" s="104"/>
      <c r="Y211" s="104"/>
      <c r="Z211" s="104"/>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4"/>
      <c r="BK211" s="224"/>
    </row>
    <row r="212" spans="1:63" hidden="1" outlineLevel="1">
      <c r="A212" s="9"/>
      <c r="B212" s="44"/>
      <c r="C212" s="271" t="str">
        <f>Asset8</f>
        <v>Equity Raising Costs</v>
      </c>
      <c r="D212" s="9"/>
      <c r="E212" s="9"/>
      <c r="F212" s="143"/>
      <c r="G212" s="204">
        <f>Input!T14</f>
        <v>0</v>
      </c>
      <c r="H212" s="119"/>
      <c r="I212" s="119"/>
      <c r="J212" s="119"/>
      <c r="K212" s="119"/>
      <c r="L212" s="119"/>
      <c r="M212" s="9"/>
      <c r="N212" s="115"/>
      <c r="O212" s="154"/>
      <c r="P212" s="154"/>
      <c r="Q212" s="154"/>
      <c r="R212" s="104"/>
      <c r="S212" s="104"/>
      <c r="T212" s="104"/>
      <c r="U212" s="104"/>
      <c r="V212" s="104"/>
      <c r="W212" s="104"/>
      <c r="X212" s="104"/>
      <c r="Y212" s="104"/>
      <c r="Z212" s="104"/>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4"/>
      <c r="BK212" s="224"/>
    </row>
    <row r="213" spans="1:63" hidden="1" outlineLevel="1">
      <c r="A213" s="9"/>
      <c r="B213" s="44"/>
      <c r="C213" s="271">
        <f>Asset9</f>
        <v>0</v>
      </c>
      <c r="D213" s="9"/>
      <c r="E213" s="9"/>
      <c r="F213" s="143"/>
      <c r="G213" s="204">
        <f>Input!T15</f>
        <v>0</v>
      </c>
      <c r="H213" s="119"/>
      <c r="I213" s="119"/>
      <c r="J213" s="119"/>
      <c r="K213" s="119"/>
      <c r="L213" s="119"/>
      <c r="M213" s="9"/>
      <c r="N213" s="115"/>
      <c r="O213" s="154"/>
      <c r="P213" s="154"/>
      <c r="Q213" s="154"/>
      <c r="R213" s="104"/>
      <c r="S213" s="104"/>
      <c r="T213" s="104"/>
      <c r="U213" s="104"/>
      <c r="V213" s="104"/>
      <c r="W213" s="104"/>
      <c r="X213" s="104"/>
      <c r="Y213" s="104"/>
      <c r="Z213" s="104"/>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4"/>
      <c r="BK213" s="224"/>
    </row>
    <row r="214" spans="1:63" hidden="1" outlineLevel="1">
      <c r="A214" s="9"/>
      <c r="B214" s="44"/>
      <c r="C214" s="271">
        <f>Asset10</f>
        <v>0</v>
      </c>
      <c r="D214" s="9"/>
      <c r="E214" s="9"/>
      <c r="F214" s="143"/>
      <c r="G214" s="204">
        <f>Input!T16</f>
        <v>0</v>
      </c>
      <c r="H214" s="119"/>
      <c r="I214" s="119"/>
      <c r="J214" s="119"/>
      <c r="K214" s="119"/>
      <c r="L214" s="119"/>
      <c r="M214" s="9"/>
      <c r="N214" s="115"/>
      <c r="O214" s="154"/>
      <c r="P214" s="154"/>
      <c r="Q214" s="154"/>
      <c r="R214" s="104"/>
      <c r="S214" s="104"/>
      <c r="T214" s="104"/>
      <c r="U214" s="104"/>
      <c r="V214" s="104"/>
      <c r="W214" s="104"/>
      <c r="X214" s="104"/>
      <c r="Y214" s="104"/>
      <c r="Z214" s="104"/>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4"/>
      <c r="BK214" s="224"/>
    </row>
    <row r="215" spans="1:63" hidden="1" outlineLevel="1">
      <c r="A215" s="9"/>
      <c r="B215" s="44"/>
      <c r="C215" s="271">
        <f>Asset11</f>
        <v>0</v>
      </c>
      <c r="D215" s="9"/>
      <c r="E215" s="9"/>
      <c r="F215" s="143"/>
      <c r="G215" s="204">
        <f>Input!T17</f>
        <v>0</v>
      </c>
      <c r="H215" s="119"/>
      <c r="I215" s="119"/>
      <c r="J215" s="119"/>
      <c r="K215" s="119"/>
      <c r="L215" s="119"/>
      <c r="M215" s="9"/>
      <c r="N215" s="115"/>
      <c r="O215" s="154"/>
      <c r="P215" s="154"/>
      <c r="Q215" s="154"/>
      <c r="R215" s="104"/>
      <c r="S215" s="104"/>
      <c r="T215" s="104"/>
      <c r="U215" s="104"/>
      <c r="V215" s="104"/>
      <c r="W215" s="104"/>
      <c r="X215" s="104"/>
      <c r="Y215" s="104"/>
      <c r="Z215" s="104"/>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4"/>
      <c r="BK215" s="224"/>
    </row>
    <row r="216" spans="1:63" hidden="1" outlineLevel="1">
      <c r="A216" s="9"/>
      <c r="B216" s="44"/>
      <c r="C216" s="271">
        <f>Asset12</f>
        <v>0</v>
      </c>
      <c r="D216" s="9"/>
      <c r="E216" s="9"/>
      <c r="F216" s="143"/>
      <c r="G216" s="204">
        <f>Input!T18</f>
        <v>0</v>
      </c>
      <c r="H216" s="119"/>
      <c r="I216" s="119"/>
      <c r="J216" s="119"/>
      <c r="K216" s="119"/>
      <c r="L216" s="119"/>
      <c r="M216" s="9"/>
      <c r="N216" s="115"/>
      <c r="O216" s="154"/>
      <c r="P216" s="154"/>
      <c r="Q216" s="154"/>
      <c r="R216" s="104"/>
      <c r="S216" s="104"/>
      <c r="T216" s="104"/>
      <c r="U216" s="104"/>
      <c r="V216" s="104"/>
      <c r="W216" s="104"/>
      <c r="X216" s="104"/>
      <c r="Y216" s="104"/>
      <c r="Z216" s="104"/>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4"/>
      <c r="BK216" s="224"/>
    </row>
    <row r="217" spans="1:63" hidden="1" outlineLevel="1">
      <c r="A217" s="9"/>
      <c r="B217" s="44"/>
      <c r="C217" s="271">
        <f>Asset13</f>
        <v>0</v>
      </c>
      <c r="D217" s="9"/>
      <c r="E217" s="9"/>
      <c r="F217" s="143"/>
      <c r="G217" s="204">
        <f>Input!T19</f>
        <v>0</v>
      </c>
      <c r="H217" s="119"/>
      <c r="I217" s="119"/>
      <c r="J217" s="119"/>
      <c r="K217" s="119"/>
      <c r="L217" s="119"/>
      <c r="M217" s="9"/>
      <c r="N217" s="115"/>
      <c r="O217" s="154"/>
      <c r="P217" s="154"/>
      <c r="Q217" s="154"/>
      <c r="R217" s="104"/>
      <c r="S217" s="104"/>
      <c r="T217" s="104"/>
      <c r="U217" s="104"/>
      <c r="V217" s="104"/>
      <c r="W217" s="104"/>
      <c r="X217" s="104"/>
      <c r="Y217" s="104"/>
      <c r="Z217" s="104"/>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4"/>
      <c r="BK217" s="224"/>
    </row>
    <row r="218" spans="1:63" hidden="1" outlineLevel="1">
      <c r="A218" s="9"/>
      <c r="B218" s="44"/>
      <c r="C218" s="271">
        <f>Asset14</f>
        <v>0</v>
      </c>
      <c r="D218" s="9"/>
      <c r="E218" s="9"/>
      <c r="F218" s="143"/>
      <c r="G218" s="204">
        <f>Input!T20</f>
        <v>0</v>
      </c>
      <c r="H218" s="119"/>
      <c r="I218" s="119"/>
      <c r="J218" s="119"/>
      <c r="K218" s="119"/>
      <c r="L218" s="119"/>
      <c r="M218" s="9"/>
      <c r="N218" s="115"/>
      <c r="O218" s="154"/>
      <c r="P218" s="154"/>
      <c r="Q218" s="154"/>
      <c r="R218" s="104"/>
      <c r="S218" s="104"/>
      <c r="T218" s="104"/>
      <c r="U218" s="104"/>
      <c r="V218" s="104"/>
      <c r="W218" s="104"/>
      <c r="X218" s="104"/>
      <c r="Y218" s="104"/>
      <c r="Z218" s="104"/>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4"/>
      <c r="BK218" s="224"/>
    </row>
    <row r="219" spans="1:63" hidden="1" outlineLevel="1">
      <c r="A219" s="9"/>
      <c r="B219" s="44"/>
      <c r="C219" s="271">
        <f>Asset15</f>
        <v>0</v>
      </c>
      <c r="D219" s="9"/>
      <c r="E219" s="9"/>
      <c r="F219" s="143"/>
      <c r="G219" s="204">
        <f>Input!T21</f>
        <v>0</v>
      </c>
      <c r="H219" s="119"/>
      <c r="I219" s="119"/>
      <c r="J219" s="119"/>
      <c r="K219" s="119"/>
      <c r="L219" s="119"/>
      <c r="M219" s="9"/>
      <c r="N219" s="115"/>
      <c r="O219" s="154"/>
      <c r="P219" s="154"/>
      <c r="Q219" s="154"/>
      <c r="R219" s="104"/>
      <c r="S219" s="104"/>
      <c r="T219" s="104"/>
      <c r="U219" s="104"/>
      <c r="V219" s="104"/>
      <c r="W219" s="104"/>
      <c r="X219" s="104"/>
      <c r="Y219" s="104"/>
      <c r="Z219" s="104"/>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4"/>
      <c r="BK219" s="224"/>
    </row>
    <row r="220" spans="1:63" hidden="1" outlineLevel="1">
      <c r="A220" s="9"/>
      <c r="B220" s="44"/>
      <c r="C220" s="271">
        <f>Asset16</f>
        <v>0</v>
      </c>
      <c r="D220" s="9"/>
      <c r="E220" s="9"/>
      <c r="F220" s="143"/>
      <c r="G220" s="204">
        <f>Input!T22</f>
        <v>0</v>
      </c>
      <c r="H220" s="119"/>
      <c r="I220" s="119"/>
      <c r="J220" s="119"/>
      <c r="K220" s="119"/>
      <c r="L220" s="119"/>
      <c r="M220" s="9"/>
      <c r="N220" s="115"/>
      <c r="O220" s="154"/>
      <c r="P220" s="154"/>
      <c r="Q220" s="154"/>
      <c r="R220" s="104"/>
      <c r="S220" s="104"/>
      <c r="T220" s="104"/>
      <c r="U220" s="104"/>
      <c r="V220" s="104"/>
      <c r="W220" s="104"/>
      <c r="X220" s="104"/>
      <c r="Y220" s="104"/>
      <c r="Z220" s="104"/>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4"/>
      <c r="BK220" s="224"/>
    </row>
    <row r="221" spans="1:63" hidden="1" outlineLevel="1">
      <c r="A221" s="9"/>
      <c r="B221" s="44"/>
      <c r="C221" s="271">
        <f>Asset17</f>
        <v>0</v>
      </c>
      <c r="D221" s="9"/>
      <c r="E221" s="9"/>
      <c r="F221" s="143"/>
      <c r="G221" s="204">
        <f>Input!T23</f>
        <v>0</v>
      </c>
      <c r="H221" s="119"/>
      <c r="I221" s="119"/>
      <c r="J221" s="119"/>
      <c r="K221" s="119"/>
      <c r="L221" s="119"/>
      <c r="M221" s="9"/>
      <c r="N221" s="115"/>
      <c r="O221" s="154"/>
      <c r="P221" s="154"/>
      <c r="Q221" s="154"/>
      <c r="R221" s="104"/>
      <c r="S221" s="104"/>
      <c r="T221" s="104"/>
      <c r="U221" s="104"/>
      <c r="V221" s="104"/>
      <c r="W221" s="104"/>
      <c r="X221" s="104"/>
      <c r="Y221" s="104"/>
      <c r="Z221" s="104"/>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4"/>
      <c r="BK221" s="224"/>
    </row>
    <row r="222" spans="1:63" hidden="1" outlineLevel="1">
      <c r="A222" s="9"/>
      <c r="B222" s="44"/>
      <c r="C222" s="271">
        <f>Asset18</f>
        <v>0</v>
      </c>
      <c r="D222" s="9"/>
      <c r="E222" s="9"/>
      <c r="F222" s="143"/>
      <c r="G222" s="204">
        <f>Input!T24</f>
        <v>0</v>
      </c>
      <c r="H222" s="119"/>
      <c r="I222" s="119"/>
      <c r="J222" s="119"/>
      <c r="K222" s="119"/>
      <c r="L222" s="119"/>
      <c r="M222" s="9"/>
      <c r="N222" s="115"/>
      <c r="O222" s="154"/>
      <c r="P222" s="154"/>
      <c r="Q222" s="154"/>
      <c r="R222" s="104"/>
      <c r="S222" s="104"/>
      <c r="T222" s="104"/>
      <c r="U222" s="104"/>
      <c r="V222" s="104"/>
      <c r="W222" s="104"/>
      <c r="X222" s="104"/>
      <c r="Y222" s="104"/>
      <c r="Z222" s="104"/>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4"/>
      <c r="BK222" s="224"/>
    </row>
    <row r="223" spans="1:63" hidden="1" outlineLevel="1">
      <c r="A223" s="9"/>
      <c r="B223" s="44"/>
      <c r="C223" s="271">
        <f>Asset19</f>
        <v>0</v>
      </c>
      <c r="D223" s="9"/>
      <c r="E223" s="9"/>
      <c r="F223" s="143"/>
      <c r="G223" s="204">
        <f>Input!T25</f>
        <v>0</v>
      </c>
      <c r="H223" s="119"/>
      <c r="I223" s="119"/>
      <c r="J223" s="119"/>
      <c r="K223" s="119"/>
      <c r="L223" s="119"/>
      <c r="M223" s="9"/>
      <c r="N223" s="115"/>
      <c r="O223" s="154"/>
      <c r="P223" s="154"/>
      <c r="Q223" s="154"/>
      <c r="R223" s="104"/>
      <c r="S223" s="104"/>
      <c r="T223" s="104"/>
      <c r="U223" s="104"/>
      <c r="V223" s="104"/>
      <c r="W223" s="104"/>
      <c r="X223" s="104"/>
      <c r="Y223" s="104"/>
      <c r="Z223" s="104"/>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4"/>
      <c r="BK223" s="224"/>
    </row>
    <row r="224" spans="1:63" hidden="1" outlineLevel="1">
      <c r="A224" s="9"/>
      <c r="B224" s="44"/>
      <c r="C224" s="271">
        <f>Asset20</f>
        <v>0</v>
      </c>
      <c r="D224" s="9"/>
      <c r="E224" s="9"/>
      <c r="F224" s="143"/>
      <c r="G224" s="204">
        <f>Input!T26</f>
        <v>0</v>
      </c>
      <c r="H224" s="119"/>
      <c r="I224" s="119"/>
      <c r="J224" s="119"/>
      <c r="K224" s="119"/>
      <c r="L224" s="119"/>
      <c r="M224" s="9"/>
      <c r="N224" s="115"/>
      <c r="O224" s="154"/>
      <c r="P224" s="154"/>
      <c r="Q224" s="154"/>
      <c r="R224" s="104"/>
      <c r="S224" s="104"/>
      <c r="T224" s="104"/>
      <c r="U224" s="104"/>
      <c r="V224" s="104"/>
      <c r="W224" s="104"/>
      <c r="X224" s="104"/>
      <c r="Y224" s="104"/>
      <c r="Z224" s="104"/>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4"/>
      <c r="BK224" s="224"/>
    </row>
    <row r="225" spans="1:63" hidden="1" outlineLevel="1">
      <c r="A225" s="9"/>
      <c r="B225" s="44"/>
      <c r="C225" s="271">
        <f>Asset21</f>
        <v>0</v>
      </c>
      <c r="D225" s="9"/>
      <c r="E225" s="9"/>
      <c r="F225" s="143"/>
      <c r="G225" s="204">
        <f>Input!T27</f>
        <v>0</v>
      </c>
      <c r="H225" s="119"/>
      <c r="I225" s="119"/>
      <c r="J225" s="119"/>
      <c r="K225" s="119"/>
      <c r="L225" s="119"/>
      <c r="M225" s="9"/>
      <c r="N225" s="115"/>
      <c r="O225" s="154"/>
      <c r="P225" s="154"/>
      <c r="Q225" s="154"/>
      <c r="R225" s="104"/>
      <c r="S225" s="104"/>
      <c r="T225" s="104"/>
      <c r="U225" s="104"/>
      <c r="V225" s="104"/>
      <c r="W225" s="104"/>
      <c r="X225" s="104"/>
      <c r="Y225" s="104"/>
      <c r="Z225" s="104"/>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4"/>
      <c r="BK225" s="224"/>
    </row>
    <row r="226" spans="1:63" hidden="1" outlineLevel="1">
      <c r="A226" s="9"/>
      <c r="B226" s="44"/>
      <c r="C226" s="271">
        <f>Asset22</f>
        <v>0</v>
      </c>
      <c r="D226" s="9"/>
      <c r="E226" s="9"/>
      <c r="F226" s="143"/>
      <c r="G226" s="204">
        <f>Input!T28</f>
        <v>0</v>
      </c>
      <c r="H226" s="119"/>
      <c r="I226" s="119"/>
      <c r="J226" s="119"/>
      <c r="K226" s="119"/>
      <c r="L226" s="119"/>
      <c r="M226" s="9"/>
      <c r="N226" s="115"/>
      <c r="O226" s="154"/>
      <c r="P226" s="154"/>
      <c r="Q226" s="154"/>
      <c r="R226" s="104"/>
      <c r="S226" s="104"/>
      <c r="T226" s="104"/>
      <c r="U226" s="104"/>
      <c r="V226" s="104"/>
      <c r="W226" s="104"/>
      <c r="X226" s="104"/>
      <c r="Y226" s="104"/>
      <c r="Z226" s="104"/>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4"/>
      <c r="BK226" s="224"/>
    </row>
    <row r="227" spans="1:63" hidden="1" outlineLevel="1">
      <c r="A227" s="9"/>
      <c r="B227" s="44"/>
      <c r="C227" s="271">
        <f>Asset23</f>
        <v>0</v>
      </c>
      <c r="D227" s="9"/>
      <c r="E227" s="9"/>
      <c r="F227" s="143"/>
      <c r="G227" s="204">
        <f>Input!T29</f>
        <v>0</v>
      </c>
      <c r="H227" s="119"/>
      <c r="I227" s="119"/>
      <c r="J227" s="119"/>
      <c r="K227" s="119"/>
      <c r="L227" s="119"/>
      <c r="M227" s="9"/>
      <c r="N227" s="115"/>
      <c r="O227" s="154"/>
      <c r="P227" s="154"/>
      <c r="Q227" s="154"/>
      <c r="R227" s="104"/>
      <c r="S227" s="104"/>
      <c r="T227" s="104"/>
      <c r="U227" s="104"/>
      <c r="V227" s="104"/>
      <c r="W227" s="104"/>
      <c r="X227" s="104"/>
      <c r="Y227" s="104"/>
      <c r="Z227" s="104"/>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4"/>
      <c r="BK227" s="224"/>
    </row>
    <row r="228" spans="1:63" hidden="1" outlineLevel="1">
      <c r="A228" s="9"/>
      <c r="B228" s="44"/>
      <c r="C228" s="271">
        <f>Asset24</f>
        <v>0</v>
      </c>
      <c r="D228" s="9"/>
      <c r="E228" s="9"/>
      <c r="F228" s="143"/>
      <c r="G228" s="204">
        <f>Input!T30</f>
        <v>0</v>
      </c>
      <c r="H228" s="119"/>
      <c r="I228" s="119"/>
      <c r="J228" s="119"/>
      <c r="K228" s="119"/>
      <c r="L228" s="119"/>
      <c r="M228" s="9"/>
      <c r="N228" s="115"/>
      <c r="O228" s="154"/>
      <c r="P228" s="154"/>
      <c r="Q228" s="154"/>
      <c r="R228" s="104"/>
      <c r="S228" s="104"/>
      <c r="T228" s="104"/>
      <c r="U228" s="104"/>
      <c r="V228" s="104"/>
      <c r="W228" s="104"/>
      <c r="X228" s="104"/>
      <c r="Y228" s="104"/>
      <c r="Z228" s="104"/>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4"/>
      <c r="BK228" s="224"/>
    </row>
    <row r="229" spans="1:63" hidden="1" outlineLevel="1">
      <c r="A229" s="9"/>
      <c r="B229" s="44"/>
      <c r="C229" s="271">
        <f>Asset25</f>
        <v>0</v>
      </c>
      <c r="D229" s="9"/>
      <c r="E229" s="9"/>
      <c r="F229" s="143"/>
      <c r="G229" s="204">
        <f>Input!T31</f>
        <v>0</v>
      </c>
      <c r="H229" s="119"/>
      <c r="I229" s="119"/>
      <c r="J229" s="119"/>
      <c r="K229" s="119"/>
      <c r="L229" s="119"/>
      <c r="M229" s="9"/>
      <c r="N229" s="115"/>
      <c r="O229" s="154"/>
      <c r="P229" s="154"/>
      <c r="Q229" s="154"/>
      <c r="R229" s="104"/>
      <c r="S229" s="104"/>
      <c r="T229" s="104"/>
      <c r="U229" s="104"/>
      <c r="V229" s="104"/>
      <c r="W229" s="104"/>
      <c r="X229" s="104"/>
      <c r="Y229" s="104"/>
      <c r="Z229" s="104"/>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4"/>
      <c r="BK229" s="224"/>
    </row>
    <row r="230" spans="1:63" hidden="1" outlineLevel="1">
      <c r="A230" s="9"/>
      <c r="B230" s="44"/>
      <c r="C230" s="271">
        <f>Asset26</f>
        <v>0</v>
      </c>
      <c r="D230" s="9"/>
      <c r="E230" s="9"/>
      <c r="F230" s="143"/>
      <c r="G230" s="204">
        <f>Input!T32</f>
        <v>0</v>
      </c>
      <c r="H230" s="119"/>
      <c r="I230" s="119"/>
      <c r="J230" s="119"/>
      <c r="K230" s="119"/>
      <c r="L230" s="119"/>
      <c r="M230" s="9"/>
      <c r="N230" s="115"/>
      <c r="O230" s="154"/>
      <c r="P230" s="154"/>
      <c r="Q230" s="154"/>
      <c r="R230" s="104"/>
      <c r="S230" s="104"/>
      <c r="T230" s="104"/>
      <c r="U230" s="104"/>
      <c r="V230" s="104"/>
      <c r="W230" s="104"/>
      <c r="X230" s="104"/>
      <c r="Y230" s="104"/>
      <c r="Z230" s="104"/>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4"/>
      <c r="BK230" s="224"/>
    </row>
    <row r="231" spans="1:63" hidden="1" outlineLevel="1">
      <c r="A231" s="9"/>
      <c r="B231" s="44"/>
      <c r="C231" s="271">
        <f>Asset27</f>
        <v>0</v>
      </c>
      <c r="D231" s="9"/>
      <c r="E231" s="9"/>
      <c r="F231" s="143"/>
      <c r="G231" s="204">
        <f>Input!T33</f>
        <v>0</v>
      </c>
      <c r="H231" s="119"/>
      <c r="I231" s="119"/>
      <c r="J231" s="119"/>
      <c r="K231" s="119"/>
      <c r="L231" s="119"/>
      <c r="M231" s="9"/>
      <c r="N231" s="115"/>
      <c r="O231" s="154"/>
      <c r="P231" s="154"/>
      <c r="Q231" s="154"/>
      <c r="R231" s="104"/>
      <c r="S231" s="104"/>
      <c r="T231" s="104"/>
      <c r="U231" s="104"/>
      <c r="V231" s="104"/>
      <c r="W231" s="104"/>
      <c r="X231" s="104"/>
      <c r="Y231" s="104"/>
      <c r="Z231" s="104"/>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4"/>
      <c r="BK231" s="224"/>
    </row>
    <row r="232" spans="1:63" hidden="1" outlineLevel="1">
      <c r="A232" s="9"/>
      <c r="B232" s="44"/>
      <c r="C232" s="271">
        <f>Asset28</f>
        <v>0</v>
      </c>
      <c r="D232" s="9"/>
      <c r="E232" s="9"/>
      <c r="F232" s="143"/>
      <c r="G232" s="204">
        <f>Input!T34</f>
        <v>0</v>
      </c>
      <c r="H232" s="119"/>
      <c r="I232" s="119"/>
      <c r="J232" s="119"/>
      <c r="K232" s="119"/>
      <c r="L232" s="119"/>
      <c r="M232" s="9"/>
      <c r="N232" s="115"/>
      <c r="O232" s="154"/>
      <c r="P232" s="154"/>
      <c r="Q232" s="154"/>
      <c r="R232" s="104"/>
      <c r="S232" s="104"/>
      <c r="T232" s="104"/>
      <c r="U232" s="104"/>
      <c r="V232" s="104"/>
      <c r="W232" s="104"/>
      <c r="X232" s="104"/>
      <c r="Y232" s="104"/>
      <c r="Z232" s="104"/>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4"/>
      <c r="BK232" s="224"/>
    </row>
    <row r="233" spans="1:63" hidden="1" outlineLevel="1">
      <c r="A233" s="9"/>
      <c r="B233" s="44"/>
      <c r="C233" s="271">
        <f>Asset29</f>
        <v>0</v>
      </c>
      <c r="D233" s="9"/>
      <c r="E233" s="9"/>
      <c r="F233" s="143"/>
      <c r="G233" s="204">
        <f>Input!T35</f>
        <v>0</v>
      </c>
      <c r="H233" s="119"/>
      <c r="I233" s="119"/>
      <c r="J233" s="119"/>
      <c r="K233" s="119"/>
      <c r="L233" s="119"/>
      <c r="M233" s="9"/>
      <c r="N233" s="115"/>
      <c r="O233" s="154"/>
      <c r="P233" s="154"/>
      <c r="Q233" s="154"/>
      <c r="R233" s="104"/>
      <c r="S233" s="104"/>
      <c r="T233" s="104"/>
      <c r="U233" s="104"/>
      <c r="V233" s="104"/>
      <c r="W233" s="104"/>
      <c r="X233" s="104"/>
      <c r="Y233" s="104"/>
      <c r="Z233" s="104"/>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4"/>
      <c r="BK233" s="224"/>
    </row>
    <row r="234" spans="1:63" hidden="1" outlineLevel="1">
      <c r="A234" s="9"/>
      <c r="B234" s="44"/>
      <c r="C234" s="271">
        <f>Asset30</f>
        <v>0</v>
      </c>
      <c r="D234" s="9"/>
      <c r="E234" s="9"/>
      <c r="F234" s="143"/>
      <c r="G234" s="204">
        <f>Input!T36</f>
        <v>0</v>
      </c>
      <c r="H234" s="119"/>
      <c r="I234" s="119"/>
      <c r="J234" s="119"/>
      <c r="K234" s="119"/>
      <c r="L234" s="119"/>
      <c r="M234" s="9"/>
      <c r="N234" s="115"/>
      <c r="O234" s="154"/>
      <c r="P234" s="154"/>
      <c r="Q234" s="154"/>
      <c r="R234" s="104"/>
      <c r="S234" s="104"/>
      <c r="T234" s="104"/>
      <c r="U234" s="104"/>
      <c r="V234" s="104"/>
      <c r="W234" s="104"/>
      <c r="X234" s="104"/>
      <c r="Y234" s="104"/>
      <c r="Z234" s="104"/>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4"/>
      <c r="BK234" s="224"/>
    </row>
    <row r="235" spans="1:63" collapsed="1">
      <c r="A235" s="9"/>
      <c r="B235" s="155"/>
      <c r="C235" s="26"/>
      <c r="D235" s="9"/>
      <c r="E235" s="9"/>
      <c r="F235" s="143"/>
      <c r="G235" s="206"/>
      <c r="H235" s="119"/>
      <c r="I235" s="119"/>
      <c r="J235" s="119"/>
      <c r="K235" s="119"/>
      <c r="L235" s="119"/>
      <c r="M235" s="9"/>
      <c r="N235" s="115"/>
      <c r="O235" s="154"/>
      <c r="P235" s="154"/>
      <c r="Q235" s="154"/>
      <c r="R235" s="104"/>
      <c r="S235" s="104"/>
      <c r="T235" s="104"/>
      <c r="U235" s="104"/>
      <c r="V235" s="104"/>
      <c r="W235" s="104"/>
      <c r="X235" s="104"/>
      <c r="Y235" s="104"/>
      <c r="Z235" s="104"/>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4"/>
      <c r="BK235" s="224"/>
    </row>
    <row r="236" spans="1:63">
      <c r="A236" s="9"/>
      <c r="B236" s="155" t="s">
        <v>30</v>
      </c>
      <c r="C236" s="26"/>
      <c r="D236" s="9"/>
      <c r="E236" s="9"/>
      <c r="F236" s="143"/>
      <c r="G236" s="206">
        <f>SUM(G237:G266)</f>
        <v>0</v>
      </c>
      <c r="H236" s="119"/>
      <c r="I236" s="119"/>
      <c r="J236" s="119"/>
      <c r="K236" s="119"/>
      <c r="L236" s="119"/>
      <c r="M236" s="9"/>
      <c r="N236" s="115"/>
      <c r="O236" s="154"/>
      <c r="P236" s="154"/>
      <c r="Q236" s="154"/>
      <c r="R236" s="104"/>
      <c r="S236" s="104"/>
      <c r="T236" s="104"/>
      <c r="U236" s="104"/>
      <c r="V236" s="104"/>
      <c r="W236" s="104"/>
      <c r="X236" s="104"/>
      <c r="Y236" s="104"/>
      <c r="Z236" s="104"/>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4"/>
      <c r="BK236" s="224"/>
    </row>
    <row r="237" spans="1:63" hidden="1" outlineLevel="1">
      <c r="A237" s="9"/>
      <c r="B237" s="9"/>
      <c r="C237" s="271" t="str">
        <f>Asset1</f>
        <v>Subtransmission</v>
      </c>
      <c r="D237" s="9"/>
      <c r="E237" s="9"/>
      <c r="F237" s="143"/>
      <c r="G237" s="204">
        <f>G205-G173</f>
        <v>0</v>
      </c>
      <c r="H237" s="119"/>
      <c r="I237" s="119"/>
      <c r="J237" s="119"/>
      <c r="K237" s="119"/>
      <c r="L237" s="119"/>
      <c r="M237" s="9"/>
      <c r="N237" s="115"/>
      <c r="O237" s="154"/>
      <c r="P237" s="154"/>
      <c r="Q237" s="154"/>
      <c r="R237" s="104"/>
      <c r="S237" s="104"/>
      <c r="T237" s="104"/>
      <c r="U237" s="104"/>
      <c r="V237" s="104"/>
      <c r="W237" s="104"/>
      <c r="X237" s="104"/>
      <c r="Y237" s="104"/>
      <c r="Z237" s="104"/>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4"/>
      <c r="BK237" s="224"/>
    </row>
    <row r="238" spans="1:63" hidden="1" outlineLevel="1">
      <c r="A238" s="9"/>
      <c r="B238" s="44"/>
      <c r="C238" s="271" t="str">
        <f>Asset2</f>
        <v>Distribution system assets</v>
      </c>
      <c r="D238" s="9"/>
      <c r="E238" s="9"/>
      <c r="F238" s="143"/>
      <c r="G238" s="204">
        <f t="shared" ref="G238:G266" si="2">G206-G174</f>
        <v>0</v>
      </c>
      <c r="H238" s="119"/>
      <c r="I238" s="119"/>
      <c r="J238" s="119"/>
      <c r="K238" s="119"/>
      <c r="L238" s="119"/>
      <c r="M238" s="9"/>
      <c r="N238" s="115"/>
      <c r="O238" s="154"/>
      <c r="P238" s="154"/>
      <c r="Q238" s="154"/>
      <c r="R238" s="104"/>
      <c r="S238" s="104"/>
      <c r="T238" s="104"/>
      <c r="U238" s="104"/>
      <c r="V238" s="104"/>
      <c r="W238" s="104"/>
      <c r="X238" s="104"/>
      <c r="Y238" s="104"/>
      <c r="Z238" s="104"/>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4"/>
      <c r="BK238" s="224"/>
    </row>
    <row r="239" spans="1:63" hidden="1" outlineLevel="1">
      <c r="A239" s="9"/>
      <c r="B239" s="44"/>
      <c r="C239" s="271" t="str">
        <f>Asset3</f>
        <v>Standard metering</v>
      </c>
      <c r="D239" s="9"/>
      <c r="E239" s="9"/>
      <c r="F239" s="143"/>
      <c r="G239" s="204">
        <f t="shared" si="2"/>
        <v>0</v>
      </c>
      <c r="H239" s="119"/>
      <c r="I239" s="119"/>
      <c r="J239" s="119"/>
      <c r="K239" s="119"/>
      <c r="L239" s="119"/>
      <c r="M239" s="9"/>
      <c r="N239" s="115"/>
      <c r="O239" s="154"/>
      <c r="P239" s="154"/>
      <c r="Q239" s="154"/>
      <c r="R239" s="104"/>
      <c r="S239" s="104"/>
      <c r="T239" s="104"/>
      <c r="U239" s="104"/>
      <c r="V239" s="104"/>
      <c r="W239" s="104"/>
      <c r="X239" s="104"/>
      <c r="Y239" s="104"/>
      <c r="Z239" s="104"/>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4"/>
      <c r="BK239" s="224"/>
    </row>
    <row r="240" spans="1:63" hidden="1" outlineLevel="1">
      <c r="A240" s="9"/>
      <c r="B240" s="44"/>
      <c r="C240" s="271" t="str">
        <f>Asset4</f>
        <v>Public lighting</v>
      </c>
      <c r="D240" s="9"/>
      <c r="E240" s="9"/>
      <c r="F240" s="143"/>
      <c r="G240" s="204">
        <f t="shared" si="2"/>
        <v>0</v>
      </c>
      <c r="H240" s="119"/>
      <c r="I240" s="119"/>
      <c r="J240" s="119"/>
      <c r="K240" s="119"/>
      <c r="L240" s="119"/>
      <c r="M240" s="9"/>
      <c r="N240" s="115"/>
      <c r="O240" s="154"/>
      <c r="P240" s="154"/>
      <c r="Q240" s="154"/>
      <c r="R240" s="104"/>
      <c r="S240" s="104"/>
      <c r="T240" s="104"/>
      <c r="U240" s="104"/>
      <c r="V240" s="104"/>
      <c r="W240" s="104"/>
      <c r="X240" s="104"/>
      <c r="Y240" s="104"/>
      <c r="Z240" s="104"/>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4"/>
      <c r="BK240" s="224"/>
    </row>
    <row r="241" spans="1:63" hidden="1" outlineLevel="1">
      <c r="A241" s="9"/>
      <c r="B241" s="44"/>
      <c r="C241" s="271" t="str">
        <f>Asset5</f>
        <v>SCADA/Network control</v>
      </c>
      <c r="D241" s="9"/>
      <c r="E241" s="9"/>
      <c r="F241" s="143"/>
      <c r="G241" s="204">
        <f t="shared" si="2"/>
        <v>0</v>
      </c>
      <c r="H241" s="119"/>
      <c r="I241" s="119"/>
      <c r="J241" s="119"/>
      <c r="K241" s="119"/>
      <c r="L241" s="119"/>
      <c r="M241" s="9"/>
      <c r="N241" s="115"/>
      <c r="O241" s="154"/>
      <c r="P241" s="154"/>
      <c r="Q241" s="154"/>
      <c r="R241" s="104"/>
      <c r="S241" s="104"/>
      <c r="T241" s="104"/>
      <c r="U241" s="104"/>
      <c r="V241" s="104"/>
      <c r="W241" s="104"/>
      <c r="X241" s="104"/>
      <c r="Y241" s="104"/>
      <c r="Z241" s="104"/>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4"/>
      <c r="BK241" s="224"/>
    </row>
    <row r="242" spans="1:63" hidden="1" outlineLevel="1">
      <c r="A242" s="9"/>
      <c r="B242" s="44"/>
      <c r="C242" s="271" t="str">
        <f>Asset6</f>
        <v>Non-network general assets - IT</v>
      </c>
      <c r="D242" s="9"/>
      <c r="E242" s="9"/>
      <c r="F242" s="143"/>
      <c r="G242" s="204">
        <f t="shared" si="2"/>
        <v>0</v>
      </c>
      <c r="H242" s="119"/>
      <c r="I242" s="119"/>
      <c r="J242" s="119"/>
      <c r="K242" s="119"/>
      <c r="L242" s="119"/>
      <c r="M242" s="9"/>
      <c r="N242" s="115"/>
      <c r="O242" s="154"/>
      <c r="P242" s="154"/>
      <c r="Q242" s="154"/>
      <c r="R242" s="104"/>
      <c r="S242" s="104"/>
      <c r="T242" s="104"/>
      <c r="U242" s="104"/>
      <c r="V242" s="104"/>
      <c r="W242" s="104"/>
      <c r="X242" s="104"/>
      <c r="Y242" s="104"/>
      <c r="Z242" s="104"/>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4"/>
      <c r="BK242" s="224"/>
    </row>
    <row r="243" spans="1:63" hidden="1" outlineLevel="1">
      <c r="A243" s="9"/>
      <c r="B243" s="44"/>
      <c r="C243" s="271" t="str">
        <f>Asset7</f>
        <v>Non-network general assets - Other</v>
      </c>
      <c r="D243" s="9"/>
      <c r="E243" s="9"/>
      <c r="F243" s="143"/>
      <c r="G243" s="204">
        <f t="shared" si="2"/>
        <v>0</v>
      </c>
      <c r="H243" s="119"/>
      <c r="I243" s="119"/>
      <c r="J243" s="119"/>
      <c r="K243" s="119"/>
      <c r="L243" s="119"/>
      <c r="M243" s="9"/>
      <c r="N243" s="115"/>
      <c r="O243" s="154"/>
      <c r="P243" s="154"/>
      <c r="Q243" s="154"/>
      <c r="R243" s="104"/>
      <c r="S243" s="104"/>
      <c r="T243" s="104"/>
      <c r="U243" s="104"/>
      <c r="V243" s="104"/>
      <c r="W243" s="104"/>
      <c r="X243" s="104"/>
      <c r="Y243" s="104"/>
      <c r="Z243" s="104"/>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4"/>
      <c r="BK243" s="224"/>
    </row>
    <row r="244" spans="1:63" hidden="1" outlineLevel="1">
      <c r="A244" s="9"/>
      <c r="B244" s="44"/>
      <c r="C244" s="271" t="str">
        <f>Asset8</f>
        <v>Equity Raising Costs</v>
      </c>
      <c r="D244" s="9"/>
      <c r="E244" s="9"/>
      <c r="F244" s="143"/>
      <c r="G244" s="204">
        <f t="shared" si="2"/>
        <v>0</v>
      </c>
      <c r="H244" s="119"/>
      <c r="I244" s="119"/>
      <c r="J244" s="119"/>
      <c r="K244" s="119"/>
      <c r="L244" s="119"/>
      <c r="M244" s="9"/>
      <c r="N244" s="115"/>
      <c r="O244" s="154"/>
      <c r="P244" s="154"/>
      <c r="Q244" s="154"/>
      <c r="R244" s="104"/>
      <c r="S244" s="104"/>
      <c r="T244" s="104"/>
      <c r="U244" s="104"/>
      <c r="V244" s="104"/>
      <c r="W244" s="104"/>
      <c r="X244" s="104"/>
      <c r="Y244" s="104"/>
      <c r="Z244" s="104"/>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4"/>
      <c r="BK244" s="224"/>
    </row>
    <row r="245" spans="1:63" hidden="1" outlineLevel="1">
      <c r="A245" s="9"/>
      <c r="B245" s="44"/>
      <c r="C245" s="271">
        <f>Asset9</f>
        <v>0</v>
      </c>
      <c r="D245" s="9"/>
      <c r="E245" s="9"/>
      <c r="F245" s="143"/>
      <c r="G245" s="204">
        <f t="shared" si="2"/>
        <v>0</v>
      </c>
      <c r="H245" s="119"/>
      <c r="I245" s="119"/>
      <c r="J245" s="119"/>
      <c r="K245" s="119"/>
      <c r="L245" s="119"/>
      <c r="M245" s="9"/>
      <c r="N245" s="115"/>
      <c r="O245" s="154"/>
      <c r="P245" s="154"/>
      <c r="Q245" s="154"/>
      <c r="R245" s="104"/>
      <c r="S245" s="104"/>
      <c r="T245" s="104"/>
      <c r="U245" s="104"/>
      <c r="V245" s="104"/>
      <c r="W245" s="104"/>
      <c r="X245" s="104"/>
      <c r="Y245" s="104"/>
      <c r="Z245" s="104"/>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4"/>
      <c r="BK245" s="224"/>
    </row>
    <row r="246" spans="1:63" hidden="1" outlineLevel="1">
      <c r="A246" s="9"/>
      <c r="B246" s="44"/>
      <c r="C246" s="271">
        <f>Asset10</f>
        <v>0</v>
      </c>
      <c r="D246" s="9"/>
      <c r="E246" s="9"/>
      <c r="F246" s="143"/>
      <c r="G246" s="204">
        <f t="shared" si="2"/>
        <v>0</v>
      </c>
      <c r="H246" s="119"/>
      <c r="I246" s="119"/>
      <c r="J246" s="119"/>
      <c r="K246" s="119"/>
      <c r="L246" s="119"/>
      <c r="M246" s="9"/>
      <c r="N246" s="115"/>
      <c r="O246" s="154"/>
      <c r="P246" s="154"/>
      <c r="Q246" s="154"/>
      <c r="R246" s="104"/>
      <c r="S246" s="104"/>
      <c r="T246" s="104"/>
      <c r="U246" s="104"/>
      <c r="V246" s="104"/>
      <c r="W246" s="104"/>
      <c r="X246" s="104"/>
      <c r="Y246" s="104"/>
      <c r="Z246" s="104"/>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4"/>
      <c r="BK246" s="224"/>
    </row>
    <row r="247" spans="1:63" hidden="1" outlineLevel="1">
      <c r="A247" s="9"/>
      <c r="B247" s="44"/>
      <c r="C247" s="271">
        <f>Asset11</f>
        <v>0</v>
      </c>
      <c r="D247" s="9"/>
      <c r="E247" s="9"/>
      <c r="F247" s="143"/>
      <c r="G247" s="204">
        <f t="shared" si="2"/>
        <v>0</v>
      </c>
      <c r="H247" s="119"/>
      <c r="I247" s="119"/>
      <c r="J247" s="119"/>
      <c r="K247" s="119"/>
      <c r="L247" s="119"/>
      <c r="M247" s="9"/>
      <c r="N247" s="115"/>
      <c r="O247" s="154"/>
      <c r="P247" s="154"/>
      <c r="Q247" s="154"/>
      <c r="R247" s="104"/>
      <c r="S247" s="104"/>
      <c r="T247" s="104"/>
      <c r="U247" s="104"/>
      <c r="V247" s="104"/>
      <c r="W247" s="104"/>
      <c r="X247" s="104"/>
      <c r="Y247" s="104"/>
      <c r="Z247" s="104"/>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4"/>
      <c r="BK247" s="224"/>
    </row>
    <row r="248" spans="1:63" hidden="1" outlineLevel="1">
      <c r="A248" s="9"/>
      <c r="B248" s="44"/>
      <c r="C248" s="271">
        <f>Asset12</f>
        <v>0</v>
      </c>
      <c r="D248" s="9"/>
      <c r="E248" s="9"/>
      <c r="F248" s="143"/>
      <c r="G248" s="204">
        <f t="shared" si="2"/>
        <v>0</v>
      </c>
      <c r="H248" s="119"/>
      <c r="I248" s="119"/>
      <c r="J248" s="119"/>
      <c r="K248" s="119"/>
      <c r="L248" s="119"/>
      <c r="M248" s="9"/>
      <c r="N248" s="115"/>
      <c r="O248" s="154"/>
      <c r="P248" s="154"/>
      <c r="Q248" s="154"/>
      <c r="R248" s="104"/>
      <c r="S248" s="104"/>
      <c r="T248" s="104"/>
      <c r="U248" s="104"/>
      <c r="V248" s="104"/>
      <c r="W248" s="104"/>
      <c r="X248" s="104"/>
      <c r="Y248" s="104"/>
      <c r="Z248" s="104"/>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4"/>
      <c r="BK248" s="224"/>
    </row>
    <row r="249" spans="1:63" hidden="1" outlineLevel="1">
      <c r="A249" s="9"/>
      <c r="B249" s="44"/>
      <c r="C249" s="271">
        <f>Asset13</f>
        <v>0</v>
      </c>
      <c r="D249" s="9"/>
      <c r="E249" s="9"/>
      <c r="F249" s="143"/>
      <c r="G249" s="204">
        <f t="shared" si="2"/>
        <v>0</v>
      </c>
      <c r="H249" s="119"/>
      <c r="I249" s="119"/>
      <c r="J249" s="119"/>
      <c r="K249" s="119"/>
      <c r="L249" s="119"/>
      <c r="M249" s="9"/>
      <c r="N249" s="115"/>
      <c r="O249" s="154"/>
      <c r="P249" s="154"/>
      <c r="Q249" s="154"/>
      <c r="R249" s="104"/>
      <c r="S249" s="104"/>
      <c r="T249" s="104"/>
      <c r="U249" s="104"/>
      <c r="V249" s="104"/>
      <c r="W249" s="104"/>
      <c r="X249" s="104"/>
      <c r="Y249" s="104"/>
      <c r="Z249" s="104"/>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4"/>
      <c r="BK249" s="224"/>
    </row>
    <row r="250" spans="1:63" hidden="1" outlineLevel="1">
      <c r="A250" s="9"/>
      <c r="B250" s="44"/>
      <c r="C250" s="271">
        <f>Asset14</f>
        <v>0</v>
      </c>
      <c r="D250" s="9"/>
      <c r="E250" s="9"/>
      <c r="F250" s="143"/>
      <c r="G250" s="204">
        <f t="shared" si="2"/>
        <v>0</v>
      </c>
      <c r="H250" s="119"/>
      <c r="I250" s="119"/>
      <c r="J250" s="119"/>
      <c r="K250" s="119"/>
      <c r="L250" s="119"/>
      <c r="M250" s="9"/>
      <c r="N250" s="115"/>
      <c r="O250" s="154"/>
      <c r="P250" s="154"/>
      <c r="Q250" s="154"/>
      <c r="R250" s="104"/>
      <c r="S250" s="104"/>
      <c r="T250" s="104"/>
      <c r="U250" s="104"/>
      <c r="V250" s="104"/>
      <c r="W250" s="104"/>
      <c r="X250" s="104"/>
      <c r="Y250" s="104"/>
      <c r="Z250" s="104"/>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4"/>
      <c r="BK250" s="224"/>
    </row>
    <row r="251" spans="1:63" hidden="1" outlineLevel="1">
      <c r="A251" s="9"/>
      <c r="B251" s="44"/>
      <c r="C251" s="271">
        <f>Asset15</f>
        <v>0</v>
      </c>
      <c r="D251" s="9"/>
      <c r="E251" s="9"/>
      <c r="F251" s="143"/>
      <c r="G251" s="204">
        <f t="shared" si="2"/>
        <v>0</v>
      </c>
      <c r="H251" s="119"/>
      <c r="I251" s="119"/>
      <c r="J251" s="119"/>
      <c r="K251" s="119"/>
      <c r="L251" s="119"/>
      <c r="M251" s="9"/>
      <c r="N251" s="115"/>
      <c r="O251" s="154"/>
      <c r="P251" s="154"/>
      <c r="Q251" s="154"/>
      <c r="R251" s="104"/>
      <c r="S251" s="104"/>
      <c r="T251" s="104"/>
      <c r="U251" s="104"/>
      <c r="V251" s="104"/>
      <c r="W251" s="104"/>
      <c r="X251" s="104"/>
      <c r="Y251" s="104"/>
      <c r="Z251" s="104"/>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4"/>
      <c r="BK251" s="224"/>
    </row>
    <row r="252" spans="1:63" hidden="1" outlineLevel="1">
      <c r="A252" s="9"/>
      <c r="B252" s="44"/>
      <c r="C252" s="271">
        <f>Asset16</f>
        <v>0</v>
      </c>
      <c r="D252" s="9"/>
      <c r="E252" s="9"/>
      <c r="F252" s="143"/>
      <c r="G252" s="204">
        <f t="shared" si="2"/>
        <v>0</v>
      </c>
      <c r="H252" s="119"/>
      <c r="I252" s="119"/>
      <c r="J252" s="119"/>
      <c r="K252" s="119"/>
      <c r="L252" s="119"/>
      <c r="M252" s="9"/>
      <c r="N252" s="115"/>
      <c r="O252" s="154"/>
      <c r="P252" s="154"/>
      <c r="Q252" s="154"/>
      <c r="R252" s="104"/>
      <c r="S252" s="104"/>
      <c r="T252" s="104"/>
      <c r="U252" s="104"/>
      <c r="V252" s="104"/>
      <c r="W252" s="104"/>
      <c r="X252" s="104"/>
      <c r="Y252" s="104"/>
      <c r="Z252" s="104"/>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4"/>
      <c r="BK252" s="224"/>
    </row>
    <row r="253" spans="1:63" hidden="1" outlineLevel="1">
      <c r="A253" s="9"/>
      <c r="B253" s="44"/>
      <c r="C253" s="271">
        <f>Asset17</f>
        <v>0</v>
      </c>
      <c r="D253" s="9"/>
      <c r="E253" s="9"/>
      <c r="F253" s="143"/>
      <c r="G253" s="204">
        <f t="shared" si="2"/>
        <v>0</v>
      </c>
      <c r="H253" s="119"/>
      <c r="I253" s="119"/>
      <c r="J253" s="119"/>
      <c r="K253" s="119"/>
      <c r="L253" s="119"/>
      <c r="M253" s="9"/>
      <c r="N253" s="115"/>
      <c r="O253" s="154"/>
      <c r="P253" s="154"/>
      <c r="Q253" s="154"/>
      <c r="R253" s="104"/>
      <c r="S253" s="104"/>
      <c r="T253" s="104"/>
      <c r="U253" s="104"/>
      <c r="V253" s="104"/>
      <c r="W253" s="104"/>
      <c r="X253" s="104"/>
      <c r="Y253" s="104"/>
      <c r="Z253" s="104"/>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4"/>
      <c r="BK253" s="224"/>
    </row>
    <row r="254" spans="1:63" hidden="1" outlineLevel="1">
      <c r="A254" s="9"/>
      <c r="B254" s="44"/>
      <c r="C254" s="271">
        <f>Asset18</f>
        <v>0</v>
      </c>
      <c r="D254" s="9"/>
      <c r="E254" s="9"/>
      <c r="F254" s="143"/>
      <c r="G254" s="204">
        <f t="shared" si="2"/>
        <v>0</v>
      </c>
      <c r="H254" s="119"/>
      <c r="I254" s="119"/>
      <c r="J254" s="119"/>
      <c r="K254" s="119"/>
      <c r="L254" s="119"/>
      <c r="M254" s="9"/>
      <c r="N254" s="115"/>
      <c r="O254" s="154"/>
      <c r="P254" s="154"/>
      <c r="Q254" s="154"/>
      <c r="R254" s="104"/>
      <c r="S254" s="104"/>
      <c r="T254" s="104"/>
      <c r="U254" s="104"/>
      <c r="V254" s="104"/>
      <c r="W254" s="104"/>
      <c r="X254" s="104"/>
      <c r="Y254" s="104"/>
      <c r="Z254" s="104"/>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4"/>
      <c r="BK254" s="224"/>
    </row>
    <row r="255" spans="1:63" hidden="1" outlineLevel="1">
      <c r="A255" s="9"/>
      <c r="B255" s="44"/>
      <c r="C255" s="271">
        <f>Asset19</f>
        <v>0</v>
      </c>
      <c r="D255" s="9"/>
      <c r="E255" s="9"/>
      <c r="F255" s="143"/>
      <c r="G255" s="204">
        <f t="shared" si="2"/>
        <v>0</v>
      </c>
      <c r="H255" s="119"/>
      <c r="I255" s="119"/>
      <c r="J255" s="119"/>
      <c r="K255" s="119"/>
      <c r="L255" s="119"/>
      <c r="M255" s="9"/>
      <c r="N255" s="115"/>
      <c r="O255" s="154"/>
      <c r="P255" s="154"/>
      <c r="Q255" s="154"/>
      <c r="R255" s="104"/>
      <c r="S255" s="104"/>
      <c r="T255" s="104"/>
      <c r="U255" s="104"/>
      <c r="V255" s="104"/>
      <c r="W255" s="104"/>
      <c r="X255" s="104"/>
      <c r="Y255" s="104"/>
      <c r="Z255" s="104"/>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4"/>
      <c r="BK255" s="224"/>
    </row>
    <row r="256" spans="1:63" hidden="1" outlineLevel="1">
      <c r="A256" s="9"/>
      <c r="B256" s="44"/>
      <c r="C256" s="271">
        <f>Asset20</f>
        <v>0</v>
      </c>
      <c r="D256" s="9"/>
      <c r="E256" s="9"/>
      <c r="F256" s="143"/>
      <c r="G256" s="204">
        <f t="shared" si="2"/>
        <v>0</v>
      </c>
      <c r="H256" s="119"/>
      <c r="I256" s="119"/>
      <c r="J256" s="119"/>
      <c r="K256" s="119"/>
      <c r="L256" s="119"/>
      <c r="M256" s="9"/>
      <c r="N256" s="115"/>
      <c r="O256" s="154"/>
      <c r="P256" s="154"/>
      <c r="Q256" s="154"/>
      <c r="R256" s="104"/>
      <c r="S256" s="104"/>
      <c r="T256" s="104"/>
      <c r="U256" s="104"/>
      <c r="V256" s="104"/>
      <c r="W256" s="104"/>
      <c r="X256" s="104"/>
      <c r="Y256" s="104"/>
      <c r="Z256" s="104"/>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4"/>
      <c r="BK256" s="224"/>
    </row>
    <row r="257" spans="1:63" hidden="1" outlineLevel="1">
      <c r="A257" s="9"/>
      <c r="B257" s="44"/>
      <c r="C257" s="271">
        <f>Asset21</f>
        <v>0</v>
      </c>
      <c r="D257" s="9"/>
      <c r="E257" s="9"/>
      <c r="F257" s="143"/>
      <c r="G257" s="204">
        <f t="shared" si="2"/>
        <v>0</v>
      </c>
      <c r="H257" s="119"/>
      <c r="I257" s="119"/>
      <c r="J257" s="119"/>
      <c r="K257" s="119"/>
      <c r="L257" s="119"/>
      <c r="M257" s="9"/>
      <c r="N257" s="115"/>
      <c r="O257" s="154"/>
      <c r="P257" s="154"/>
      <c r="Q257" s="154"/>
      <c r="R257" s="104"/>
      <c r="S257" s="104"/>
      <c r="T257" s="104"/>
      <c r="U257" s="104"/>
      <c r="V257" s="104"/>
      <c r="W257" s="104"/>
      <c r="X257" s="104"/>
      <c r="Y257" s="104"/>
      <c r="Z257" s="104"/>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4"/>
      <c r="BK257" s="224"/>
    </row>
    <row r="258" spans="1:63" hidden="1" outlineLevel="1">
      <c r="A258" s="9"/>
      <c r="B258" s="44"/>
      <c r="C258" s="271">
        <f>Asset22</f>
        <v>0</v>
      </c>
      <c r="D258" s="9"/>
      <c r="E258" s="9"/>
      <c r="F258" s="143"/>
      <c r="G258" s="204">
        <f t="shared" si="2"/>
        <v>0</v>
      </c>
      <c r="H258" s="119"/>
      <c r="I258" s="119"/>
      <c r="J258" s="119"/>
      <c r="K258" s="119"/>
      <c r="L258" s="119"/>
      <c r="M258" s="9"/>
      <c r="N258" s="115"/>
      <c r="O258" s="154"/>
      <c r="P258" s="154"/>
      <c r="Q258" s="154"/>
      <c r="R258" s="104"/>
      <c r="S258" s="104"/>
      <c r="T258" s="104"/>
      <c r="U258" s="104"/>
      <c r="V258" s="104"/>
      <c r="W258" s="104"/>
      <c r="X258" s="104"/>
      <c r="Y258" s="104"/>
      <c r="Z258" s="104"/>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4"/>
      <c r="BK258" s="224"/>
    </row>
    <row r="259" spans="1:63" hidden="1" outlineLevel="1">
      <c r="A259" s="9"/>
      <c r="B259" s="44"/>
      <c r="C259" s="271">
        <f>Asset23</f>
        <v>0</v>
      </c>
      <c r="D259" s="9"/>
      <c r="E259" s="9"/>
      <c r="F259" s="143"/>
      <c r="G259" s="204">
        <f t="shared" si="2"/>
        <v>0</v>
      </c>
      <c r="H259" s="119"/>
      <c r="I259" s="119"/>
      <c r="J259" s="119"/>
      <c r="K259" s="119"/>
      <c r="L259" s="119"/>
      <c r="M259" s="9"/>
      <c r="N259" s="115"/>
      <c r="O259" s="154"/>
      <c r="P259" s="154"/>
      <c r="Q259" s="154"/>
      <c r="R259" s="104"/>
      <c r="S259" s="104"/>
      <c r="T259" s="104"/>
      <c r="U259" s="104"/>
      <c r="V259" s="104"/>
      <c r="W259" s="104"/>
      <c r="X259" s="104"/>
      <c r="Y259" s="104"/>
      <c r="Z259" s="104"/>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4"/>
      <c r="BK259" s="224"/>
    </row>
    <row r="260" spans="1:63" hidden="1" outlineLevel="1">
      <c r="A260" s="9"/>
      <c r="B260" s="44"/>
      <c r="C260" s="271">
        <f>Asset24</f>
        <v>0</v>
      </c>
      <c r="D260" s="9"/>
      <c r="E260" s="9"/>
      <c r="F260" s="143"/>
      <c r="G260" s="204">
        <f t="shared" si="2"/>
        <v>0</v>
      </c>
      <c r="H260" s="119"/>
      <c r="I260" s="119"/>
      <c r="J260" s="119"/>
      <c r="K260" s="119"/>
      <c r="L260" s="119"/>
      <c r="M260" s="9"/>
      <c r="N260" s="115"/>
      <c r="O260" s="154"/>
      <c r="P260" s="154"/>
      <c r="Q260" s="154"/>
      <c r="R260" s="104"/>
      <c r="S260" s="104"/>
      <c r="T260" s="104"/>
      <c r="U260" s="104"/>
      <c r="V260" s="104"/>
      <c r="W260" s="104"/>
      <c r="X260" s="104"/>
      <c r="Y260" s="104"/>
      <c r="Z260" s="104"/>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4"/>
      <c r="BK260" s="224"/>
    </row>
    <row r="261" spans="1:63" hidden="1" outlineLevel="1">
      <c r="A261" s="9"/>
      <c r="B261" s="44"/>
      <c r="C261" s="271">
        <f>Asset25</f>
        <v>0</v>
      </c>
      <c r="D261" s="9"/>
      <c r="E261" s="9"/>
      <c r="F261" s="143"/>
      <c r="G261" s="204">
        <f t="shared" si="2"/>
        <v>0</v>
      </c>
      <c r="H261" s="119"/>
      <c r="I261" s="119"/>
      <c r="J261" s="119"/>
      <c r="K261" s="119"/>
      <c r="L261" s="119"/>
      <c r="M261" s="9"/>
      <c r="N261" s="115"/>
      <c r="O261" s="154"/>
      <c r="P261" s="154"/>
      <c r="Q261" s="154"/>
      <c r="R261" s="104"/>
      <c r="S261" s="104"/>
      <c r="T261" s="104"/>
      <c r="U261" s="104"/>
      <c r="V261" s="104"/>
      <c r="W261" s="104"/>
      <c r="X261" s="104"/>
      <c r="Y261" s="104"/>
      <c r="Z261" s="104"/>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4"/>
      <c r="BK261" s="224"/>
    </row>
    <row r="262" spans="1:63" hidden="1" outlineLevel="1">
      <c r="A262" s="9"/>
      <c r="B262" s="44"/>
      <c r="C262" s="271">
        <f>Asset26</f>
        <v>0</v>
      </c>
      <c r="D262" s="9"/>
      <c r="E262" s="9"/>
      <c r="F262" s="143"/>
      <c r="G262" s="204">
        <f t="shared" si="2"/>
        <v>0</v>
      </c>
      <c r="H262" s="119"/>
      <c r="I262" s="119"/>
      <c r="J262" s="119"/>
      <c r="K262" s="119"/>
      <c r="L262" s="119"/>
      <c r="M262" s="9"/>
      <c r="N262" s="115"/>
      <c r="O262" s="154"/>
      <c r="P262" s="154"/>
      <c r="Q262" s="154"/>
      <c r="R262" s="104"/>
      <c r="S262" s="104"/>
      <c r="T262" s="104"/>
      <c r="U262" s="104"/>
      <c r="V262" s="104"/>
      <c r="W262" s="104"/>
      <c r="X262" s="104"/>
      <c r="Y262" s="104"/>
      <c r="Z262" s="104"/>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4"/>
      <c r="BK262" s="224"/>
    </row>
    <row r="263" spans="1:63" hidden="1" outlineLevel="1">
      <c r="A263" s="9"/>
      <c r="B263" s="44"/>
      <c r="C263" s="271">
        <f>Asset27</f>
        <v>0</v>
      </c>
      <c r="D263" s="9"/>
      <c r="E263" s="9"/>
      <c r="F263" s="143"/>
      <c r="G263" s="204">
        <f t="shared" si="2"/>
        <v>0</v>
      </c>
      <c r="H263" s="119"/>
      <c r="I263" s="119"/>
      <c r="J263" s="119"/>
      <c r="K263" s="119"/>
      <c r="L263" s="119"/>
      <c r="M263" s="9"/>
      <c r="N263" s="115"/>
      <c r="O263" s="154"/>
      <c r="P263" s="154"/>
      <c r="Q263" s="154"/>
      <c r="R263" s="104"/>
      <c r="S263" s="104"/>
      <c r="T263" s="104"/>
      <c r="U263" s="104"/>
      <c r="V263" s="104"/>
      <c r="W263" s="104"/>
      <c r="X263" s="104"/>
      <c r="Y263" s="104"/>
      <c r="Z263" s="104"/>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4"/>
      <c r="BK263" s="224"/>
    </row>
    <row r="264" spans="1:63" hidden="1" outlineLevel="1">
      <c r="A264" s="9"/>
      <c r="B264" s="44"/>
      <c r="C264" s="271">
        <f>Asset28</f>
        <v>0</v>
      </c>
      <c r="D264" s="9"/>
      <c r="E264" s="9"/>
      <c r="F264" s="143"/>
      <c r="G264" s="204">
        <f t="shared" si="2"/>
        <v>0</v>
      </c>
      <c r="H264" s="119"/>
      <c r="I264" s="119"/>
      <c r="J264" s="119"/>
      <c r="K264" s="119"/>
      <c r="L264" s="119"/>
      <c r="M264" s="9"/>
      <c r="N264" s="115"/>
      <c r="O264" s="154"/>
      <c r="P264" s="154"/>
      <c r="Q264" s="154"/>
      <c r="R264" s="104"/>
      <c r="S264" s="104"/>
      <c r="T264" s="104"/>
      <c r="U264" s="104"/>
      <c r="V264" s="104"/>
      <c r="W264" s="104"/>
      <c r="X264" s="104"/>
      <c r="Y264" s="104"/>
      <c r="Z264" s="104"/>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4"/>
      <c r="BK264" s="224"/>
    </row>
    <row r="265" spans="1:63" hidden="1" outlineLevel="1">
      <c r="A265" s="9"/>
      <c r="B265" s="44"/>
      <c r="C265" s="271">
        <f>Asset29</f>
        <v>0</v>
      </c>
      <c r="D265" s="9"/>
      <c r="E265" s="9"/>
      <c r="F265" s="143"/>
      <c r="G265" s="204">
        <f t="shared" si="2"/>
        <v>0</v>
      </c>
      <c r="H265" s="119"/>
      <c r="I265" s="119"/>
      <c r="J265" s="119"/>
      <c r="K265" s="119"/>
      <c r="L265" s="119"/>
      <c r="M265" s="9"/>
      <c r="N265" s="115"/>
      <c r="O265" s="154"/>
      <c r="P265" s="154"/>
      <c r="Q265" s="154"/>
      <c r="R265" s="104"/>
      <c r="S265" s="104"/>
      <c r="T265" s="104"/>
      <c r="U265" s="104"/>
      <c r="V265" s="104"/>
      <c r="W265" s="104"/>
      <c r="X265" s="104"/>
      <c r="Y265" s="104"/>
      <c r="Z265" s="104"/>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4"/>
      <c r="BK265" s="224"/>
    </row>
    <row r="266" spans="1:63" hidden="1" outlineLevel="1">
      <c r="A266" s="9"/>
      <c r="B266" s="44"/>
      <c r="C266" s="271">
        <f>Asset30</f>
        <v>0</v>
      </c>
      <c r="D266" s="9"/>
      <c r="E266" s="9"/>
      <c r="F266" s="143"/>
      <c r="G266" s="204">
        <f t="shared" si="2"/>
        <v>0</v>
      </c>
      <c r="H266" s="119"/>
      <c r="I266" s="119"/>
      <c r="J266" s="119"/>
      <c r="K266" s="119"/>
      <c r="L266" s="119"/>
      <c r="M266" s="9"/>
      <c r="N266" s="115"/>
      <c r="O266" s="154"/>
      <c r="P266" s="154"/>
      <c r="Q266" s="154"/>
      <c r="R266" s="104"/>
      <c r="S266" s="104"/>
      <c r="T266" s="104"/>
      <c r="U266" s="104"/>
      <c r="V266" s="104"/>
      <c r="W266" s="104"/>
      <c r="X266" s="104"/>
      <c r="Y266" s="104"/>
      <c r="Z266" s="104"/>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4"/>
      <c r="BK266" s="224"/>
    </row>
    <row r="267" spans="1:63" collapsed="1">
      <c r="A267" s="9"/>
      <c r="B267" s="155"/>
      <c r="C267" s="26"/>
      <c r="D267" s="9"/>
      <c r="E267" s="9"/>
      <c r="F267" s="143"/>
      <c r="G267" s="206"/>
      <c r="H267" s="119"/>
      <c r="I267" s="119"/>
      <c r="J267" s="119"/>
      <c r="K267" s="119"/>
      <c r="L267" s="119"/>
      <c r="M267" s="9"/>
      <c r="N267" s="115"/>
      <c r="O267" s="154"/>
      <c r="P267" s="154"/>
      <c r="Q267" s="154"/>
      <c r="R267" s="104"/>
      <c r="S267" s="104"/>
      <c r="T267" s="104"/>
      <c r="U267" s="104"/>
      <c r="V267" s="104"/>
      <c r="W267" s="104"/>
      <c r="X267" s="104"/>
      <c r="Y267" s="104"/>
      <c r="Z267" s="104"/>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4"/>
      <c r="BK267" s="224"/>
    </row>
    <row r="268" spans="1:63">
      <c r="A268" s="9"/>
      <c r="B268" s="155" t="s">
        <v>36</v>
      </c>
      <c r="C268" s="26"/>
      <c r="D268" s="9"/>
      <c r="E268" s="9"/>
      <c r="F268" s="143"/>
      <c r="G268" s="206"/>
      <c r="H268" s="119">
        <f t="shared" ref="H268:Q268" si="3">SUM(H269,H271,H273,H275,H277,H279,H281,H283,H285,H287,H289,H291,H293,H295,H297,H299,H301,H303,H305,H307,H309,H311,H313,H315,H317,H319,H321,H323,H325,H327)</f>
        <v>0</v>
      </c>
      <c r="I268" s="119">
        <f t="shared" si="3"/>
        <v>0</v>
      </c>
      <c r="J268" s="119">
        <f t="shared" si="3"/>
        <v>0</v>
      </c>
      <c r="K268" s="119">
        <f t="shared" si="3"/>
        <v>0</v>
      </c>
      <c r="L268" s="119">
        <f t="shared" si="3"/>
        <v>0</v>
      </c>
      <c r="M268" s="119">
        <f t="shared" si="3"/>
        <v>0</v>
      </c>
      <c r="N268" s="119">
        <f t="shared" si="3"/>
        <v>0</v>
      </c>
      <c r="O268" s="119">
        <f t="shared" si="3"/>
        <v>0</v>
      </c>
      <c r="P268" s="119">
        <f t="shared" si="3"/>
        <v>0</v>
      </c>
      <c r="Q268" s="119">
        <f t="shared" si="3"/>
        <v>0</v>
      </c>
      <c r="R268" s="104"/>
      <c r="S268" s="104"/>
      <c r="T268" s="104"/>
      <c r="U268" s="104"/>
      <c r="V268" s="104"/>
      <c r="W268" s="104"/>
      <c r="X268" s="104"/>
      <c r="Y268" s="104"/>
      <c r="Z268" s="104"/>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4"/>
      <c r="BK268" s="224"/>
    </row>
    <row r="269" spans="1:63" hidden="1" outlineLevel="1">
      <c r="A269" s="9"/>
      <c r="B269" s="44"/>
      <c r="C269" s="271" t="str">
        <f>Asset1</f>
        <v>Subtransmission</v>
      </c>
      <c r="D269" s="9"/>
      <c r="E269" s="9"/>
      <c r="F269" s="143"/>
      <c r="G269" s="206"/>
      <c r="H269" s="115">
        <f>($G237+(SUM($G269:G269)))*H$7</f>
        <v>0</v>
      </c>
      <c r="I269" s="115">
        <f>($G237+(SUM($G269:H269)))*I$7</f>
        <v>0</v>
      </c>
      <c r="J269" s="115">
        <f>($G237+(SUM($G269:I269)))*J$7</f>
        <v>0</v>
      </c>
      <c r="K269" s="115">
        <f>($G237+(SUM($G269:J269)))*K$7</f>
        <v>0</v>
      </c>
      <c r="L269" s="115">
        <f>($G237+(SUM($G269:K269)))*L$7</f>
        <v>0</v>
      </c>
      <c r="M269" s="115">
        <f>IF(COUNT($H269:L269)&gt;=Input!$Y$7,0,($G237+(SUM($G269:L269)))*M$7)</f>
        <v>0</v>
      </c>
      <c r="N269" s="115">
        <f>IF(COUNT($H269:M269)&gt;=Input!$Y$7,0,($G237+(SUM($G269:M269)))*N$7)</f>
        <v>0</v>
      </c>
      <c r="O269" s="115">
        <f>IF(COUNT($H269:N269)&gt;=Input!$Y$7,0,($G237+(SUM($G269:N269)))*O$7)</f>
        <v>0</v>
      </c>
      <c r="P269" s="115">
        <f>IF(COUNT($H269:O269)&gt;=Input!$Y$7,0,($G237+(SUM($G269:O269)))*P$7)</f>
        <v>0</v>
      </c>
      <c r="Q269" s="115">
        <f>IF(COUNT($H269:P269)&gt;=Input!$Y$7,0,($G237+(SUM($G269:P269)))*Q$7)</f>
        <v>0</v>
      </c>
      <c r="R269" s="104"/>
      <c r="S269" s="104"/>
      <c r="T269" s="104"/>
      <c r="U269" s="104"/>
      <c r="V269" s="104"/>
      <c r="W269" s="104"/>
      <c r="X269" s="104"/>
      <c r="Y269" s="104"/>
      <c r="Z269" s="104"/>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4"/>
      <c r="BK269" s="224"/>
    </row>
    <row r="270" spans="1:63" hidden="1" outlineLevel="1">
      <c r="A270" s="9"/>
      <c r="B270" s="44"/>
      <c r="C270" s="283" t="s">
        <v>6</v>
      </c>
      <c r="D270" s="9"/>
      <c r="E270" s="9"/>
      <c r="F270" s="143"/>
      <c r="G270" s="206"/>
      <c r="H270" s="115"/>
      <c r="I270" s="115"/>
      <c r="J270" s="115"/>
      <c r="K270" s="115"/>
      <c r="L270" s="115">
        <f>IF(COUNT($H269:L269)=Input!$Y$7, SUM($G269:L269), 0)</f>
        <v>0</v>
      </c>
      <c r="M270" s="115">
        <f>IF(COUNT($H269:M269)=Input!$Y$7, SUM($G269:M269), 0)</f>
        <v>0</v>
      </c>
      <c r="N270" s="115">
        <f>IF(COUNT($H269:N269)=Input!$Y$7, SUM($G269:N269), 0)</f>
        <v>0</v>
      </c>
      <c r="O270" s="115">
        <f>IF(COUNT($H269:O269)=Input!$Y$7, SUM($G269:O269), 0)</f>
        <v>0</v>
      </c>
      <c r="P270" s="115">
        <f>IF(COUNT($H269:P269)=Input!$Y$7, SUM($G269:P269), 0)</f>
        <v>0</v>
      </c>
      <c r="Q270" s="115">
        <f>IF(COUNT($H269:Q269)=Input!$Y$7, SUM($G269:Q269), 0)</f>
        <v>0</v>
      </c>
      <c r="R270" s="104"/>
      <c r="S270" s="104"/>
      <c r="T270" s="104"/>
      <c r="U270" s="104"/>
      <c r="V270" s="104"/>
      <c r="W270" s="104"/>
      <c r="X270" s="104"/>
      <c r="Y270" s="104"/>
      <c r="Z270" s="104"/>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4"/>
      <c r="BK270" s="224"/>
    </row>
    <row r="271" spans="1:63" hidden="1" outlineLevel="1">
      <c r="A271" s="9"/>
      <c r="B271" s="44"/>
      <c r="C271" s="271" t="str">
        <f>Asset2</f>
        <v>Distribution system assets</v>
      </c>
      <c r="D271" s="9"/>
      <c r="E271" s="9"/>
      <c r="F271" s="143"/>
      <c r="G271" s="206"/>
      <c r="H271" s="115">
        <f>($G238+(SUM($G271:G271)))*H$7</f>
        <v>0</v>
      </c>
      <c r="I271" s="115">
        <f>($G238+(SUM($G271:H271)))*I$7</f>
        <v>0</v>
      </c>
      <c r="J271" s="115">
        <f>($G238+(SUM($G271:I271)))*J$7</f>
        <v>0</v>
      </c>
      <c r="K271" s="115">
        <f>($G238+(SUM($G271:J271)))*K$7</f>
        <v>0</v>
      </c>
      <c r="L271" s="115">
        <f>($G238+(SUM($G271:K271)))*L$7</f>
        <v>0</v>
      </c>
      <c r="M271" s="115">
        <f>IF(COUNT($H271:L271)&gt;=Input!$Y$7,0,($G238+(SUM($G271:L271)))*M$7)</f>
        <v>0</v>
      </c>
      <c r="N271" s="115">
        <f>IF(COUNT($H271:M271)&gt;=Input!$Y$7,0,($G238+(SUM($G271:M271)))*N$7)</f>
        <v>0</v>
      </c>
      <c r="O271" s="115">
        <f>IF(COUNT($H271:N271)&gt;=Input!$Y$7,0,($G238+(SUM($G271:N271)))*O$7)</f>
        <v>0</v>
      </c>
      <c r="P271" s="115">
        <f>IF(COUNT($H271:O271)&gt;=Input!$Y$7,0,($G238+(SUM($G271:O271)))*P$7)</f>
        <v>0</v>
      </c>
      <c r="Q271" s="115">
        <f>IF(COUNT($H271:P271)&gt;=Input!$Y$7,0,($G238+(SUM($G271:P271)))*Q$7)</f>
        <v>0</v>
      </c>
      <c r="R271" s="104"/>
      <c r="S271" s="104"/>
      <c r="T271" s="104"/>
      <c r="U271" s="104"/>
      <c r="V271" s="104"/>
      <c r="W271" s="104"/>
      <c r="X271" s="104"/>
      <c r="Y271" s="104"/>
      <c r="Z271" s="104"/>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4"/>
      <c r="BK271" s="224"/>
    </row>
    <row r="272" spans="1:63" hidden="1" outlineLevel="1">
      <c r="A272" s="9"/>
      <c r="B272" s="44"/>
      <c r="C272" s="283" t="s">
        <v>6</v>
      </c>
      <c r="D272" s="9"/>
      <c r="E272" s="9"/>
      <c r="F272" s="143"/>
      <c r="G272" s="206"/>
      <c r="H272" s="115"/>
      <c r="I272" s="115"/>
      <c r="J272" s="115"/>
      <c r="K272" s="115"/>
      <c r="L272" s="115">
        <f>IF(COUNT($H271:L271)=Input!$Y$7, SUM($G271:L271), 0)</f>
        <v>0</v>
      </c>
      <c r="M272" s="115">
        <f>IF(COUNT($H271:M271)=Input!$Y$7, SUM($G271:M271), 0)</f>
        <v>0</v>
      </c>
      <c r="N272" s="115">
        <f>IF(COUNT($H271:N271)=Input!$Y$7, SUM($G271:N271), 0)</f>
        <v>0</v>
      </c>
      <c r="O272" s="115">
        <f>IF(COUNT($H271:O271)=Input!$Y$7, SUM($G271:O271), 0)</f>
        <v>0</v>
      </c>
      <c r="P272" s="115">
        <f>IF(COUNT($H271:P271)=Input!$Y$7, SUM($G271:P271), 0)</f>
        <v>0</v>
      </c>
      <c r="Q272" s="115">
        <f>IF(COUNT($H271:Q271)=Input!$Y$7, SUM($G271:Q271), 0)</f>
        <v>0</v>
      </c>
      <c r="R272" s="104"/>
      <c r="S272" s="104"/>
      <c r="T272" s="104"/>
      <c r="U272" s="104"/>
      <c r="V272" s="104"/>
      <c r="W272" s="104"/>
      <c r="X272" s="104"/>
      <c r="Y272" s="104"/>
      <c r="Z272" s="104"/>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4"/>
      <c r="BK272" s="224"/>
    </row>
    <row r="273" spans="1:63" hidden="1" outlineLevel="1">
      <c r="A273" s="9"/>
      <c r="B273" s="44"/>
      <c r="C273" s="271" t="str">
        <f>Asset3</f>
        <v>Standard metering</v>
      </c>
      <c r="D273" s="9"/>
      <c r="E273" s="9"/>
      <c r="F273" s="143"/>
      <c r="G273" s="206"/>
      <c r="H273" s="115">
        <f>($G239+(SUM($G273:G273)))*H$7</f>
        <v>0</v>
      </c>
      <c r="I273" s="115">
        <f>($G239+(SUM($G273:H273)))*I$7</f>
        <v>0</v>
      </c>
      <c r="J273" s="115">
        <f>($G239+(SUM($G273:I273)))*J$7</f>
        <v>0</v>
      </c>
      <c r="K273" s="115">
        <f>($G239+(SUM($G273:J273)))*K$7</f>
        <v>0</v>
      </c>
      <c r="L273" s="115">
        <f>($G239+(SUM($G273:K273)))*L$7</f>
        <v>0</v>
      </c>
      <c r="M273" s="115">
        <f>IF(COUNT($H273:L273)&gt;=Input!$Y$7,0,($G239+(SUM($G273:L273)))*M$7)</f>
        <v>0</v>
      </c>
      <c r="N273" s="115">
        <f>IF(COUNT($H273:M273)&gt;=Input!$Y$7,0,($G239+(SUM($G273:M273)))*N$7)</f>
        <v>0</v>
      </c>
      <c r="O273" s="115">
        <f>IF(COUNT($H273:N273)&gt;=Input!$Y$7,0,($G239+(SUM($G273:N273)))*O$7)</f>
        <v>0</v>
      </c>
      <c r="P273" s="115">
        <f>IF(COUNT($H273:O273)&gt;=Input!$Y$7,0,($G239+(SUM($G273:O273)))*P$7)</f>
        <v>0</v>
      </c>
      <c r="Q273" s="115">
        <f>IF(COUNT($H273:P273)&gt;=Input!$Y$7,0,($G239+(SUM($G273:P273)))*Q$7)</f>
        <v>0</v>
      </c>
      <c r="R273" s="104"/>
      <c r="S273" s="104"/>
      <c r="T273" s="104"/>
      <c r="U273" s="104"/>
      <c r="V273" s="104"/>
      <c r="W273" s="104"/>
      <c r="X273" s="104"/>
      <c r="Y273" s="104"/>
      <c r="Z273" s="104"/>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4"/>
      <c r="BK273" s="224"/>
    </row>
    <row r="274" spans="1:63" hidden="1" outlineLevel="1">
      <c r="A274" s="9"/>
      <c r="B274" s="44"/>
      <c r="C274" s="283" t="s">
        <v>6</v>
      </c>
      <c r="D274" s="9"/>
      <c r="E274" s="9"/>
      <c r="F274" s="143"/>
      <c r="G274" s="206"/>
      <c r="H274" s="115"/>
      <c r="I274" s="115"/>
      <c r="J274" s="115"/>
      <c r="K274" s="115"/>
      <c r="L274" s="115">
        <f>IF(COUNT($H273:L273)=Input!$Y$7, SUM($G273:L273), 0)</f>
        <v>0</v>
      </c>
      <c r="M274" s="115">
        <f>IF(COUNT($H273:M273)=Input!$Y$7, SUM($G273:M273), 0)</f>
        <v>0</v>
      </c>
      <c r="N274" s="115">
        <f>IF(COUNT($H273:N273)=Input!$Y$7, SUM($G273:N273), 0)</f>
        <v>0</v>
      </c>
      <c r="O274" s="115">
        <f>IF(COUNT($H273:O273)=Input!$Y$7, SUM($G273:O273), 0)</f>
        <v>0</v>
      </c>
      <c r="P274" s="115">
        <f>IF(COUNT($H273:P273)=Input!$Y$7, SUM($G273:P273), 0)</f>
        <v>0</v>
      </c>
      <c r="Q274" s="115">
        <f>IF(COUNT($H273:Q273)=Input!$Y$7, SUM($G273:Q273), 0)</f>
        <v>0</v>
      </c>
      <c r="R274" s="104"/>
      <c r="S274" s="104"/>
      <c r="T274" s="104"/>
      <c r="U274" s="104"/>
      <c r="V274" s="104"/>
      <c r="W274" s="104"/>
      <c r="X274" s="104"/>
      <c r="Y274" s="104"/>
      <c r="Z274" s="104"/>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4"/>
      <c r="BK274" s="224"/>
    </row>
    <row r="275" spans="1:63" hidden="1" outlineLevel="1">
      <c r="A275" s="9"/>
      <c r="B275" s="44"/>
      <c r="C275" s="271" t="str">
        <f>Asset4</f>
        <v>Public lighting</v>
      </c>
      <c r="D275" s="9"/>
      <c r="E275" s="9"/>
      <c r="F275" s="143"/>
      <c r="G275" s="206"/>
      <c r="H275" s="115">
        <f>($G240+(SUM($G275:G275)))*H$7</f>
        <v>0</v>
      </c>
      <c r="I275" s="115">
        <f>($G240+(SUM($G275:H275)))*I$7</f>
        <v>0</v>
      </c>
      <c r="J275" s="115">
        <f>($G240+(SUM($G275:I275)))*J$7</f>
        <v>0</v>
      </c>
      <c r="K275" s="115">
        <f>($G240+(SUM($G275:J275)))*K$7</f>
        <v>0</v>
      </c>
      <c r="L275" s="115">
        <f>($G240+(SUM($G275:K275)))*L$7</f>
        <v>0</v>
      </c>
      <c r="M275" s="115">
        <f>IF(COUNT($H275:L275)&gt;=Input!$Y$7,0,($G240+(SUM($G275:L275)))*M$7)</f>
        <v>0</v>
      </c>
      <c r="N275" s="115">
        <f>IF(COUNT($H275:M275)&gt;=Input!$Y$7,0,($G240+(SUM($G275:M275)))*N$7)</f>
        <v>0</v>
      </c>
      <c r="O275" s="115">
        <f>IF(COUNT($H275:N275)&gt;=Input!$Y$7,0,($G240+(SUM($G275:N275)))*O$7)</f>
        <v>0</v>
      </c>
      <c r="P275" s="115">
        <f>IF(COUNT($H275:O275)&gt;=Input!$Y$7,0,($G240+(SUM($G275:O275)))*P$7)</f>
        <v>0</v>
      </c>
      <c r="Q275" s="115">
        <f>IF(COUNT($H275:P275)&gt;=Input!$Y$7,0,($G240+(SUM($G275:P275)))*Q$7)</f>
        <v>0</v>
      </c>
      <c r="R275" s="104"/>
      <c r="S275" s="104"/>
      <c r="T275" s="104"/>
      <c r="U275" s="104"/>
      <c r="V275" s="104"/>
      <c r="W275" s="104"/>
      <c r="X275" s="104"/>
      <c r="Y275" s="104"/>
      <c r="Z275" s="104"/>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4"/>
      <c r="BK275" s="224"/>
    </row>
    <row r="276" spans="1:63" hidden="1" outlineLevel="1">
      <c r="A276" s="9"/>
      <c r="B276" s="44"/>
      <c r="C276" s="283" t="s">
        <v>6</v>
      </c>
      <c r="D276" s="9"/>
      <c r="E276" s="9"/>
      <c r="F276" s="143"/>
      <c r="G276" s="206"/>
      <c r="H276" s="115"/>
      <c r="I276" s="115"/>
      <c r="J276" s="115"/>
      <c r="K276" s="115"/>
      <c r="L276" s="115">
        <f>IF(COUNT($H275:L275)=Input!$Y$7, SUM($G275:L275), 0)</f>
        <v>0</v>
      </c>
      <c r="M276" s="115">
        <f>IF(COUNT($H275:M275)=Input!$Y$7, SUM($G275:M275), 0)</f>
        <v>0</v>
      </c>
      <c r="N276" s="115">
        <f>IF(COUNT($H275:N275)=Input!$Y$7, SUM($G275:N275), 0)</f>
        <v>0</v>
      </c>
      <c r="O276" s="115">
        <f>IF(COUNT($H275:O275)=Input!$Y$7, SUM($G275:O275), 0)</f>
        <v>0</v>
      </c>
      <c r="P276" s="115">
        <f>IF(COUNT($H275:P275)=Input!$Y$7, SUM($G275:P275), 0)</f>
        <v>0</v>
      </c>
      <c r="Q276" s="115">
        <f>IF(COUNT($H275:Q275)=Input!$Y$7, SUM($G275:Q275), 0)</f>
        <v>0</v>
      </c>
      <c r="R276" s="104"/>
      <c r="S276" s="104"/>
      <c r="T276" s="104"/>
      <c r="U276" s="104"/>
      <c r="V276" s="104"/>
      <c r="W276" s="104"/>
      <c r="X276" s="104"/>
      <c r="Y276" s="104"/>
      <c r="Z276" s="104"/>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4"/>
      <c r="BK276" s="224"/>
    </row>
    <row r="277" spans="1:63" hidden="1" outlineLevel="1">
      <c r="A277" s="9"/>
      <c r="B277" s="44"/>
      <c r="C277" s="271" t="str">
        <f>Asset5</f>
        <v>SCADA/Network control</v>
      </c>
      <c r="D277" s="9"/>
      <c r="E277" s="9"/>
      <c r="F277" s="143"/>
      <c r="G277" s="206"/>
      <c r="H277" s="115">
        <f>($G241+(SUM($G277:G277)))*H$7</f>
        <v>0</v>
      </c>
      <c r="I277" s="115">
        <f>($G241+(SUM($G277:H277)))*I$7</f>
        <v>0</v>
      </c>
      <c r="J277" s="115">
        <f>($G241+(SUM($G277:I277)))*J$7</f>
        <v>0</v>
      </c>
      <c r="K277" s="115">
        <f>($G241+(SUM($G277:J277)))*K$7</f>
        <v>0</v>
      </c>
      <c r="L277" s="115">
        <f>($G241+(SUM($G277:K277)))*L$7</f>
        <v>0</v>
      </c>
      <c r="M277" s="115">
        <f>IF(COUNT($H277:L277)&gt;=Input!$Y$7,0,($G241+(SUM($G277:L277)))*M$7)</f>
        <v>0</v>
      </c>
      <c r="N277" s="115">
        <f>IF(COUNT($H277:M277)&gt;=Input!$Y$7,0,($G241+(SUM($G277:M277)))*N$7)</f>
        <v>0</v>
      </c>
      <c r="O277" s="115">
        <f>IF(COUNT($H277:N277)&gt;=Input!$Y$7,0,($G241+(SUM($G277:N277)))*O$7)</f>
        <v>0</v>
      </c>
      <c r="P277" s="115">
        <f>IF(COUNT($H277:O277)&gt;=Input!$Y$7,0,($G241+(SUM($G277:O277)))*P$7)</f>
        <v>0</v>
      </c>
      <c r="Q277" s="115">
        <f>IF(COUNT($H277:P277)&gt;=Input!$Y$7,0,($G241+(SUM($G277:P277)))*Q$7)</f>
        <v>0</v>
      </c>
      <c r="R277" s="104"/>
      <c r="S277" s="104"/>
      <c r="T277" s="104"/>
      <c r="U277" s="104"/>
      <c r="V277" s="104"/>
      <c r="W277" s="104"/>
      <c r="X277" s="104"/>
      <c r="Y277" s="104"/>
      <c r="Z277" s="104"/>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4"/>
      <c r="BK277" s="224"/>
    </row>
    <row r="278" spans="1:63" hidden="1" outlineLevel="1">
      <c r="A278" s="9"/>
      <c r="B278" s="44"/>
      <c r="C278" s="283" t="s">
        <v>6</v>
      </c>
      <c r="D278" s="9"/>
      <c r="E278" s="9"/>
      <c r="F278" s="143"/>
      <c r="G278" s="206"/>
      <c r="H278" s="115"/>
      <c r="I278" s="115"/>
      <c r="J278" s="115"/>
      <c r="K278" s="115"/>
      <c r="L278" s="115">
        <f>IF(COUNT($H277:L277)=Input!$Y$7, SUM($G277:L277), 0)</f>
        <v>0</v>
      </c>
      <c r="M278" s="115">
        <f>IF(COUNT($H277:M277)=Input!$Y$7, SUM($G277:M277), 0)</f>
        <v>0</v>
      </c>
      <c r="N278" s="115">
        <f>IF(COUNT($H277:N277)=Input!$Y$7, SUM($G277:N277), 0)</f>
        <v>0</v>
      </c>
      <c r="O278" s="115">
        <f>IF(COUNT($H277:O277)=Input!$Y$7, SUM($G277:O277), 0)</f>
        <v>0</v>
      </c>
      <c r="P278" s="115">
        <f>IF(COUNT($H277:P277)=Input!$Y$7, SUM($G277:P277), 0)</f>
        <v>0</v>
      </c>
      <c r="Q278" s="115">
        <f>IF(COUNT($H277:Q277)=Input!$Y$7, SUM($G277:Q277), 0)</f>
        <v>0</v>
      </c>
      <c r="R278" s="104"/>
      <c r="S278" s="104"/>
      <c r="T278" s="104"/>
      <c r="U278" s="104"/>
      <c r="V278" s="104"/>
      <c r="W278" s="104"/>
      <c r="X278" s="104"/>
      <c r="Y278" s="104"/>
      <c r="Z278" s="104"/>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4"/>
      <c r="BK278" s="224"/>
    </row>
    <row r="279" spans="1:63" hidden="1" outlineLevel="1">
      <c r="A279" s="9"/>
      <c r="B279" s="44"/>
      <c r="C279" s="271" t="str">
        <f>Asset6</f>
        <v>Non-network general assets - IT</v>
      </c>
      <c r="D279" s="9"/>
      <c r="E279" s="9"/>
      <c r="F279" s="143"/>
      <c r="G279" s="206"/>
      <c r="H279" s="115">
        <f>($G242+(SUM($G279:G279)))*H$7</f>
        <v>0</v>
      </c>
      <c r="I279" s="115">
        <f>($G242+(SUM($G279:H279)))*I$7</f>
        <v>0</v>
      </c>
      <c r="J279" s="115">
        <f>($G242+(SUM($G279:I279)))*J$7</f>
        <v>0</v>
      </c>
      <c r="K279" s="115">
        <f>($G242+(SUM($G279:J279)))*K$7</f>
        <v>0</v>
      </c>
      <c r="L279" s="115">
        <f>($G242+(SUM($G279:K279)))*L$7</f>
        <v>0</v>
      </c>
      <c r="M279" s="115">
        <f>IF(COUNT($H279:L279)&gt;=Input!$Y$7,0,($G242+(SUM($G279:L279)))*M$7)</f>
        <v>0</v>
      </c>
      <c r="N279" s="115">
        <f>IF(COUNT($H279:M279)&gt;=Input!$Y$7,0,($G242+(SUM($G279:M279)))*N$7)</f>
        <v>0</v>
      </c>
      <c r="O279" s="115">
        <f>IF(COUNT($H279:N279)&gt;=Input!$Y$7,0,($G242+(SUM($G279:N279)))*O$7)</f>
        <v>0</v>
      </c>
      <c r="P279" s="115">
        <f>IF(COUNT($H279:O279)&gt;=Input!$Y$7,0,($G242+(SUM($G279:O279)))*P$7)</f>
        <v>0</v>
      </c>
      <c r="Q279" s="115">
        <f>IF(COUNT($H279:P279)&gt;=Input!$Y$7,0,($G242+(SUM($G279:P279)))*Q$7)</f>
        <v>0</v>
      </c>
      <c r="R279" s="104"/>
      <c r="S279" s="104"/>
      <c r="T279" s="104"/>
      <c r="U279" s="104"/>
      <c r="V279" s="104"/>
      <c r="W279" s="104"/>
      <c r="X279" s="104"/>
      <c r="Y279" s="104"/>
      <c r="Z279" s="104"/>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4"/>
      <c r="BK279" s="224"/>
    </row>
    <row r="280" spans="1:63" hidden="1" outlineLevel="1">
      <c r="A280" s="9"/>
      <c r="B280" s="44"/>
      <c r="C280" s="283" t="s">
        <v>6</v>
      </c>
      <c r="D280" s="9"/>
      <c r="E280" s="9"/>
      <c r="F280" s="143"/>
      <c r="G280" s="206"/>
      <c r="H280" s="115"/>
      <c r="I280" s="115"/>
      <c r="J280" s="115"/>
      <c r="K280" s="115"/>
      <c r="L280" s="115">
        <f>IF(COUNT($H279:L279)=Input!$Y$7, SUM($G279:L279), 0)</f>
        <v>0</v>
      </c>
      <c r="M280" s="115">
        <f>IF(COUNT($H279:M279)=Input!$Y$7, SUM($G279:M279), 0)</f>
        <v>0</v>
      </c>
      <c r="N280" s="115">
        <f>IF(COUNT($H279:N279)=Input!$Y$7, SUM($G279:N279), 0)</f>
        <v>0</v>
      </c>
      <c r="O280" s="115">
        <f>IF(COUNT($H279:O279)=Input!$Y$7, SUM($G279:O279), 0)</f>
        <v>0</v>
      </c>
      <c r="P280" s="115">
        <f>IF(COUNT($H279:P279)=Input!$Y$7, SUM($G279:P279), 0)</f>
        <v>0</v>
      </c>
      <c r="Q280" s="115">
        <f>IF(COUNT($H279:Q279)=Input!$Y$7, SUM($G279:Q279), 0)</f>
        <v>0</v>
      </c>
      <c r="R280" s="104"/>
      <c r="S280" s="104"/>
      <c r="T280" s="104"/>
      <c r="U280" s="104"/>
      <c r="V280" s="104"/>
      <c r="W280" s="104"/>
      <c r="X280" s="104"/>
      <c r="Y280" s="104"/>
      <c r="Z280" s="104"/>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4"/>
      <c r="BK280" s="224"/>
    </row>
    <row r="281" spans="1:63" hidden="1" outlineLevel="1">
      <c r="A281" s="9"/>
      <c r="B281" s="44"/>
      <c r="C281" s="271" t="str">
        <f>Asset7</f>
        <v>Non-network general assets - Other</v>
      </c>
      <c r="D281" s="9"/>
      <c r="E281" s="9"/>
      <c r="F281" s="143"/>
      <c r="G281" s="206"/>
      <c r="H281" s="115">
        <f>($G243+(SUM($G281:G281)))*H$7</f>
        <v>0</v>
      </c>
      <c r="I281" s="115">
        <f>($G243+(SUM($G281:H281)))*I$7</f>
        <v>0</v>
      </c>
      <c r="J281" s="115">
        <f>($G243+(SUM($G281:I281)))*J$7</f>
        <v>0</v>
      </c>
      <c r="K281" s="115">
        <f>($G243+(SUM($G281:J281)))*K$7</f>
        <v>0</v>
      </c>
      <c r="L281" s="115">
        <f>($G243+(SUM($G281:K281)))*L$7</f>
        <v>0</v>
      </c>
      <c r="M281" s="115">
        <f>IF(COUNT($H281:L281)&gt;=Input!$Y$7,0,($G243+(SUM($G281:L281)))*M$7)</f>
        <v>0</v>
      </c>
      <c r="N281" s="115">
        <f>IF(COUNT($H281:M281)&gt;=Input!$Y$7,0,($G243+(SUM($G281:M281)))*N$7)</f>
        <v>0</v>
      </c>
      <c r="O281" s="115">
        <f>IF(COUNT($H281:N281)&gt;=Input!$Y$7,0,($G243+(SUM($G281:N281)))*O$7)</f>
        <v>0</v>
      </c>
      <c r="P281" s="115">
        <f>IF(COUNT($H281:O281)&gt;=Input!$Y$7,0,($G243+(SUM($G281:O281)))*P$7)</f>
        <v>0</v>
      </c>
      <c r="Q281" s="115">
        <f>IF(COUNT($H281:P281)&gt;=Input!$Y$7,0,($G243+(SUM($G281:P281)))*Q$7)</f>
        <v>0</v>
      </c>
      <c r="R281" s="104"/>
      <c r="S281" s="104"/>
      <c r="T281" s="104"/>
      <c r="U281" s="104"/>
      <c r="V281" s="104"/>
      <c r="W281" s="104"/>
      <c r="X281" s="104"/>
      <c r="Y281" s="104"/>
      <c r="Z281" s="104"/>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4"/>
      <c r="BK281" s="224"/>
    </row>
    <row r="282" spans="1:63" hidden="1" outlineLevel="1">
      <c r="A282" s="9"/>
      <c r="B282" s="44"/>
      <c r="C282" s="283" t="s">
        <v>6</v>
      </c>
      <c r="D282" s="9"/>
      <c r="E282" s="9"/>
      <c r="F282" s="143"/>
      <c r="G282" s="206"/>
      <c r="H282" s="115"/>
      <c r="I282" s="115"/>
      <c r="J282" s="115"/>
      <c r="K282" s="115"/>
      <c r="L282" s="115">
        <f>IF(COUNT($H281:L281)=Input!$Y$7, SUM($G281:L281), 0)</f>
        <v>0</v>
      </c>
      <c r="M282" s="115">
        <f>IF(COUNT($H281:M281)=Input!$Y$7, SUM($G281:M281), 0)</f>
        <v>0</v>
      </c>
      <c r="N282" s="115">
        <f>IF(COUNT($H281:N281)=Input!$Y$7, SUM($G281:N281), 0)</f>
        <v>0</v>
      </c>
      <c r="O282" s="115">
        <f>IF(COUNT($H281:O281)=Input!$Y$7, SUM($G281:O281), 0)</f>
        <v>0</v>
      </c>
      <c r="P282" s="115">
        <f>IF(COUNT($H281:P281)=Input!$Y$7, SUM($G281:P281), 0)</f>
        <v>0</v>
      </c>
      <c r="Q282" s="115">
        <f>IF(COUNT($H281:Q281)=Input!$Y$7, SUM($G281:Q281), 0)</f>
        <v>0</v>
      </c>
      <c r="R282" s="104"/>
      <c r="S282" s="104"/>
      <c r="T282" s="104"/>
      <c r="U282" s="104"/>
      <c r="V282" s="104"/>
      <c r="W282" s="104"/>
      <c r="X282" s="104"/>
      <c r="Y282" s="104"/>
      <c r="Z282" s="104"/>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4"/>
      <c r="BK282" s="224"/>
    </row>
    <row r="283" spans="1:63" hidden="1" outlineLevel="1">
      <c r="A283" s="9"/>
      <c r="B283" s="44"/>
      <c r="C283" s="271" t="str">
        <f>Asset8</f>
        <v>Equity Raising Costs</v>
      </c>
      <c r="D283" s="9"/>
      <c r="E283" s="9"/>
      <c r="F283" s="143"/>
      <c r="G283" s="206"/>
      <c r="H283" s="115">
        <f>($G244+(SUM($G283:G283)))*H$7</f>
        <v>0</v>
      </c>
      <c r="I283" s="115">
        <f>($G244+(SUM($G283:H283)))*I$7</f>
        <v>0</v>
      </c>
      <c r="J283" s="115">
        <f>($G244+(SUM($G283:I283)))*J$7</f>
        <v>0</v>
      </c>
      <c r="K283" s="115">
        <f>($G244+(SUM($G283:J283)))*K$7</f>
        <v>0</v>
      </c>
      <c r="L283" s="115">
        <f>($G244+(SUM($G283:K283)))*L$7</f>
        <v>0</v>
      </c>
      <c r="M283" s="115">
        <f>IF(COUNT($H283:L283)&gt;=Input!$Y$7,0,($G244+(SUM($G283:L283)))*M$7)</f>
        <v>0</v>
      </c>
      <c r="N283" s="115">
        <f>IF(COUNT($H283:M283)&gt;=Input!$Y$7,0,($G244+(SUM($G283:M283)))*N$7)</f>
        <v>0</v>
      </c>
      <c r="O283" s="115">
        <f>IF(COUNT($H283:N283)&gt;=Input!$Y$7,0,($G244+(SUM($G283:N283)))*O$7)</f>
        <v>0</v>
      </c>
      <c r="P283" s="115">
        <f>IF(COUNT($H283:O283)&gt;=Input!$Y$7,0,($G244+(SUM($G283:O283)))*P$7)</f>
        <v>0</v>
      </c>
      <c r="Q283" s="115">
        <f>IF(COUNT($H283:P283)&gt;=Input!$Y$7,0,($G244+(SUM($G283:P283)))*Q$7)</f>
        <v>0</v>
      </c>
      <c r="R283" s="104"/>
      <c r="S283" s="104"/>
      <c r="T283" s="104"/>
      <c r="U283" s="104"/>
      <c r="V283" s="104"/>
      <c r="W283" s="104"/>
      <c r="X283" s="104"/>
      <c r="Y283" s="104"/>
      <c r="Z283" s="104"/>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4"/>
      <c r="BK283" s="224"/>
    </row>
    <row r="284" spans="1:63" hidden="1" outlineLevel="1">
      <c r="A284" s="9"/>
      <c r="B284" s="44"/>
      <c r="C284" s="283" t="s">
        <v>6</v>
      </c>
      <c r="D284" s="9"/>
      <c r="E284" s="9"/>
      <c r="F284" s="143"/>
      <c r="G284" s="206"/>
      <c r="H284" s="115"/>
      <c r="I284" s="115"/>
      <c r="J284" s="115"/>
      <c r="K284" s="115"/>
      <c r="L284" s="115">
        <f>IF(COUNT($H283:L283)=Input!$Y$7, SUM($G283:L283), 0)</f>
        <v>0</v>
      </c>
      <c r="M284" s="115">
        <f>IF(COUNT($H283:M283)=Input!$Y$7, SUM($G283:M283), 0)</f>
        <v>0</v>
      </c>
      <c r="N284" s="115">
        <f>IF(COUNT($H283:N283)=Input!$Y$7, SUM($G283:N283), 0)</f>
        <v>0</v>
      </c>
      <c r="O284" s="115">
        <f>IF(COUNT($H283:O283)=Input!$Y$7, SUM($G283:O283), 0)</f>
        <v>0</v>
      </c>
      <c r="P284" s="115">
        <f>IF(COUNT($H283:P283)=Input!$Y$7, SUM($G283:P283), 0)</f>
        <v>0</v>
      </c>
      <c r="Q284" s="115">
        <f>IF(COUNT($H283:Q283)=Input!$Y$7, SUM($G283:Q283), 0)</f>
        <v>0</v>
      </c>
      <c r="R284" s="104"/>
      <c r="S284" s="104"/>
      <c r="T284" s="104"/>
      <c r="U284" s="104"/>
      <c r="V284" s="104"/>
      <c r="W284" s="104"/>
      <c r="X284" s="104"/>
      <c r="Y284" s="104"/>
      <c r="Z284" s="104"/>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4"/>
      <c r="BK284" s="224"/>
    </row>
    <row r="285" spans="1:63" hidden="1" outlineLevel="1">
      <c r="A285" s="9"/>
      <c r="B285" s="44"/>
      <c r="C285" s="271">
        <f>Asset9</f>
        <v>0</v>
      </c>
      <c r="D285" s="9"/>
      <c r="E285" s="9"/>
      <c r="F285" s="143"/>
      <c r="G285" s="206"/>
      <c r="H285" s="115">
        <f>($G245+(SUM($G285:G285)))*H$7</f>
        <v>0</v>
      </c>
      <c r="I285" s="115">
        <f>($G245+(SUM($G285:H285)))*I$7</f>
        <v>0</v>
      </c>
      <c r="J285" s="115">
        <f>($G245+(SUM($G285:I285)))*J$7</f>
        <v>0</v>
      </c>
      <c r="K285" s="115">
        <f>($G245+(SUM($G285:J285)))*K$7</f>
        <v>0</v>
      </c>
      <c r="L285" s="115">
        <f>($G245+(SUM($G285:K285)))*L$7</f>
        <v>0</v>
      </c>
      <c r="M285" s="115">
        <f>IF(COUNT($H285:L285)&gt;=Input!$Y$7,0,($G245+(SUM($G285:L285)))*M$7)</f>
        <v>0</v>
      </c>
      <c r="N285" s="115">
        <f>IF(COUNT($H285:M285)&gt;=Input!$Y$7,0,($G245+(SUM($G285:M285)))*N$7)</f>
        <v>0</v>
      </c>
      <c r="O285" s="115">
        <f>IF(COUNT($H285:N285)&gt;=Input!$Y$7,0,($G245+(SUM($G285:N285)))*O$7)</f>
        <v>0</v>
      </c>
      <c r="P285" s="115">
        <f>IF(COUNT($H285:O285)&gt;=Input!$Y$7,0,($G245+(SUM($G285:O285)))*P$7)</f>
        <v>0</v>
      </c>
      <c r="Q285" s="115">
        <f>IF(COUNT($H285:P285)&gt;=Input!$Y$7,0,($G245+(SUM($G285:P285)))*Q$7)</f>
        <v>0</v>
      </c>
      <c r="R285" s="104"/>
      <c r="S285" s="104"/>
      <c r="T285" s="104"/>
      <c r="U285" s="104"/>
      <c r="V285" s="104"/>
      <c r="W285" s="104"/>
      <c r="X285" s="104"/>
      <c r="Y285" s="104"/>
      <c r="Z285" s="104"/>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4"/>
      <c r="BK285" s="224"/>
    </row>
    <row r="286" spans="1:63" hidden="1" outlineLevel="1">
      <c r="A286" s="9"/>
      <c r="B286" s="44"/>
      <c r="C286" s="283" t="s">
        <v>6</v>
      </c>
      <c r="D286" s="9"/>
      <c r="E286" s="9"/>
      <c r="F286" s="143"/>
      <c r="G286" s="206"/>
      <c r="H286" s="115"/>
      <c r="I286" s="115"/>
      <c r="J286" s="115"/>
      <c r="K286" s="115"/>
      <c r="L286" s="115">
        <f>IF(COUNT($H285:L285)=Input!$Y$7, SUM($G285:L285), 0)</f>
        <v>0</v>
      </c>
      <c r="M286" s="115">
        <f>IF(COUNT($H285:M285)=Input!$Y$7, SUM($G285:M285), 0)</f>
        <v>0</v>
      </c>
      <c r="N286" s="115">
        <f>IF(COUNT($H285:N285)=Input!$Y$7, SUM($G285:N285), 0)</f>
        <v>0</v>
      </c>
      <c r="O286" s="115">
        <f>IF(COUNT($H285:O285)=Input!$Y$7, SUM($G285:O285), 0)</f>
        <v>0</v>
      </c>
      <c r="P286" s="115">
        <f>IF(COUNT($H285:P285)=Input!$Y$7, SUM($G285:P285), 0)</f>
        <v>0</v>
      </c>
      <c r="Q286" s="115">
        <f>IF(COUNT($H285:Q285)=Input!$Y$7, SUM($G285:Q285), 0)</f>
        <v>0</v>
      </c>
      <c r="R286" s="104"/>
      <c r="S286" s="104"/>
      <c r="T286" s="104"/>
      <c r="U286" s="104"/>
      <c r="V286" s="104"/>
      <c r="W286" s="104"/>
      <c r="X286" s="104"/>
      <c r="Y286" s="104"/>
      <c r="Z286" s="104"/>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4"/>
      <c r="BK286" s="224"/>
    </row>
    <row r="287" spans="1:63" hidden="1" outlineLevel="1">
      <c r="A287" s="9"/>
      <c r="B287" s="44"/>
      <c r="C287" s="271">
        <f>Asset10</f>
        <v>0</v>
      </c>
      <c r="D287" s="9"/>
      <c r="E287" s="9"/>
      <c r="F287" s="143"/>
      <c r="G287" s="206"/>
      <c r="H287" s="115">
        <f>($G246+(SUM($G287:G287)))*H$7</f>
        <v>0</v>
      </c>
      <c r="I287" s="115">
        <f>($G246+(SUM($G287:H287)))*I$7</f>
        <v>0</v>
      </c>
      <c r="J287" s="115">
        <f>($G246+(SUM($G287:I287)))*J$7</f>
        <v>0</v>
      </c>
      <c r="K287" s="115">
        <f>($G246+(SUM($G287:J287)))*K$7</f>
        <v>0</v>
      </c>
      <c r="L287" s="115">
        <f>($G246+(SUM($G287:K287)))*L$7</f>
        <v>0</v>
      </c>
      <c r="M287" s="115">
        <f>IF(COUNT($H287:L287)&gt;=Input!$Y$7,0,($G246+(SUM($G287:L287)))*M$7)</f>
        <v>0</v>
      </c>
      <c r="N287" s="115">
        <f>IF(COUNT($H287:M287)&gt;=Input!$Y$7,0,($G246+(SUM($G287:M287)))*N$7)</f>
        <v>0</v>
      </c>
      <c r="O287" s="115">
        <f>IF(COUNT($H287:N287)&gt;=Input!$Y$7,0,($G246+(SUM($G287:N287)))*O$7)</f>
        <v>0</v>
      </c>
      <c r="P287" s="115">
        <f>IF(COUNT($H287:O287)&gt;=Input!$Y$7,0,($G246+(SUM($G287:O287)))*P$7)</f>
        <v>0</v>
      </c>
      <c r="Q287" s="115">
        <f>IF(COUNT($H287:P287)&gt;=Input!$Y$7,0,($G246+(SUM($G287:P287)))*Q$7)</f>
        <v>0</v>
      </c>
      <c r="R287" s="104"/>
      <c r="S287" s="104"/>
      <c r="T287" s="104"/>
      <c r="U287" s="104"/>
      <c r="V287" s="104"/>
      <c r="W287" s="104"/>
      <c r="X287" s="104"/>
      <c r="Y287" s="104"/>
      <c r="Z287" s="104"/>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4"/>
      <c r="BK287" s="224"/>
    </row>
    <row r="288" spans="1:63" hidden="1" outlineLevel="1">
      <c r="A288" s="9"/>
      <c r="B288" s="44"/>
      <c r="C288" s="283" t="s">
        <v>6</v>
      </c>
      <c r="D288" s="9"/>
      <c r="E288" s="9"/>
      <c r="F288" s="143"/>
      <c r="G288" s="206"/>
      <c r="H288" s="115"/>
      <c r="I288" s="115"/>
      <c r="J288" s="115"/>
      <c r="K288" s="115"/>
      <c r="L288" s="115">
        <f>IF(COUNT($H287:L287)=Input!$Y$7, SUM($G287:L287), 0)</f>
        <v>0</v>
      </c>
      <c r="M288" s="115">
        <f>IF(COUNT($H287:M287)=Input!$Y$7, SUM($G287:M287), 0)</f>
        <v>0</v>
      </c>
      <c r="N288" s="115">
        <f>IF(COUNT($H287:N287)=Input!$Y$7, SUM($G287:N287), 0)</f>
        <v>0</v>
      </c>
      <c r="O288" s="115">
        <f>IF(COUNT($H287:O287)=Input!$Y$7, SUM($G287:O287), 0)</f>
        <v>0</v>
      </c>
      <c r="P288" s="115">
        <f>IF(COUNT($H287:P287)=Input!$Y$7, SUM($G287:P287), 0)</f>
        <v>0</v>
      </c>
      <c r="Q288" s="115">
        <f>IF(COUNT($H287:Q287)=Input!$Y$7, SUM($G287:Q287), 0)</f>
        <v>0</v>
      </c>
      <c r="R288" s="104"/>
      <c r="S288" s="104"/>
      <c r="T288" s="104"/>
      <c r="U288" s="104"/>
      <c r="V288" s="104"/>
      <c r="W288" s="104"/>
      <c r="X288" s="104"/>
      <c r="Y288" s="104"/>
      <c r="Z288" s="104"/>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4"/>
      <c r="BK288" s="224"/>
    </row>
    <row r="289" spans="1:63" hidden="1" outlineLevel="1">
      <c r="A289" s="9"/>
      <c r="B289" s="44"/>
      <c r="C289" s="271">
        <f>Asset11</f>
        <v>0</v>
      </c>
      <c r="D289" s="9"/>
      <c r="E289" s="9"/>
      <c r="F289" s="143"/>
      <c r="G289" s="206"/>
      <c r="H289" s="115">
        <f>($G247+(SUM($G289:G289)))*H$7</f>
        <v>0</v>
      </c>
      <c r="I289" s="115">
        <f>($G247+(SUM($G289:H289)))*I$7</f>
        <v>0</v>
      </c>
      <c r="J289" s="115">
        <f>($G247+(SUM($G289:I289)))*J$7</f>
        <v>0</v>
      </c>
      <c r="K289" s="115">
        <f>($G247+(SUM($G289:J289)))*K$7</f>
        <v>0</v>
      </c>
      <c r="L289" s="115">
        <f>($G247+(SUM($G289:K289)))*L$7</f>
        <v>0</v>
      </c>
      <c r="M289" s="115">
        <f>IF(COUNT($H289:L289)&gt;=Input!$Y$7,0,($G247+(SUM($G289:L289)))*M$7)</f>
        <v>0</v>
      </c>
      <c r="N289" s="115">
        <f>IF(COUNT($H289:M289)&gt;=Input!$Y$7,0,($G247+(SUM($G289:M289)))*N$7)</f>
        <v>0</v>
      </c>
      <c r="O289" s="115">
        <f>IF(COUNT($H289:N289)&gt;=Input!$Y$7,0,($G247+(SUM($G289:N289)))*O$7)</f>
        <v>0</v>
      </c>
      <c r="P289" s="115">
        <f>IF(COUNT($H289:O289)&gt;=Input!$Y$7,0,($G247+(SUM($G289:O289)))*P$7)</f>
        <v>0</v>
      </c>
      <c r="Q289" s="115">
        <f>IF(COUNT($H289:P289)&gt;=Input!$Y$7,0,($G247+(SUM($G289:P289)))*Q$7)</f>
        <v>0</v>
      </c>
      <c r="R289" s="104"/>
      <c r="S289" s="104"/>
      <c r="T289" s="104"/>
      <c r="U289" s="104"/>
      <c r="V289" s="104"/>
      <c r="W289" s="104"/>
      <c r="X289" s="104"/>
      <c r="Y289" s="104"/>
      <c r="Z289" s="104"/>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4"/>
      <c r="BK289" s="224"/>
    </row>
    <row r="290" spans="1:63" hidden="1" outlineLevel="1">
      <c r="A290" s="9"/>
      <c r="B290" s="44"/>
      <c r="C290" s="283" t="s">
        <v>6</v>
      </c>
      <c r="D290" s="9"/>
      <c r="E290" s="9"/>
      <c r="F290" s="143"/>
      <c r="G290" s="206"/>
      <c r="H290" s="115"/>
      <c r="I290" s="115"/>
      <c r="J290" s="115"/>
      <c r="K290" s="115"/>
      <c r="L290" s="115">
        <f>IF(COUNT($H289:L289)=Input!$Y$7, SUM($G289:L289), 0)</f>
        <v>0</v>
      </c>
      <c r="M290" s="115">
        <f>IF(COUNT($H289:M289)=Input!$Y$7, SUM($G289:M289), 0)</f>
        <v>0</v>
      </c>
      <c r="N290" s="115">
        <f>IF(COUNT($H289:N289)=Input!$Y$7, SUM($G289:N289), 0)</f>
        <v>0</v>
      </c>
      <c r="O290" s="115">
        <f>IF(COUNT($H289:O289)=Input!$Y$7, SUM($G289:O289), 0)</f>
        <v>0</v>
      </c>
      <c r="P290" s="115">
        <f>IF(COUNT($H289:P289)=Input!$Y$7, SUM($G289:P289), 0)</f>
        <v>0</v>
      </c>
      <c r="Q290" s="115">
        <f>IF(COUNT($H289:Q289)=Input!$Y$7, SUM($G289:Q289), 0)</f>
        <v>0</v>
      </c>
      <c r="R290" s="104"/>
      <c r="S290" s="104"/>
      <c r="T290" s="104"/>
      <c r="U290" s="104"/>
      <c r="V290" s="104"/>
      <c r="W290" s="104"/>
      <c r="X290" s="104"/>
      <c r="Y290" s="104"/>
      <c r="Z290" s="104"/>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4"/>
      <c r="BK290" s="224"/>
    </row>
    <row r="291" spans="1:63" hidden="1" outlineLevel="1">
      <c r="A291" s="9"/>
      <c r="B291" s="44"/>
      <c r="C291" s="271">
        <f>Asset12</f>
        <v>0</v>
      </c>
      <c r="D291" s="9"/>
      <c r="E291" s="9"/>
      <c r="F291" s="143"/>
      <c r="G291" s="206"/>
      <c r="H291" s="115">
        <f>($G248+(SUM($G291:G291)))*H$7</f>
        <v>0</v>
      </c>
      <c r="I291" s="115">
        <f>($G248+(SUM($G291:H291)))*I$7</f>
        <v>0</v>
      </c>
      <c r="J291" s="115">
        <f>($G248+(SUM($G291:I291)))*J$7</f>
        <v>0</v>
      </c>
      <c r="K291" s="115">
        <f>($G248+(SUM($G291:J291)))*K$7</f>
        <v>0</v>
      </c>
      <c r="L291" s="115">
        <f>($G248+(SUM($G291:K291)))*L$7</f>
        <v>0</v>
      </c>
      <c r="M291" s="115">
        <f>IF(COUNT($H291:L291)&gt;=Input!$Y$7,0,($G248+(SUM($G291:L291)))*M$7)</f>
        <v>0</v>
      </c>
      <c r="N291" s="115">
        <f>IF(COUNT($H291:M291)&gt;=Input!$Y$7,0,($G248+(SUM($G291:M291)))*N$7)</f>
        <v>0</v>
      </c>
      <c r="O291" s="115">
        <f>IF(COUNT($H291:N291)&gt;=Input!$Y$7,0,($G248+(SUM($G291:N291)))*O$7)</f>
        <v>0</v>
      </c>
      <c r="P291" s="115">
        <f>IF(COUNT($H291:O291)&gt;=Input!$Y$7,0,($G248+(SUM($G291:O291)))*P$7)</f>
        <v>0</v>
      </c>
      <c r="Q291" s="115">
        <f>IF(COUNT($H291:P291)&gt;=Input!$Y$7,0,($G248+(SUM($G291:P291)))*Q$7)</f>
        <v>0</v>
      </c>
      <c r="R291" s="104"/>
      <c r="S291" s="104"/>
      <c r="T291" s="104"/>
      <c r="U291" s="104"/>
      <c r="V291" s="104"/>
      <c r="W291" s="104"/>
      <c r="X291" s="104"/>
      <c r="Y291" s="104"/>
      <c r="Z291" s="104"/>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4"/>
      <c r="BK291" s="224"/>
    </row>
    <row r="292" spans="1:63" hidden="1" outlineLevel="1">
      <c r="A292" s="9"/>
      <c r="B292" s="44"/>
      <c r="C292" s="283" t="s">
        <v>6</v>
      </c>
      <c r="D292" s="9"/>
      <c r="E292" s="9"/>
      <c r="F292" s="143"/>
      <c r="G292" s="206"/>
      <c r="H292" s="115"/>
      <c r="I292" s="115"/>
      <c r="J292" s="115"/>
      <c r="K292" s="115"/>
      <c r="L292" s="115">
        <f>IF(COUNT($H291:L291)=Input!$Y$7, SUM($G291:L291), 0)</f>
        <v>0</v>
      </c>
      <c r="M292" s="115">
        <f>IF(COUNT($H291:M291)=Input!$Y$7, SUM($G291:M291), 0)</f>
        <v>0</v>
      </c>
      <c r="N292" s="115">
        <f>IF(COUNT($H291:N291)=Input!$Y$7, SUM($G291:N291), 0)</f>
        <v>0</v>
      </c>
      <c r="O292" s="115">
        <f>IF(COUNT($H291:O291)=Input!$Y$7, SUM($G291:O291), 0)</f>
        <v>0</v>
      </c>
      <c r="P292" s="115">
        <f>IF(COUNT($H291:P291)=Input!$Y$7, SUM($G291:P291), 0)</f>
        <v>0</v>
      </c>
      <c r="Q292" s="115">
        <f>IF(COUNT($H291:Q291)=Input!$Y$7, SUM($G291:Q291), 0)</f>
        <v>0</v>
      </c>
      <c r="R292" s="104"/>
      <c r="S292" s="104"/>
      <c r="T292" s="104"/>
      <c r="U292" s="104"/>
      <c r="V292" s="104"/>
      <c r="W292" s="104"/>
      <c r="X292" s="104"/>
      <c r="Y292" s="104"/>
      <c r="Z292" s="104"/>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4"/>
      <c r="BK292" s="224"/>
    </row>
    <row r="293" spans="1:63" hidden="1" outlineLevel="1">
      <c r="A293" s="9"/>
      <c r="B293" s="44"/>
      <c r="C293" s="271">
        <f>Asset13</f>
        <v>0</v>
      </c>
      <c r="D293" s="9"/>
      <c r="E293" s="9"/>
      <c r="F293" s="143"/>
      <c r="G293" s="206"/>
      <c r="H293" s="115">
        <f>($G249+(SUM($G293:G293)))*H$7</f>
        <v>0</v>
      </c>
      <c r="I293" s="115">
        <f>($G249+(SUM($G293:H293)))*I$7</f>
        <v>0</v>
      </c>
      <c r="J293" s="115">
        <f>($G249+(SUM($G293:I293)))*J$7</f>
        <v>0</v>
      </c>
      <c r="K293" s="115">
        <f>($G249+(SUM($G293:J293)))*K$7</f>
        <v>0</v>
      </c>
      <c r="L293" s="115">
        <f>($G249+(SUM($G293:K293)))*L$7</f>
        <v>0</v>
      </c>
      <c r="M293" s="115">
        <f>IF(COUNT($H293:L293)&gt;=Input!$Y$7,0,($G249+(SUM($G293:L293)))*M$7)</f>
        <v>0</v>
      </c>
      <c r="N293" s="115">
        <f>IF(COUNT($H293:M293)&gt;=Input!$Y$7,0,($G249+(SUM($G293:M293)))*N$7)</f>
        <v>0</v>
      </c>
      <c r="O293" s="115">
        <f>IF(COUNT($H293:N293)&gt;=Input!$Y$7,0,($G249+(SUM($G293:N293)))*O$7)</f>
        <v>0</v>
      </c>
      <c r="P293" s="115">
        <f>IF(COUNT($H293:O293)&gt;=Input!$Y$7,0,($G249+(SUM($G293:O293)))*P$7)</f>
        <v>0</v>
      </c>
      <c r="Q293" s="115">
        <f>IF(COUNT($H293:P293)&gt;=Input!$Y$7,0,($G249+(SUM($G293:P293)))*Q$7)</f>
        <v>0</v>
      </c>
      <c r="R293" s="104"/>
      <c r="S293" s="104"/>
      <c r="T293" s="104"/>
      <c r="U293" s="104"/>
      <c r="V293" s="104"/>
      <c r="W293" s="104"/>
      <c r="X293" s="104"/>
      <c r="Y293" s="104"/>
      <c r="Z293" s="104"/>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4"/>
      <c r="BK293" s="224"/>
    </row>
    <row r="294" spans="1:63" hidden="1" outlineLevel="1">
      <c r="A294" s="9"/>
      <c r="B294" s="44"/>
      <c r="C294" s="283" t="s">
        <v>6</v>
      </c>
      <c r="D294" s="9"/>
      <c r="E294" s="9"/>
      <c r="F294" s="143"/>
      <c r="G294" s="206"/>
      <c r="H294" s="115"/>
      <c r="I294" s="115"/>
      <c r="J294" s="115"/>
      <c r="K294" s="115"/>
      <c r="L294" s="115">
        <f>IF(COUNT($H293:L293)=Input!$Y$7, SUM($G293:L293), 0)</f>
        <v>0</v>
      </c>
      <c r="M294" s="115">
        <f>IF(COUNT($H293:M293)=Input!$Y$7, SUM($G293:M293), 0)</f>
        <v>0</v>
      </c>
      <c r="N294" s="115">
        <f>IF(COUNT($H293:N293)=Input!$Y$7, SUM($G293:N293), 0)</f>
        <v>0</v>
      </c>
      <c r="O294" s="115">
        <f>IF(COUNT($H293:O293)=Input!$Y$7, SUM($G293:O293), 0)</f>
        <v>0</v>
      </c>
      <c r="P294" s="115">
        <f>IF(COUNT($H293:P293)=Input!$Y$7, SUM($G293:P293), 0)</f>
        <v>0</v>
      </c>
      <c r="Q294" s="115">
        <f>IF(COUNT($H293:Q293)=Input!$Y$7, SUM($G293:Q293), 0)</f>
        <v>0</v>
      </c>
      <c r="R294" s="104"/>
      <c r="S294" s="104"/>
      <c r="T294" s="104"/>
      <c r="U294" s="104"/>
      <c r="V294" s="104"/>
      <c r="W294" s="104"/>
      <c r="X294" s="104"/>
      <c r="Y294" s="104"/>
      <c r="Z294" s="104"/>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4"/>
      <c r="BK294" s="224"/>
    </row>
    <row r="295" spans="1:63" hidden="1" outlineLevel="1">
      <c r="A295" s="9"/>
      <c r="B295" s="44"/>
      <c r="C295" s="271">
        <f>Asset14</f>
        <v>0</v>
      </c>
      <c r="D295" s="9"/>
      <c r="E295" s="9"/>
      <c r="F295" s="143"/>
      <c r="G295" s="206"/>
      <c r="H295" s="115">
        <f>($G250+(SUM($G295:G295)))*H$7</f>
        <v>0</v>
      </c>
      <c r="I295" s="115">
        <f>($G250+(SUM($G295:H295)))*I$7</f>
        <v>0</v>
      </c>
      <c r="J295" s="115">
        <f>($G250+(SUM($G295:I295)))*J$7</f>
        <v>0</v>
      </c>
      <c r="K295" s="115">
        <f>($G250+(SUM($G295:J295)))*K$7</f>
        <v>0</v>
      </c>
      <c r="L295" s="115">
        <f>($G250+(SUM($G295:K295)))*L$7</f>
        <v>0</v>
      </c>
      <c r="M295" s="115">
        <f>IF(COUNT($H295:L295)&gt;=Input!$Y$7,0,($G250+(SUM($G295:L295)))*M$7)</f>
        <v>0</v>
      </c>
      <c r="N295" s="115">
        <f>IF(COUNT($H295:M295)&gt;=Input!$Y$7,0,($G250+(SUM($G295:M295)))*N$7)</f>
        <v>0</v>
      </c>
      <c r="O295" s="115">
        <f>IF(COUNT($H295:N295)&gt;=Input!$Y$7,0,($G250+(SUM($G295:N295)))*O$7)</f>
        <v>0</v>
      </c>
      <c r="P295" s="115">
        <f>IF(COUNT($H295:O295)&gt;=Input!$Y$7,0,($G250+(SUM($G295:O295)))*P$7)</f>
        <v>0</v>
      </c>
      <c r="Q295" s="115">
        <f>IF(COUNT($H295:P295)&gt;=Input!$Y$7,0,($G250+(SUM($G295:P295)))*Q$7)</f>
        <v>0</v>
      </c>
      <c r="R295" s="104"/>
      <c r="S295" s="104"/>
      <c r="T295" s="104"/>
      <c r="U295" s="104"/>
      <c r="V295" s="104"/>
      <c r="W295" s="104"/>
      <c r="X295" s="104"/>
      <c r="Y295" s="104"/>
      <c r="Z295" s="104"/>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4"/>
      <c r="BK295" s="224"/>
    </row>
    <row r="296" spans="1:63" hidden="1" outlineLevel="1">
      <c r="A296" s="9"/>
      <c r="B296" s="44"/>
      <c r="C296" s="283" t="s">
        <v>6</v>
      </c>
      <c r="D296" s="9"/>
      <c r="E296" s="9"/>
      <c r="F296" s="143"/>
      <c r="G296" s="206"/>
      <c r="H296" s="115"/>
      <c r="I296" s="115"/>
      <c r="J296" s="115"/>
      <c r="K296" s="115"/>
      <c r="L296" s="115">
        <f>IF(COUNT($H295:L295)=Input!$Y$7, SUM($G295:L295), 0)</f>
        <v>0</v>
      </c>
      <c r="M296" s="115">
        <f>IF(COUNT($H295:M295)=Input!$Y$7, SUM($G295:M295), 0)</f>
        <v>0</v>
      </c>
      <c r="N296" s="115">
        <f>IF(COUNT($H295:N295)=Input!$Y$7, SUM($G295:N295), 0)</f>
        <v>0</v>
      </c>
      <c r="O296" s="115">
        <f>IF(COUNT($H295:O295)=Input!$Y$7, SUM($G295:O295), 0)</f>
        <v>0</v>
      </c>
      <c r="P296" s="115">
        <f>IF(COUNT($H295:P295)=Input!$Y$7, SUM($G295:P295), 0)</f>
        <v>0</v>
      </c>
      <c r="Q296" s="115">
        <f>IF(COUNT($H295:Q295)=Input!$Y$7, SUM($G295:Q295), 0)</f>
        <v>0</v>
      </c>
      <c r="R296" s="104"/>
      <c r="S296" s="104"/>
      <c r="T296" s="104"/>
      <c r="U296" s="104"/>
      <c r="V296" s="104"/>
      <c r="W296" s="104"/>
      <c r="X296" s="104"/>
      <c r="Y296" s="104"/>
      <c r="Z296" s="104"/>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4"/>
      <c r="BK296" s="224"/>
    </row>
    <row r="297" spans="1:63" hidden="1" outlineLevel="1">
      <c r="A297" s="9"/>
      <c r="B297" s="44"/>
      <c r="C297" s="271">
        <f>Asset15</f>
        <v>0</v>
      </c>
      <c r="D297" s="9"/>
      <c r="E297" s="9"/>
      <c r="F297" s="143"/>
      <c r="G297" s="206"/>
      <c r="H297" s="115">
        <f>($G251+(SUM($G297:G297)))*H$7</f>
        <v>0</v>
      </c>
      <c r="I297" s="115">
        <f>($G251+(SUM($G297:H297)))*I$7</f>
        <v>0</v>
      </c>
      <c r="J297" s="115">
        <f>($G251+(SUM($G297:I297)))*J$7</f>
        <v>0</v>
      </c>
      <c r="K297" s="115">
        <f>($G251+(SUM($G297:J297)))*K$7</f>
        <v>0</v>
      </c>
      <c r="L297" s="115">
        <f>($G251+(SUM($G297:K297)))*L$7</f>
        <v>0</v>
      </c>
      <c r="M297" s="115">
        <f>IF(COUNT($H297:L297)&gt;=Input!$Y$7,0,($G251+(SUM($G297:L297)))*M$7)</f>
        <v>0</v>
      </c>
      <c r="N297" s="115">
        <f>IF(COUNT($H297:M297)&gt;=Input!$Y$7,0,($G251+(SUM($G297:M297)))*N$7)</f>
        <v>0</v>
      </c>
      <c r="O297" s="115">
        <f>IF(COUNT($H297:N297)&gt;=Input!$Y$7,0,($G251+(SUM($G297:N297)))*O$7)</f>
        <v>0</v>
      </c>
      <c r="P297" s="115">
        <f>IF(COUNT($H297:O297)&gt;=Input!$Y$7,0,($G251+(SUM($G297:O297)))*P$7)</f>
        <v>0</v>
      </c>
      <c r="Q297" s="115">
        <f>IF(COUNT($H297:P297)&gt;=Input!$Y$7,0,($G251+(SUM($G297:P297)))*Q$7)</f>
        <v>0</v>
      </c>
      <c r="R297" s="104"/>
      <c r="S297" s="104"/>
      <c r="T297" s="104"/>
      <c r="U297" s="104"/>
      <c r="V297" s="104"/>
      <c r="W297" s="104"/>
      <c r="X297" s="104"/>
      <c r="Y297" s="104"/>
      <c r="Z297" s="104"/>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4"/>
      <c r="BK297" s="224"/>
    </row>
    <row r="298" spans="1:63" hidden="1" outlineLevel="1">
      <c r="A298" s="9"/>
      <c r="B298" s="44"/>
      <c r="C298" s="283" t="s">
        <v>6</v>
      </c>
      <c r="D298" s="9"/>
      <c r="E298" s="9"/>
      <c r="F298" s="143"/>
      <c r="G298" s="206"/>
      <c r="H298" s="115"/>
      <c r="I298" s="115"/>
      <c r="J298" s="115"/>
      <c r="K298" s="115"/>
      <c r="L298" s="115">
        <f>IF(COUNT($H297:L297)=Input!$Y$7, SUM($G297:L297), 0)</f>
        <v>0</v>
      </c>
      <c r="M298" s="115">
        <f>IF(COUNT($H297:M297)=Input!$Y$7, SUM($G297:M297), 0)</f>
        <v>0</v>
      </c>
      <c r="N298" s="115">
        <f>IF(COUNT($H297:N297)=Input!$Y$7, SUM($G297:N297), 0)</f>
        <v>0</v>
      </c>
      <c r="O298" s="115">
        <f>IF(COUNT($H297:O297)=Input!$Y$7, SUM($G297:O297), 0)</f>
        <v>0</v>
      </c>
      <c r="P298" s="115">
        <f>IF(COUNT($H297:P297)=Input!$Y$7, SUM($G297:P297), 0)</f>
        <v>0</v>
      </c>
      <c r="Q298" s="115">
        <f>IF(COUNT($H297:Q297)=Input!$Y$7, SUM($G297:Q297), 0)</f>
        <v>0</v>
      </c>
      <c r="R298" s="104"/>
      <c r="S298" s="104"/>
      <c r="T298" s="104"/>
      <c r="U298" s="104"/>
      <c r="V298" s="104"/>
      <c r="W298" s="104"/>
      <c r="X298" s="104"/>
      <c r="Y298" s="104"/>
      <c r="Z298" s="104"/>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4"/>
      <c r="BK298" s="224"/>
    </row>
    <row r="299" spans="1:63" hidden="1" outlineLevel="1">
      <c r="A299" s="9"/>
      <c r="B299" s="44"/>
      <c r="C299" s="271">
        <f>Asset16</f>
        <v>0</v>
      </c>
      <c r="D299" s="9"/>
      <c r="E299" s="9"/>
      <c r="F299" s="143"/>
      <c r="G299" s="206"/>
      <c r="H299" s="115">
        <f>($G252+(SUM($G299:G299)))*H$7</f>
        <v>0</v>
      </c>
      <c r="I299" s="115">
        <f>($G252+(SUM($G299:H299)))*I$7</f>
        <v>0</v>
      </c>
      <c r="J299" s="115">
        <f>($G252+(SUM($G299:I299)))*J$7</f>
        <v>0</v>
      </c>
      <c r="K299" s="115">
        <f>($G252+(SUM($G299:J299)))*K$7</f>
        <v>0</v>
      </c>
      <c r="L299" s="115">
        <f>($G252+(SUM($G299:K299)))*L$7</f>
        <v>0</v>
      </c>
      <c r="M299" s="115">
        <f>IF(COUNT($H299:L299)&gt;=Input!$Y$7,0,($G252+(SUM($G299:L299)))*M$7)</f>
        <v>0</v>
      </c>
      <c r="N299" s="115">
        <f>IF(COUNT($H299:M299)&gt;=Input!$Y$7,0,($G252+(SUM($G299:M299)))*N$7)</f>
        <v>0</v>
      </c>
      <c r="O299" s="115">
        <f>IF(COUNT($H299:N299)&gt;=Input!$Y$7,0,($G252+(SUM($G299:N299)))*O$7)</f>
        <v>0</v>
      </c>
      <c r="P299" s="115">
        <f>IF(COUNT($H299:O299)&gt;=Input!$Y$7,0,($G252+(SUM($G299:O299)))*P$7)</f>
        <v>0</v>
      </c>
      <c r="Q299" s="115">
        <f>IF(COUNT($H299:P299)&gt;=Input!$Y$7,0,($G252+(SUM($G299:P299)))*Q$7)</f>
        <v>0</v>
      </c>
      <c r="R299" s="104"/>
      <c r="S299" s="104"/>
      <c r="T299" s="104"/>
      <c r="U299" s="104"/>
      <c r="V299" s="104"/>
      <c r="W299" s="104"/>
      <c r="X299" s="104"/>
      <c r="Y299" s="104"/>
      <c r="Z299" s="104"/>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4"/>
      <c r="BK299" s="224"/>
    </row>
    <row r="300" spans="1:63" hidden="1" outlineLevel="1">
      <c r="A300" s="9"/>
      <c r="B300" s="44"/>
      <c r="C300" s="283" t="s">
        <v>6</v>
      </c>
      <c r="D300" s="9"/>
      <c r="E300" s="9"/>
      <c r="F300" s="143"/>
      <c r="G300" s="206"/>
      <c r="H300" s="115"/>
      <c r="I300" s="115"/>
      <c r="J300" s="115"/>
      <c r="K300" s="115"/>
      <c r="L300" s="115">
        <f>IF(COUNT($H299:L299)=Input!$Y$7, SUM($G299:L299), 0)</f>
        <v>0</v>
      </c>
      <c r="M300" s="115">
        <f>IF(COUNT($H299:M299)=Input!$Y$7, SUM($G299:M299), 0)</f>
        <v>0</v>
      </c>
      <c r="N300" s="115">
        <f>IF(COUNT($H299:N299)=Input!$Y$7, SUM($G299:N299), 0)</f>
        <v>0</v>
      </c>
      <c r="O300" s="115">
        <f>IF(COUNT($H299:O299)=Input!$Y$7, SUM($G299:O299), 0)</f>
        <v>0</v>
      </c>
      <c r="P300" s="115">
        <f>IF(COUNT($H299:P299)=Input!$Y$7, SUM($G299:P299), 0)</f>
        <v>0</v>
      </c>
      <c r="Q300" s="115">
        <f>IF(COUNT($H299:Q299)=Input!$Y$7, SUM($G299:Q299), 0)</f>
        <v>0</v>
      </c>
      <c r="R300" s="104"/>
      <c r="S300" s="104"/>
      <c r="T300" s="104"/>
      <c r="U300" s="104"/>
      <c r="V300" s="104"/>
      <c r="W300" s="104"/>
      <c r="X300" s="104"/>
      <c r="Y300" s="104"/>
      <c r="Z300" s="104"/>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4"/>
      <c r="BK300" s="224"/>
    </row>
    <row r="301" spans="1:63" hidden="1" outlineLevel="1">
      <c r="A301" s="9"/>
      <c r="B301" s="44"/>
      <c r="C301" s="271">
        <f>Asset17</f>
        <v>0</v>
      </c>
      <c r="D301" s="9"/>
      <c r="E301" s="9"/>
      <c r="F301" s="143"/>
      <c r="G301" s="206"/>
      <c r="H301" s="115">
        <f>($G253+(SUM($G301:G301)))*H$7</f>
        <v>0</v>
      </c>
      <c r="I301" s="115">
        <f>($G253+(SUM($G301:H301)))*I$7</f>
        <v>0</v>
      </c>
      <c r="J301" s="115">
        <f>($G253+(SUM($G301:I301)))*J$7</f>
        <v>0</v>
      </c>
      <c r="K301" s="115">
        <f>($G253+(SUM($G301:J301)))*K$7</f>
        <v>0</v>
      </c>
      <c r="L301" s="115">
        <f>($G253+(SUM($G301:K301)))*L$7</f>
        <v>0</v>
      </c>
      <c r="M301" s="115">
        <f>IF(COUNT($H301:L301)&gt;=Input!$Y$7,0,($G253+(SUM($G301:L301)))*M$7)</f>
        <v>0</v>
      </c>
      <c r="N301" s="115">
        <f>IF(COUNT($H301:M301)&gt;=Input!$Y$7,0,($G253+(SUM($G301:M301)))*N$7)</f>
        <v>0</v>
      </c>
      <c r="O301" s="115">
        <f>IF(COUNT($H301:N301)&gt;=Input!$Y$7,0,($G253+(SUM($G301:N301)))*O$7)</f>
        <v>0</v>
      </c>
      <c r="P301" s="115">
        <f>IF(COUNT($H301:O301)&gt;=Input!$Y$7,0,($G253+(SUM($G301:O301)))*P$7)</f>
        <v>0</v>
      </c>
      <c r="Q301" s="115">
        <f>IF(COUNT($H301:P301)&gt;=Input!$Y$7,0,($G253+(SUM($G301:P301)))*Q$7)</f>
        <v>0</v>
      </c>
      <c r="R301" s="104"/>
      <c r="S301" s="104"/>
      <c r="T301" s="104"/>
      <c r="U301" s="104"/>
      <c r="V301" s="104"/>
      <c r="W301" s="104"/>
      <c r="X301" s="104"/>
      <c r="Y301" s="104"/>
      <c r="Z301" s="104"/>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4"/>
      <c r="BK301" s="224"/>
    </row>
    <row r="302" spans="1:63" hidden="1" outlineLevel="1">
      <c r="A302" s="9"/>
      <c r="B302" s="44"/>
      <c r="C302" s="283" t="s">
        <v>6</v>
      </c>
      <c r="D302" s="9"/>
      <c r="E302" s="9"/>
      <c r="F302" s="143"/>
      <c r="G302" s="206"/>
      <c r="H302" s="115"/>
      <c r="I302" s="115"/>
      <c r="J302" s="115"/>
      <c r="K302" s="115"/>
      <c r="L302" s="115">
        <f>IF(COUNT($H301:L301)=Input!$Y$7, SUM($G301:L301), 0)</f>
        <v>0</v>
      </c>
      <c r="M302" s="115">
        <f>IF(COUNT($H301:M301)=Input!$Y$7, SUM($G301:M301), 0)</f>
        <v>0</v>
      </c>
      <c r="N302" s="115">
        <f>IF(COUNT($H301:N301)=Input!$Y$7, SUM($G301:N301), 0)</f>
        <v>0</v>
      </c>
      <c r="O302" s="115">
        <f>IF(COUNT($H301:O301)=Input!$Y$7, SUM($G301:O301), 0)</f>
        <v>0</v>
      </c>
      <c r="P302" s="115">
        <f>IF(COUNT($H301:P301)=Input!$Y$7, SUM($G301:P301), 0)</f>
        <v>0</v>
      </c>
      <c r="Q302" s="115">
        <f>IF(COUNT($H301:Q301)=Input!$Y$7, SUM($G301:Q301), 0)</f>
        <v>0</v>
      </c>
      <c r="R302" s="104"/>
      <c r="S302" s="104"/>
      <c r="T302" s="104"/>
      <c r="U302" s="104"/>
      <c r="V302" s="104"/>
      <c r="W302" s="104"/>
      <c r="X302" s="104"/>
      <c r="Y302" s="104"/>
      <c r="Z302" s="104"/>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4"/>
      <c r="BK302" s="224"/>
    </row>
    <row r="303" spans="1:63" hidden="1" outlineLevel="1">
      <c r="A303" s="9"/>
      <c r="B303" s="44"/>
      <c r="C303" s="271">
        <f>Asset18</f>
        <v>0</v>
      </c>
      <c r="D303" s="9"/>
      <c r="E303" s="9"/>
      <c r="F303" s="143"/>
      <c r="G303" s="206"/>
      <c r="H303" s="115">
        <f>($G254+(SUM($G303:G303)))*H$7</f>
        <v>0</v>
      </c>
      <c r="I303" s="115">
        <f>($G254+(SUM($G303:H303)))*I$7</f>
        <v>0</v>
      </c>
      <c r="J303" s="115">
        <f>($G254+(SUM($G303:I303)))*J$7</f>
        <v>0</v>
      </c>
      <c r="K303" s="115">
        <f>($G254+(SUM($G303:J303)))*K$7</f>
        <v>0</v>
      </c>
      <c r="L303" s="115">
        <f>($G254+(SUM($G303:K303)))*L$7</f>
        <v>0</v>
      </c>
      <c r="M303" s="115">
        <f>IF(COUNT($H303:L303)&gt;=Input!$Y$7,0,($G254+(SUM($G303:L303)))*M$7)</f>
        <v>0</v>
      </c>
      <c r="N303" s="115">
        <f>IF(COUNT($H303:M303)&gt;=Input!$Y$7,0,($G254+(SUM($G303:M303)))*N$7)</f>
        <v>0</v>
      </c>
      <c r="O303" s="115">
        <f>IF(COUNT($H303:N303)&gt;=Input!$Y$7,0,($G254+(SUM($G303:N303)))*O$7)</f>
        <v>0</v>
      </c>
      <c r="P303" s="115">
        <f>IF(COUNT($H303:O303)&gt;=Input!$Y$7,0,($G254+(SUM($G303:O303)))*P$7)</f>
        <v>0</v>
      </c>
      <c r="Q303" s="115">
        <f>IF(COUNT($H303:P303)&gt;=Input!$Y$7,0,($G254+(SUM($G303:P303)))*Q$7)</f>
        <v>0</v>
      </c>
      <c r="R303" s="104"/>
      <c r="S303" s="104"/>
      <c r="T303" s="104"/>
      <c r="U303" s="104"/>
      <c r="V303" s="104"/>
      <c r="W303" s="104"/>
      <c r="X303" s="104"/>
      <c r="Y303" s="104"/>
      <c r="Z303" s="104"/>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4"/>
      <c r="BK303" s="224"/>
    </row>
    <row r="304" spans="1:63" hidden="1" outlineLevel="1">
      <c r="A304" s="9"/>
      <c r="B304" s="44"/>
      <c r="C304" s="283" t="s">
        <v>6</v>
      </c>
      <c r="D304" s="9"/>
      <c r="E304" s="9"/>
      <c r="F304" s="143"/>
      <c r="G304" s="206"/>
      <c r="H304" s="115"/>
      <c r="I304" s="115"/>
      <c r="J304" s="115"/>
      <c r="K304" s="115"/>
      <c r="L304" s="115">
        <f>IF(COUNT($H303:L303)=Input!$Y$7, SUM($G303:L303), 0)</f>
        <v>0</v>
      </c>
      <c r="M304" s="115">
        <f>IF(COUNT($H303:M303)=Input!$Y$7, SUM($G303:M303), 0)</f>
        <v>0</v>
      </c>
      <c r="N304" s="115">
        <f>IF(COUNT($H303:N303)=Input!$Y$7, SUM($G303:N303), 0)</f>
        <v>0</v>
      </c>
      <c r="O304" s="115">
        <f>IF(COUNT($H303:O303)=Input!$Y$7, SUM($G303:O303), 0)</f>
        <v>0</v>
      </c>
      <c r="P304" s="115">
        <f>IF(COUNT($H303:P303)=Input!$Y$7, SUM($G303:P303), 0)</f>
        <v>0</v>
      </c>
      <c r="Q304" s="115">
        <f>IF(COUNT($H303:Q303)=Input!$Y$7, SUM($G303:Q303), 0)</f>
        <v>0</v>
      </c>
      <c r="R304" s="104"/>
      <c r="S304" s="104"/>
      <c r="T304" s="104"/>
      <c r="U304" s="104"/>
      <c r="V304" s="104"/>
      <c r="W304" s="104"/>
      <c r="X304" s="104"/>
      <c r="Y304" s="104"/>
      <c r="Z304" s="104"/>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4"/>
      <c r="BK304" s="224"/>
    </row>
    <row r="305" spans="1:63" hidden="1" outlineLevel="1">
      <c r="A305" s="9"/>
      <c r="B305" s="44"/>
      <c r="C305" s="271">
        <f>Asset19</f>
        <v>0</v>
      </c>
      <c r="D305" s="9"/>
      <c r="E305" s="9"/>
      <c r="F305" s="143"/>
      <c r="G305" s="206"/>
      <c r="H305" s="115">
        <f>($G255+(SUM($G305:G305)))*H$7</f>
        <v>0</v>
      </c>
      <c r="I305" s="115">
        <f>($G255+(SUM($G305:H305)))*I$7</f>
        <v>0</v>
      </c>
      <c r="J305" s="115">
        <f>($G255+(SUM($G305:I305)))*J$7</f>
        <v>0</v>
      </c>
      <c r="K305" s="115">
        <f>($G255+(SUM($G305:J305)))*K$7</f>
        <v>0</v>
      </c>
      <c r="L305" s="115">
        <f>($G255+(SUM($G305:K305)))*L$7</f>
        <v>0</v>
      </c>
      <c r="M305" s="115">
        <f>IF(COUNT($H305:L305)&gt;=Input!$Y$7,0,($G255+(SUM($G305:L305)))*M$7)</f>
        <v>0</v>
      </c>
      <c r="N305" s="115">
        <f>IF(COUNT($H305:M305)&gt;=Input!$Y$7,0,($G255+(SUM($G305:M305)))*N$7)</f>
        <v>0</v>
      </c>
      <c r="O305" s="115">
        <f>IF(COUNT($H305:N305)&gt;=Input!$Y$7,0,($G255+(SUM($G305:N305)))*O$7)</f>
        <v>0</v>
      </c>
      <c r="P305" s="115">
        <f>IF(COUNT($H305:O305)&gt;=Input!$Y$7,0,($G255+(SUM($G305:O305)))*P$7)</f>
        <v>0</v>
      </c>
      <c r="Q305" s="115">
        <f>IF(COUNT($H305:P305)&gt;=Input!$Y$7,0,($G255+(SUM($G305:P305)))*Q$7)</f>
        <v>0</v>
      </c>
      <c r="R305" s="104"/>
      <c r="S305" s="104"/>
      <c r="T305" s="104"/>
      <c r="U305" s="104"/>
      <c r="V305" s="104"/>
      <c r="W305" s="104"/>
      <c r="X305" s="104"/>
      <c r="Y305" s="104"/>
      <c r="Z305" s="104"/>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4"/>
      <c r="BK305" s="224"/>
    </row>
    <row r="306" spans="1:63" hidden="1" outlineLevel="1">
      <c r="A306" s="9"/>
      <c r="B306" s="44"/>
      <c r="C306" s="283" t="s">
        <v>6</v>
      </c>
      <c r="D306" s="9"/>
      <c r="E306" s="9"/>
      <c r="F306" s="143"/>
      <c r="G306" s="206"/>
      <c r="H306" s="115"/>
      <c r="I306" s="115"/>
      <c r="J306" s="115"/>
      <c r="K306" s="115"/>
      <c r="L306" s="115">
        <f>IF(COUNT($H305:L305)=Input!$Y$7, SUM($G305:L305), 0)</f>
        <v>0</v>
      </c>
      <c r="M306" s="115">
        <f>IF(COUNT($H305:M305)=Input!$Y$7, SUM($G305:M305), 0)</f>
        <v>0</v>
      </c>
      <c r="N306" s="115">
        <f>IF(COUNT($H305:N305)=Input!$Y$7, SUM($G305:N305), 0)</f>
        <v>0</v>
      </c>
      <c r="O306" s="115">
        <f>IF(COUNT($H305:O305)=Input!$Y$7, SUM($G305:O305), 0)</f>
        <v>0</v>
      </c>
      <c r="P306" s="115">
        <f>IF(COUNT($H305:P305)=Input!$Y$7, SUM($G305:P305), 0)</f>
        <v>0</v>
      </c>
      <c r="Q306" s="115">
        <f>IF(COUNT($H305:Q305)=Input!$Y$7, SUM($G305:Q305), 0)</f>
        <v>0</v>
      </c>
      <c r="R306" s="104"/>
      <c r="S306" s="104"/>
      <c r="T306" s="104"/>
      <c r="U306" s="104"/>
      <c r="V306" s="104"/>
      <c r="W306" s="104"/>
      <c r="X306" s="104"/>
      <c r="Y306" s="104"/>
      <c r="Z306" s="104"/>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4"/>
      <c r="BK306" s="224"/>
    </row>
    <row r="307" spans="1:63" hidden="1" outlineLevel="1">
      <c r="A307" s="9"/>
      <c r="B307" s="44"/>
      <c r="C307" s="271">
        <f>Asset20</f>
        <v>0</v>
      </c>
      <c r="D307" s="9"/>
      <c r="E307" s="9"/>
      <c r="F307" s="143"/>
      <c r="G307" s="206"/>
      <c r="H307" s="115">
        <f>($G256+(SUM($G307:G307)))*H$7</f>
        <v>0</v>
      </c>
      <c r="I307" s="115">
        <f>($G256+(SUM($G307:H307)))*I$7</f>
        <v>0</v>
      </c>
      <c r="J307" s="115">
        <f>($G256+(SUM($G307:I307)))*J$7</f>
        <v>0</v>
      </c>
      <c r="K307" s="115">
        <f>($G256+(SUM($G307:J307)))*K$7</f>
        <v>0</v>
      </c>
      <c r="L307" s="115">
        <f>($G256+(SUM($G307:K307)))*L$7</f>
        <v>0</v>
      </c>
      <c r="M307" s="115">
        <f>IF(COUNT($H307:L307)&gt;=Input!$Y$7,0,($G256+(SUM($G307:L307)))*M$7)</f>
        <v>0</v>
      </c>
      <c r="N307" s="115">
        <f>IF(COUNT($H307:M307)&gt;=Input!$Y$7,0,($G256+(SUM($G307:M307)))*N$7)</f>
        <v>0</v>
      </c>
      <c r="O307" s="115">
        <f>IF(COUNT($H307:N307)&gt;=Input!$Y$7,0,($G256+(SUM($G307:N307)))*O$7)</f>
        <v>0</v>
      </c>
      <c r="P307" s="115">
        <f>IF(COUNT($H307:O307)&gt;=Input!$Y$7,0,($G256+(SUM($G307:O307)))*P$7)</f>
        <v>0</v>
      </c>
      <c r="Q307" s="115">
        <f>IF(COUNT($H307:P307)&gt;=Input!$Y$7,0,($G256+(SUM($G307:P307)))*Q$7)</f>
        <v>0</v>
      </c>
      <c r="R307" s="104"/>
      <c r="S307" s="104"/>
      <c r="T307" s="104"/>
      <c r="U307" s="104"/>
      <c r="V307" s="104"/>
      <c r="W307" s="104"/>
      <c r="X307" s="104"/>
      <c r="Y307" s="104"/>
      <c r="Z307" s="104"/>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4"/>
      <c r="BK307" s="224"/>
    </row>
    <row r="308" spans="1:63" hidden="1" outlineLevel="1">
      <c r="A308" s="9"/>
      <c r="B308" s="44"/>
      <c r="C308" s="283" t="s">
        <v>6</v>
      </c>
      <c r="D308" s="9"/>
      <c r="E308" s="9"/>
      <c r="F308" s="143"/>
      <c r="G308" s="206"/>
      <c r="H308" s="115"/>
      <c r="I308" s="115"/>
      <c r="J308" s="115"/>
      <c r="K308" s="115"/>
      <c r="L308" s="115">
        <f>IF(COUNT($H307:L307)=Input!$Y$7, SUM($G307:L307), 0)</f>
        <v>0</v>
      </c>
      <c r="M308" s="115">
        <f>IF(COUNT($H307:M307)=Input!$Y$7, SUM($G307:M307), 0)</f>
        <v>0</v>
      </c>
      <c r="N308" s="115">
        <f>IF(COUNT($H307:N307)=Input!$Y$7, SUM($G307:N307), 0)</f>
        <v>0</v>
      </c>
      <c r="O308" s="115">
        <f>IF(COUNT($H307:O307)=Input!$Y$7, SUM($G307:O307), 0)</f>
        <v>0</v>
      </c>
      <c r="P308" s="115">
        <f>IF(COUNT($H307:P307)=Input!$Y$7, SUM($G307:P307), 0)</f>
        <v>0</v>
      </c>
      <c r="Q308" s="115">
        <f>IF(COUNT($H307:Q307)=Input!$Y$7, SUM($G307:Q307), 0)</f>
        <v>0</v>
      </c>
      <c r="R308" s="104"/>
      <c r="S308" s="104"/>
      <c r="T308" s="104"/>
      <c r="U308" s="104"/>
      <c r="V308" s="104"/>
      <c r="W308" s="104"/>
      <c r="X308" s="104"/>
      <c r="Y308" s="104"/>
      <c r="Z308" s="104"/>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4"/>
      <c r="BK308" s="224"/>
    </row>
    <row r="309" spans="1:63" hidden="1" outlineLevel="1">
      <c r="A309" s="9"/>
      <c r="B309" s="44"/>
      <c r="C309" s="321">
        <f>Asset21</f>
        <v>0</v>
      </c>
      <c r="D309" s="9"/>
      <c r="E309" s="9"/>
      <c r="F309" s="143"/>
      <c r="G309" s="206"/>
      <c r="H309" s="115">
        <f>($G257+(SUM($G309:G309)))*H$7</f>
        <v>0</v>
      </c>
      <c r="I309" s="115">
        <f>($G257+(SUM($G309:H309)))*I$7</f>
        <v>0</v>
      </c>
      <c r="J309" s="115">
        <f>($G257+(SUM($G309:I309)))*J$7</f>
        <v>0</v>
      </c>
      <c r="K309" s="115">
        <f>($G257+(SUM($G309:J309)))*K$7</f>
        <v>0</v>
      </c>
      <c r="L309" s="115">
        <f>($G257+(SUM($G309:K309)))*L$7</f>
        <v>0</v>
      </c>
      <c r="M309" s="115">
        <f>IF(COUNT($H309:L309)&gt;=Input!$Y$7,0,($G257+(SUM($G309:L309)))*M$7)</f>
        <v>0</v>
      </c>
      <c r="N309" s="115">
        <f>IF(COUNT($H309:M309)&gt;=Input!$Y$7,0,($G257+(SUM($G309:M309)))*N$7)</f>
        <v>0</v>
      </c>
      <c r="O309" s="115">
        <f>IF(COUNT($H309:N309)&gt;=Input!$Y$7,0,($G257+(SUM($G309:N309)))*O$7)</f>
        <v>0</v>
      </c>
      <c r="P309" s="115">
        <f>IF(COUNT($H309:O309)&gt;=Input!$Y$7,0,($G257+(SUM($G309:O309)))*P$7)</f>
        <v>0</v>
      </c>
      <c r="Q309" s="115">
        <f>IF(COUNT($H309:P309)&gt;=Input!$Y$7,0,($G257+(SUM($G309:P309)))*Q$7)</f>
        <v>0</v>
      </c>
      <c r="R309" s="104"/>
      <c r="S309" s="104"/>
      <c r="T309" s="104"/>
      <c r="U309" s="104"/>
      <c r="V309" s="104"/>
      <c r="W309" s="104"/>
      <c r="X309" s="104"/>
      <c r="Y309" s="104"/>
      <c r="Z309" s="104"/>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4"/>
      <c r="BK309" s="224"/>
    </row>
    <row r="310" spans="1:63" hidden="1" outlineLevel="1">
      <c r="A310" s="9"/>
      <c r="B310" s="44"/>
      <c r="C310" s="283" t="s">
        <v>6</v>
      </c>
      <c r="D310" s="9"/>
      <c r="E310" s="9"/>
      <c r="F310" s="143"/>
      <c r="G310" s="206"/>
      <c r="H310" s="115"/>
      <c r="I310" s="115"/>
      <c r="J310" s="115"/>
      <c r="K310" s="115"/>
      <c r="L310" s="115">
        <f>IF(COUNT($H309:L309)=Input!$Y$7,SUM($G309:L309),0)</f>
        <v>0</v>
      </c>
      <c r="M310" s="115">
        <f>IF(COUNT($H309:M309)=Input!$Y$7,SUM($G309:M309),0)</f>
        <v>0</v>
      </c>
      <c r="N310" s="115">
        <f>IF(COUNT($H309:N309)=Input!$Y$7,SUM($G309:N309),0)</f>
        <v>0</v>
      </c>
      <c r="O310" s="115">
        <f>IF(COUNT($H309:O309)=Input!$Y$7,SUM($G309:O309),0)</f>
        <v>0</v>
      </c>
      <c r="P310" s="115">
        <f>IF(COUNT($H309:P309)=Input!$Y$7,SUM($G309:P309),0)</f>
        <v>0</v>
      </c>
      <c r="Q310" s="115">
        <f>IF(COUNT($H309:Q309)=Input!$Y$7,SUM($G309:Q309),0)</f>
        <v>0</v>
      </c>
      <c r="R310" s="104"/>
      <c r="S310" s="104"/>
      <c r="T310" s="104"/>
      <c r="U310" s="104"/>
      <c r="V310" s="104"/>
      <c r="W310" s="104"/>
      <c r="X310" s="104"/>
      <c r="Y310" s="104"/>
      <c r="Z310" s="104"/>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4"/>
      <c r="BK310" s="224"/>
    </row>
    <row r="311" spans="1:63" hidden="1" outlineLevel="1">
      <c r="A311" s="9"/>
      <c r="B311" s="44"/>
      <c r="C311" s="321">
        <f>Asset22</f>
        <v>0</v>
      </c>
      <c r="D311" s="9"/>
      <c r="E311" s="9"/>
      <c r="F311" s="143"/>
      <c r="G311" s="206"/>
      <c r="H311" s="115">
        <f>($G258+(SUM($G311:G311)))*H$7</f>
        <v>0</v>
      </c>
      <c r="I311" s="115">
        <f>($G258+(SUM($G311:H311)))*I$7</f>
        <v>0</v>
      </c>
      <c r="J311" s="115">
        <f>($G258+(SUM($G311:I311)))*J$7</f>
        <v>0</v>
      </c>
      <c r="K311" s="115">
        <f>($G258+(SUM($G311:J311)))*K$7</f>
        <v>0</v>
      </c>
      <c r="L311" s="115">
        <f>($G258+(SUM($G311:K311)))*L$7</f>
        <v>0</v>
      </c>
      <c r="M311" s="115">
        <f>IF(COUNT($H311:L311)&gt;=Input!$Y$7,0,($G258+(SUM($G311:L311)))*M$7)</f>
        <v>0</v>
      </c>
      <c r="N311" s="115">
        <f>IF(COUNT($H311:M311)&gt;=Input!$Y$7,0,($G258+(SUM($G311:M311)))*N$7)</f>
        <v>0</v>
      </c>
      <c r="O311" s="115">
        <f>IF(COUNT($H311:N311)&gt;=Input!$Y$7,0,($G258+(SUM($G311:N311)))*O$7)</f>
        <v>0</v>
      </c>
      <c r="P311" s="115">
        <f>IF(COUNT($H311:O311)&gt;=Input!$Y$7,0,($G258+(SUM($G311:O311)))*P$7)</f>
        <v>0</v>
      </c>
      <c r="Q311" s="115">
        <f>IF(COUNT($H311:P311)&gt;=Input!$Y$7,0,($G258+(SUM($G311:P311)))*Q$7)</f>
        <v>0</v>
      </c>
      <c r="R311" s="104"/>
      <c r="S311" s="104"/>
      <c r="T311" s="104"/>
      <c r="U311" s="104"/>
      <c r="V311" s="104"/>
      <c r="W311" s="104"/>
      <c r="X311" s="104"/>
      <c r="Y311" s="104"/>
      <c r="Z311" s="104"/>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4"/>
      <c r="BK311" s="224"/>
    </row>
    <row r="312" spans="1:63" hidden="1" outlineLevel="1">
      <c r="A312" s="9"/>
      <c r="B312" s="44"/>
      <c r="C312" s="283" t="s">
        <v>6</v>
      </c>
      <c r="D312" s="9"/>
      <c r="E312" s="9"/>
      <c r="F312" s="143"/>
      <c r="G312" s="206"/>
      <c r="H312" s="115"/>
      <c r="I312" s="115"/>
      <c r="J312" s="115"/>
      <c r="K312" s="115"/>
      <c r="L312" s="115">
        <f>IF(COUNT($H311:L311)=Input!$Y$7,SUM($G311:L311),0)</f>
        <v>0</v>
      </c>
      <c r="M312" s="115">
        <f>IF(COUNT($H311:M311)=Input!$Y$7,SUM($G311:M311),0)</f>
        <v>0</v>
      </c>
      <c r="N312" s="115">
        <f>IF(COUNT($H311:N311)=Input!$Y$7,SUM($G311:N311),0)</f>
        <v>0</v>
      </c>
      <c r="O312" s="115">
        <f>IF(COUNT($H311:O311)=Input!$Y$7,SUM($G311:O311),0)</f>
        <v>0</v>
      </c>
      <c r="P312" s="115">
        <f>IF(COUNT($H311:P311)=Input!$Y$7,SUM($G311:P311),0)</f>
        <v>0</v>
      </c>
      <c r="Q312" s="115">
        <f>IF(COUNT($H311:Q311)=Input!$Y$7,SUM($G311:Q311),0)</f>
        <v>0</v>
      </c>
      <c r="R312" s="104"/>
      <c r="S312" s="104"/>
      <c r="T312" s="104"/>
      <c r="U312" s="104"/>
      <c r="V312" s="104"/>
      <c r="W312" s="104"/>
      <c r="X312" s="104"/>
      <c r="Y312" s="104"/>
      <c r="Z312" s="104"/>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4"/>
      <c r="BK312" s="224"/>
    </row>
    <row r="313" spans="1:63" hidden="1" outlineLevel="1">
      <c r="A313" s="9"/>
      <c r="B313" s="44"/>
      <c r="C313" s="321">
        <f>Asset23</f>
        <v>0</v>
      </c>
      <c r="D313" s="9"/>
      <c r="E313" s="9"/>
      <c r="F313" s="143"/>
      <c r="G313" s="206"/>
      <c r="H313" s="115">
        <f>($G259+(SUM($G313:G313)))*H$7</f>
        <v>0</v>
      </c>
      <c r="I313" s="115">
        <f>($G259+(SUM($G313:H313)))*I$7</f>
        <v>0</v>
      </c>
      <c r="J313" s="115">
        <f>($G259+(SUM($G313:I313)))*J$7</f>
        <v>0</v>
      </c>
      <c r="K313" s="115">
        <f>($G259+(SUM($G313:J313)))*K$7</f>
        <v>0</v>
      </c>
      <c r="L313" s="115">
        <f>($G259+(SUM($G313:K313)))*L$7</f>
        <v>0</v>
      </c>
      <c r="M313" s="115">
        <f>IF(COUNT($H313:L313)&gt;=Input!$Y$7,0,($G259+(SUM($G313:L313)))*M$7)</f>
        <v>0</v>
      </c>
      <c r="N313" s="115">
        <f>IF(COUNT($H313:M313)&gt;=Input!$Y$7,0,($G259+(SUM($G313:M313)))*N$7)</f>
        <v>0</v>
      </c>
      <c r="O313" s="115">
        <f>IF(COUNT($H313:N313)&gt;=Input!$Y$7,0,($G259+(SUM($G313:N313)))*O$7)</f>
        <v>0</v>
      </c>
      <c r="P313" s="115">
        <f>IF(COUNT($H313:O313)&gt;=Input!$Y$7,0,($G259+(SUM($G313:O313)))*P$7)</f>
        <v>0</v>
      </c>
      <c r="Q313" s="115">
        <f>IF(COUNT($H313:P313)&gt;=Input!$Y$7,0,($G259+(SUM($G313:P313)))*Q$7)</f>
        <v>0</v>
      </c>
      <c r="R313" s="104"/>
      <c r="S313" s="104"/>
      <c r="T313" s="104"/>
      <c r="U313" s="104"/>
      <c r="V313" s="104"/>
      <c r="W313" s="104"/>
      <c r="X313" s="104"/>
      <c r="Y313" s="104"/>
      <c r="Z313" s="104"/>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4"/>
      <c r="BK313" s="224"/>
    </row>
    <row r="314" spans="1:63" hidden="1" outlineLevel="1">
      <c r="A314" s="9"/>
      <c r="B314" s="44"/>
      <c r="C314" s="283" t="s">
        <v>6</v>
      </c>
      <c r="D314" s="9"/>
      <c r="E314" s="9"/>
      <c r="F314" s="143"/>
      <c r="G314" s="206"/>
      <c r="H314" s="115"/>
      <c r="I314" s="115"/>
      <c r="J314" s="115"/>
      <c r="K314" s="115"/>
      <c r="L314" s="115">
        <f>IF(COUNT($H313:L313)=Input!$Y$7,SUM($G313:L313),0)</f>
        <v>0</v>
      </c>
      <c r="M314" s="115">
        <f>IF(COUNT($H313:M313)=Input!$Y$7,SUM($G313:M313),0)</f>
        <v>0</v>
      </c>
      <c r="N314" s="115">
        <f>IF(COUNT($H313:N313)=Input!$Y$7,SUM($G313:N313),0)</f>
        <v>0</v>
      </c>
      <c r="O314" s="115">
        <f>IF(COUNT($H313:O313)=Input!$Y$7,SUM($G313:O313),0)</f>
        <v>0</v>
      </c>
      <c r="P314" s="115">
        <f>IF(COUNT($H313:P313)=Input!$Y$7,SUM($G313:P313),0)</f>
        <v>0</v>
      </c>
      <c r="Q314" s="115">
        <f>IF(COUNT($H313:Q313)=Input!$Y$7,SUM($G313:Q313),0)</f>
        <v>0</v>
      </c>
      <c r="R314" s="104"/>
      <c r="S314" s="104"/>
      <c r="T314" s="104"/>
      <c r="U314" s="104"/>
      <c r="V314" s="104"/>
      <c r="W314" s="104"/>
      <c r="X314" s="104"/>
      <c r="Y314" s="104"/>
      <c r="Z314" s="104"/>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4"/>
      <c r="BK314" s="224"/>
    </row>
    <row r="315" spans="1:63" hidden="1" outlineLevel="1">
      <c r="A315" s="9"/>
      <c r="B315" s="44"/>
      <c r="C315" s="321">
        <f>Asset24</f>
        <v>0</v>
      </c>
      <c r="D315" s="9"/>
      <c r="E315" s="9"/>
      <c r="F315" s="143"/>
      <c r="G315" s="206"/>
      <c r="H315" s="115">
        <f>($G260+(SUM($G315:G315)))*H$7</f>
        <v>0</v>
      </c>
      <c r="I315" s="115">
        <f>($G260+(SUM($G315:H315)))*I$7</f>
        <v>0</v>
      </c>
      <c r="J315" s="115">
        <f>($G260+(SUM($G315:I315)))*J$7</f>
        <v>0</v>
      </c>
      <c r="K315" s="115">
        <f>($G260+(SUM($G315:J315)))*K$7</f>
        <v>0</v>
      </c>
      <c r="L315" s="115">
        <f>($G260+(SUM($G315:K315)))*L$7</f>
        <v>0</v>
      </c>
      <c r="M315" s="115">
        <f>IF(COUNT($H315:L315)&gt;=Input!$Y$7,0,($G260+(SUM($G315:L315)))*M$7)</f>
        <v>0</v>
      </c>
      <c r="N315" s="115">
        <f>IF(COUNT($H315:M315)&gt;=Input!$Y$7,0,($G260+(SUM($G315:M315)))*N$7)</f>
        <v>0</v>
      </c>
      <c r="O315" s="115">
        <f>IF(COUNT($H315:N315)&gt;=Input!$Y$7,0,($G260+(SUM($G315:N315)))*O$7)</f>
        <v>0</v>
      </c>
      <c r="P315" s="115">
        <f>IF(COUNT($H315:O315)&gt;=Input!$Y$7,0,($G260+(SUM($G315:O315)))*P$7)</f>
        <v>0</v>
      </c>
      <c r="Q315" s="115">
        <f>IF(COUNT($H315:P315)&gt;=Input!$Y$7,0,($G260+(SUM($G315:P315)))*Q$7)</f>
        <v>0</v>
      </c>
      <c r="R315" s="104"/>
      <c r="S315" s="104"/>
      <c r="T315" s="104"/>
      <c r="U315" s="104"/>
      <c r="V315" s="104"/>
      <c r="W315" s="104"/>
      <c r="X315" s="104"/>
      <c r="Y315" s="104"/>
      <c r="Z315" s="104"/>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4"/>
      <c r="BK315" s="224"/>
    </row>
    <row r="316" spans="1:63" hidden="1" outlineLevel="1">
      <c r="A316" s="9"/>
      <c r="B316" s="44"/>
      <c r="C316" s="283" t="s">
        <v>6</v>
      </c>
      <c r="D316" s="9"/>
      <c r="E316" s="9"/>
      <c r="F316" s="143"/>
      <c r="G316" s="206"/>
      <c r="H316" s="115"/>
      <c r="I316" s="115"/>
      <c r="J316" s="115"/>
      <c r="K316" s="115"/>
      <c r="L316" s="115">
        <f>IF(COUNT($H315:L315)=Input!$Y$7,SUM($G315:L315),0)</f>
        <v>0</v>
      </c>
      <c r="M316" s="115">
        <f>IF(COUNT($H315:M315)=Input!$Y$7,SUM($G315:M315),0)</f>
        <v>0</v>
      </c>
      <c r="N316" s="115">
        <f>IF(COUNT($H315:N315)=Input!$Y$7,SUM($G315:N315),0)</f>
        <v>0</v>
      </c>
      <c r="O316" s="115">
        <f>IF(COUNT($H315:O315)=Input!$Y$7,SUM($G315:O315),0)</f>
        <v>0</v>
      </c>
      <c r="P316" s="115">
        <f>IF(COUNT($H315:P315)=Input!$Y$7,SUM($G315:P315),0)</f>
        <v>0</v>
      </c>
      <c r="Q316" s="115">
        <f>IF(COUNT($H315:Q315)=Input!$Y$7,SUM($G315:Q315),0)</f>
        <v>0</v>
      </c>
      <c r="R316" s="104"/>
      <c r="S316" s="104"/>
      <c r="T316" s="104"/>
      <c r="U316" s="104"/>
      <c r="V316" s="104"/>
      <c r="W316" s="104"/>
      <c r="X316" s="104"/>
      <c r="Y316" s="104"/>
      <c r="Z316" s="104"/>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4"/>
      <c r="BK316" s="224"/>
    </row>
    <row r="317" spans="1:63" hidden="1" outlineLevel="1">
      <c r="A317" s="9"/>
      <c r="B317" s="44"/>
      <c r="C317" s="321">
        <f>Asset25</f>
        <v>0</v>
      </c>
      <c r="D317" s="9"/>
      <c r="E317" s="9"/>
      <c r="F317" s="143"/>
      <c r="G317" s="206"/>
      <c r="H317" s="115">
        <f>($G261+(SUM($G317:G317)))*H$7</f>
        <v>0</v>
      </c>
      <c r="I317" s="115">
        <f>($G261+(SUM($G317:H317)))*I$7</f>
        <v>0</v>
      </c>
      <c r="J317" s="115">
        <f>($G261+(SUM($G317:I317)))*J$7</f>
        <v>0</v>
      </c>
      <c r="K317" s="115">
        <f>($G261+(SUM($G317:J317)))*K$7</f>
        <v>0</v>
      </c>
      <c r="L317" s="115">
        <f>($G261+(SUM($G317:K317)))*L$7</f>
        <v>0</v>
      </c>
      <c r="M317" s="115">
        <f>IF(COUNT($H317:L317)&gt;=Input!$Y$7,0,($G261+(SUM($G317:L317)))*M$7)</f>
        <v>0</v>
      </c>
      <c r="N317" s="115">
        <f>IF(COUNT($H317:M317)&gt;=Input!$Y$7,0,($G261+(SUM($G317:M317)))*N$7)</f>
        <v>0</v>
      </c>
      <c r="O317" s="115">
        <f>IF(COUNT($H317:N317)&gt;=Input!$Y$7,0,($G261+(SUM($G317:N317)))*O$7)</f>
        <v>0</v>
      </c>
      <c r="P317" s="115">
        <f>IF(COUNT($H317:O317)&gt;=Input!$Y$7,0,($G261+(SUM($G317:O317)))*P$7)</f>
        <v>0</v>
      </c>
      <c r="Q317" s="115">
        <f>IF(COUNT($H317:P317)&gt;=Input!$Y$7,0,($G261+(SUM($G317:P317)))*Q$7)</f>
        <v>0</v>
      </c>
      <c r="R317" s="104"/>
      <c r="S317" s="104"/>
      <c r="T317" s="104"/>
      <c r="U317" s="104"/>
      <c r="V317" s="104"/>
      <c r="W317" s="104"/>
      <c r="X317" s="104"/>
      <c r="Y317" s="104"/>
      <c r="Z317" s="104"/>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4"/>
      <c r="BK317" s="224"/>
    </row>
    <row r="318" spans="1:63" hidden="1" outlineLevel="1">
      <c r="A318" s="9"/>
      <c r="B318" s="44"/>
      <c r="C318" s="283" t="s">
        <v>6</v>
      </c>
      <c r="D318" s="9"/>
      <c r="E318" s="9"/>
      <c r="F318" s="143"/>
      <c r="G318" s="206"/>
      <c r="H318" s="115"/>
      <c r="I318" s="115"/>
      <c r="J318" s="115"/>
      <c r="K318" s="115"/>
      <c r="L318" s="115">
        <f>IF(COUNT($H317:L317)=Input!$Y$7,SUM($G317:L317),0)</f>
        <v>0</v>
      </c>
      <c r="M318" s="115">
        <f>IF(COUNT($H317:M317)=Input!$Y$7,SUM($G317:M317),0)</f>
        <v>0</v>
      </c>
      <c r="N318" s="115">
        <f>IF(COUNT($H317:N317)=Input!$Y$7,SUM($G317:N317),0)</f>
        <v>0</v>
      </c>
      <c r="O318" s="115">
        <f>IF(COUNT($H317:O317)=Input!$Y$7,SUM($G317:O317),0)</f>
        <v>0</v>
      </c>
      <c r="P318" s="115">
        <f>IF(COUNT($H317:P317)=Input!$Y$7,SUM($G317:P317),0)</f>
        <v>0</v>
      </c>
      <c r="Q318" s="115">
        <f>IF(COUNT($H317:Q317)=Input!$Y$7,SUM($G317:Q317),0)</f>
        <v>0</v>
      </c>
      <c r="R318" s="104"/>
      <c r="S318" s="104"/>
      <c r="T318" s="104"/>
      <c r="U318" s="104"/>
      <c r="V318" s="104"/>
      <c r="W318" s="104"/>
      <c r="X318" s="104"/>
      <c r="Y318" s="104"/>
      <c r="Z318" s="104"/>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4"/>
      <c r="BK318" s="224"/>
    </row>
    <row r="319" spans="1:63" hidden="1" outlineLevel="1">
      <c r="A319" s="9"/>
      <c r="B319" s="44"/>
      <c r="C319" s="321">
        <f>Asset26</f>
        <v>0</v>
      </c>
      <c r="D319" s="9"/>
      <c r="E319" s="9"/>
      <c r="F319" s="143"/>
      <c r="G319" s="206"/>
      <c r="H319" s="115">
        <f>($G262+(SUM($G319:G319)))*H$7</f>
        <v>0</v>
      </c>
      <c r="I319" s="115">
        <f>($G262+(SUM($G319:H319)))*I$7</f>
        <v>0</v>
      </c>
      <c r="J319" s="115">
        <f>($G262+(SUM($G319:I319)))*J$7</f>
        <v>0</v>
      </c>
      <c r="K319" s="115">
        <f>($G262+(SUM($G319:J319)))*K$7</f>
        <v>0</v>
      </c>
      <c r="L319" s="115">
        <f>($G262+(SUM($G319:K319)))*L$7</f>
        <v>0</v>
      </c>
      <c r="M319" s="115">
        <f>IF(COUNT($H319:L319)&gt;=Input!$Y$7,0,($G262+(SUM($G319:L319)))*M$7)</f>
        <v>0</v>
      </c>
      <c r="N319" s="115">
        <f>IF(COUNT($H319:M319)&gt;=Input!$Y$7,0,($G262+(SUM($G319:M319)))*N$7)</f>
        <v>0</v>
      </c>
      <c r="O319" s="115">
        <f>IF(COUNT($H319:N319)&gt;=Input!$Y$7,0,($G262+(SUM($G319:N319)))*O$7)</f>
        <v>0</v>
      </c>
      <c r="P319" s="115">
        <f>IF(COUNT($H319:O319)&gt;=Input!$Y$7,0,($G262+(SUM($G319:O319)))*P$7)</f>
        <v>0</v>
      </c>
      <c r="Q319" s="115">
        <f>IF(COUNT($H319:P319)&gt;=Input!$Y$7,0,($G262+(SUM($G319:P319)))*Q$7)</f>
        <v>0</v>
      </c>
      <c r="R319" s="104"/>
      <c r="S319" s="104"/>
      <c r="T319" s="104"/>
      <c r="U319" s="104"/>
      <c r="V319" s="104"/>
      <c r="W319" s="104"/>
      <c r="X319" s="104"/>
      <c r="Y319" s="104"/>
      <c r="Z319" s="104"/>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4"/>
      <c r="BK319" s="224"/>
    </row>
    <row r="320" spans="1:63" hidden="1" outlineLevel="1">
      <c r="A320" s="9"/>
      <c r="B320" s="44"/>
      <c r="C320" s="283" t="s">
        <v>6</v>
      </c>
      <c r="D320" s="9"/>
      <c r="E320" s="9"/>
      <c r="F320" s="143"/>
      <c r="G320" s="206"/>
      <c r="H320" s="115"/>
      <c r="I320" s="115"/>
      <c r="J320" s="115"/>
      <c r="K320" s="115"/>
      <c r="L320" s="115">
        <f>IF(COUNT($H319:L319)=Input!$Y$7,SUM($G319:L319),0)</f>
        <v>0</v>
      </c>
      <c r="M320" s="115">
        <f>IF(COUNT($H319:M319)=Input!$Y$7,SUM($G319:M319),0)</f>
        <v>0</v>
      </c>
      <c r="N320" s="115">
        <f>IF(COUNT($H319:N319)=Input!$Y$7,SUM($G319:N319),0)</f>
        <v>0</v>
      </c>
      <c r="O320" s="115">
        <f>IF(COUNT($H319:O319)=Input!$Y$7,SUM($G319:O319),0)</f>
        <v>0</v>
      </c>
      <c r="P320" s="115">
        <f>IF(COUNT($H319:P319)=Input!$Y$7,SUM($G319:P319),0)</f>
        <v>0</v>
      </c>
      <c r="Q320" s="115">
        <f>IF(COUNT($H319:Q319)=Input!$Y$7,SUM($G319:Q319),0)</f>
        <v>0</v>
      </c>
      <c r="R320" s="104"/>
      <c r="S320" s="104"/>
      <c r="T320" s="104"/>
      <c r="U320" s="104"/>
      <c r="V320" s="104"/>
      <c r="W320" s="104"/>
      <c r="X320" s="104"/>
      <c r="Y320" s="104"/>
      <c r="Z320" s="104"/>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4"/>
      <c r="BK320" s="224"/>
    </row>
    <row r="321" spans="1:63" hidden="1" outlineLevel="1">
      <c r="A321" s="9"/>
      <c r="B321" s="44"/>
      <c r="C321" s="321">
        <f>Asset27</f>
        <v>0</v>
      </c>
      <c r="D321" s="9"/>
      <c r="E321" s="9"/>
      <c r="F321" s="143"/>
      <c r="G321" s="206"/>
      <c r="H321" s="115">
        <f>($G263+(SUM($G321:G321)))*H$7</f>
        <v>0</v>
      </c>
      <c r="I321" s="115">
        <f>($G263+(SUM($G321:H321)))*I$7</f>
        <v>0</v>
      </c>
      <c r="J321" s="115">
        <f>($G263+(SUM($G321:I321)))*J$7</f>
        <v>0</v>
      </c>
      <c r="K321" s="115">
        <f>($G263+(SUM($G321:J321)))*K$7</f>
        <v>0</v>
      </c>
      <c r="L321" s="115">
        <f>($G263+(SUM($G321:K321)))*L$7</f>
        <v>0</v>
      </c>
      <c r="M321" s="115">
        <f>IF(COUNT($H321:L321)&gt;=Input!$Y$7,0,($G263+(SUM($G321:L321)))*M$7)</f>
        <v>0</v>
      </c>
      <c r="N321" s="115">
        <f>IF(COUNT($H321:M321)&gt;=Input!$Y$7,0,($G263+(SUM($G321:M321)))*N$7)</f>
        <v>0</v>
      </c>
      <c r="O321" s="115">
        <f>IF(COUNT($H321:N321)&gt;=Input!$Y$7,0,($G263+(SUM($G321:N321)))*O$7)</f>
        <v>0</v>
      </c>
      <c r="P321" s="115">
        <f>IF(COUNT($H321:O321)&gt;=Input!$Y$7,0,($G263+(SUM($G321:O321)))*P$7)</f>
        <v>0</v>
      </c>
      <c r="Q321" s="115">
        <f>IF(COUNT($H321:P321)&gt;=Input!$Y$7,0,($G263+(SUM($G321:P321)))*Q$7)</f>
        <v>0</v>
      </c>
      <c r="R321" s="104"/>
      <c r="S321" s="104"/>
      <c r="T321" s="104"/>
      <c r="U321" s="104"/>
      <c r="V321" s="104"/>
      <c r="W321" s="104"/>
      <c r="X321" s="104"/>
      <c r="Y321" s="104"/>
      <c r="Z321" s="104"/>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4"/>
      <c r="BK321" s="224"/>
    </row>
    <row r="322" spans="1:63" hidden="1" outlineLevel="1">
      <c r="A322" s="9"/>
      <c r="B322" s="44"/>
      <c r="C322" s="283" t="s">
        <v>6</v>
      </c>
      <c r="D322" s="9"/>
      <c r="E322" s="9"/>
      <c r="F322" s="143"/>
      <c r="G322" s="206"/>
      <c r="H322" s="115"/>
      <c r="I322" s="115"/>
      <c r="J322" s="115"/>
      <c r="K322" s="115"/>
      <c r="L322" s="115">
        <f>IF(COUNT($H321:L321)=Input!$Y$7,SUM($G321:L321),0)</f>
        <v>0</v>
      </c>
      <c r="M322" s="115">
        <f>IF(COUNT($H321:M321)=Input!$Y$7,SUM($G321:M321),0)</f>
        <v>0</v>
      </c>
      <c r="N322" s="115">
        <f>IF(COUNT($H321:N321)=Input!$Y$7,SUM($G321:N321),0)</f>
        <v>0</v>
      </c>
      <c r="O322" s="115">
        <f>IF(COUNT($H321:O321)=Input!$Y$7,SUM($G321:O321),0)</f>
        <v>0</v>
      </c>
      <c r="P322" s="115">
        <f>IF(COUNT($H321:P321)=Input!$Y$7,SUM($G321:P321),0)</f>
        <v>0</v>
      </c>
      <c r="Q322" s="115">
        <f>IF(COUNT($H321:Q321)=Input!$Y$7,SUM($G321:Q321),0)</f>
        <v>0</v>
      </c>
      <c r="R322" s="104"/>
      <c r="S322" s="104"/>
      <c r="T322" s="104"/>
      <c r="U322" s="104"/>
      <c r="V322" s="104"/>
      <c r="W322" s="104"/>
      <c r="X322" s="104"/>
      <c r="Y322" s="104"/>
      <c r="Z322" s="104"/>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4"/>
      <c r="BK322" s="224"/>
    </row>
    <row r="323" spans="1:63" hidden="1" outlineLevel="1">
      <c r="A323" s="9"/>
      <c r="B323" s="44"/>
      <c r="C323" s="321">
        <f>Asset28</f>
        <v>0</v>
      </c>
      <c r="D323" s="9"/>
      <c r="E323" s="9"/>
      <c r="F323" s="143"/>
      <c r="G323" s="206"/>
      <c r="H323" s="115">
        <f>($G264+(SUM($G323:G323)))*H$7</f>
        <v>0</v>
      </c>
      <c r="I323" s="115">
        <f>($G264+(SUM($G323:H323)))*I$7</f>
        <v>0</v>
      </c>
      <c r="J323" s="115">
        <f>($G264+(SUM($G323:I323)))*J$7</f>
        <v>0</v>
      </c>
      <c r="K323" s="115">
        <f>($G264+(SUM($G323:J323)))*K$7</f>
        <v>0</v>
      </c>
      <c r="L323" s="115">
        <f>IF(COUNT($H323:K323)&gt;=Input!$Y$7,0,($G264+(SUM($G323:K323)))*L$7)</f>
        <v>0</v>
      </c>
      <c r="M323" s="115">
        <f>IF(COUNT($H323:L323)&gt;=Input!$Y$7,0,($G264+(SUM($G323:L323)))*M$7)</f>
        <v>0</v>
      </c>
      <c r="N323" s="115">
        <f>IF(COUNT($H323:M323)&gt;=Input!$Y$7,0,($G264+(SUM($G323:M323)))*N$7)</f>
        <v>0</v>
      </c>
      <c r="O323" s="115">
        <f>IF(COUNT($H323:N323)&gt;=Input!$Y$7,0,($G264+(SUM($G323:N323)))*O$7)</f>
        <v>0</v>
      </c>
      <c r="P323" s="115">
        <f>IF(COUNT($H323:O323)&gt;=Input!$Y$7,0,($G264+(SUM($G323:O323)))*P$7)</f>
        <v>0</v>
      </c>
      <c r="Q323" s="115">
        <f>IF(COUNT($H323:P323)&gt;=Input!$Y$7,0,($G264+(SUM($G323:P323)))*Q$7)</f>
        <v>0</v>
      </c>
      <c r="R323" s="104"/>
      <c r="S323" s="104"/>
      <c r="T323" s="104"/>
      <c r="U323" s="104"/>
      <c r="V323" s="104"/>
      <c r="W323" s="104"/>
      <c r="X323" s="104"/>
      <c r="Y323" s="104"/>
      <c r="Z323" s="104"/>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4"/>
      <c r="BK323" s="224"/>
    </row>
    <row r="324" spans="1:63" hidden="1" outlineLevel="1">
      <c r="A324" s="9"/>
      <c r="B324" s="44"/>
      <c r="C324" s="283" t="s">
        <v>6</v>
      </c>
      <c r="D324" s="9"/>
      <c r="E324" s="9"/>
      <c r="F324" s="143"/>
      <c r="G324" s="206"/>
      <c r="H324" s="115"/>
      <c r="I324" s="115"/>
      <c r="J324" s="115"/>
      <c r="K324" s="115"/>
      <c r="L324" s="115">
        <f>IF(COUNT($H323:L323)=Input!$Y$7,SUM($G323:L323),0)</f>
        <v>0</v>
      </c>
      <c r="M324" s="115">
        <f>IF(COUNT($H323:M323)=Input!$Y$7,SUM($G323:M323),0)</f>
        <v>0</v>
      </c>
      <c r="N324" s="115">
        <f>IF(COUNT($H323:N323)=Input!$Y$7,SUM($G323:N323),0)</f>
        <v>0</v>
      </c>
      <c r="O324" s="115">
        <f>IF(COUNT($H323:O323)=Input!$Y$7,SUM($G323:O323),0)</f>
        <v>0</v>
      </c>
      <c r="P324" s="115">
        <f>IF(COUNT($H323:P323)=Input!$Y$7,SUM($G323:P323),0)</f>
        <v>0</v>
      </c>
      <c r="Q324" s="115">
        <f>IF(COUNT($H323:Q323)=Input!$Y$7,SUM($G323:Q323),0)</f>
        <v>0</v>
      </c>
      <c r="R324" s="104"/>
      <c r="S324" s="104"/>
      <c r="T324" s="104"/>
      <c r="U324" s="104"/>
      <c r="V324" s="104"/>
      <c r="W324" s="104"/>
      <c r="X324" s="104"/>
      <c r="Y324" s="104"/>
      <c r="Z324" s="104"/>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4"/>
      <c r="BK324" s="224"/>
    </row>
    <row r="325" spans="1:63" hidden="1" outlineLevel="1">
      <c r="A325" s="9"/>
      <c r="B325" s="44"/>
      <c r="C325" s="321">
        <f>Asset29</f>
        <v>0</v>
      </c>
      <c r="D325" s="9"/>
      <c r="E325" s="9"/>
      <c r="F325" s="143"/>
      <c r="G325" s="206"/>
      <c r="H325" s="115">
        <f>($G265+(SUM($G325:G325)))*H$7</f>
        <v>0</v>
      </c>
      <c r="I325" s="115">
        <f>($G265+(SUM($G325:H325)))*I$7</f>
        <v>0</v>
      </c>
      <c r="J325" s="115">
        <f>($G265+(SUM($G325:I325)))*J$7</f>
        <v>0</v>
      </c>
      <c r="K325" s="115">
        <f>($G265+(SUM($G325:J325)))*K$7</f>
        <v>0</v>
      </c>
      <c r="L325" s="115">
        <f>($G265+(SUM($G325:K325)))*L$7</f>
        <v>0</v>
      </c>
      <c r="M325" s="115">
        <f>IF(COUNT($H325:L325)&gt;=Input!$Y$7,0,($G265+(SUM($G325:L325)))*M$7)</f>
        <v>0</v>
      </c>
      <c r="N325" s="115">
        <f>IF(COUNT($H325:M325)&gt;=Input!$Y$7,0,($G265+(SUM($G325:M325)))*N$7)</f>
        <v>0</v>
      </c>
      <c r="O325" s="115">
        <f>IF(COUNT($H325:N325)&gt;=Input!$Y$7,0,($G265+(SUM($G325:N325)))*O$7)</f>
        <v>0</v>
      </c>
      <c r="P325" s="115">
        <f>IF(COUNT($H325:O325)&gt;=Input!$Y$7,0,($G265+(SUM($G325:O325)))*P$7)</f>
        <v>0</v>
      </c>
      <c r="Q325" s="115">
        <f>IF(COUNT($H325:P325)&gt;=Input!$Y$7,0,($G265+(SUM($G325:P325)))*Q$7)</f>
        <v>0</v>
      </c>
      <c r="R325" s="104"/>
      <c r="S325" s="104"/>
      <c r="T325" s="104"/>
      <c r="U325" s="104"/>
      <c r="V325" s="104"/>
      <c r="W325" s="104"/>
      <c r="X325" s="104"/>
      <c r="Y325" s="104"/>
      <c r="Z325" s="104"/>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4"/>
      <c r="BK325" s="224"/>
    </row>
    <row r="326" spans="1:63" hidden="1" outlineLevel="1">
      <c r="A326" s="9"/>
      <c r="B326" s="44"/>
      <c r="C326" s="283" t="s">
        <v>6</v>
      </c>
      <c r="D326" s="9"/>
      <c r="E326" s="9"/>
      <c r="F326" s="143"/>
      <c r="G326" s="206"/>
      <c r="H326" s="115"/>
      <c r="I326" s="115"/>
      <c r="J326" s="115"/>
      <c r="K326" s="115"/>
      <c r="L326" s="115">
        <f>IF(COUNT($H325:L325)=Input!$Y$7,SUM($G325:L325),0)</f>
        <v>0</v>
      </c>
      <c r="M326" s="115">
        <f>IF(COUNT($H325:M325)=Input!$Y$7,SUM($G325:M325),0)</f>
        <v>0</v>
      </c>
      <c r="N326" s="115">
        <f>IF(COUNT($H325:N325)=Input!$Y$7,SUM($G325:N325),0)</f>
        <v>0</v>
      </c>
      <c r="O326" s="115">
        <f>IF(COUNT($H325:O325)=Input!$Y$7,SUM($G325:O325),0)</f>
        <v>0</v>
      </c>
      <c r="P326" s="115">
        <f>IF(COUNT($H325:P325)=Input!$Y$7,SUM($G325:P325),0)</f>
        <v>0</v>
      </c>
      <c r="Q326" s="115">
        <f>IF(COUNT($H325:Q325)=Input!$Y$7,SUM($G325:Q325),0)</f>
        <v>0</v>
      </c>
      <c r="R326" s="104"/>
      <c r="S326" s="104"/>
      <c r="T326" s="104"/>
      <c r="U326" s="104"/>
      <c r="V326" s="104"/>
      <c r="W326" s="104"/>
      <c r="X326" s="104"/>
      <c r="Y326" s="104"/>
      <c r="Z326" s="104"/>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4"/>
      <c r="BK326" s="224"/>
    </row>
    <row r="327" spans="1:63" hidden="1" outlineLevel="1">
      <c r="A327" s="9"/>
      <c r="B327" s="44"/>
      <c r="C327" s="321">
        <f>Asset30</f>
        <v>0</v>
      </c>
      <c r="D327" s="9"/>
      <c r="E327" s="9"/>
      <c r="F327" s="143"/>
      <c r="G327" s="206"/>
      <c r="H327" s="115">
        <f>($G266+(SUM($G327:G327)))*H$7</f>
        <v>0</v>
      </c>
      <c r="I327" s="115">
        <f>($G266+(SUM($G327:H327)))*I$7</f>
        <v>0</v>
      </c>
      <c r="J327" s="115">
        <f>($G266+(SUM($G327:I327)))*J$7</f>
        <v>0</v>
      </c>
      <c r="K327" s="115">
        <f>($G266+(SUM($G327:J327)))*K$7</f>
        <v>0</v>
      </c>
      <c r="L327" s="115">
        <f>($G266+(SUM($G327:K327)))*L$7</f>
        <v>0</v>
      </c>
      <c r="M327" s="115">
        <f>IF(COUNT($H327:L327)&gt;=Input!$Y$7,0,($G266+(SUM($G327:L327)))*M$7)</f>
        <v>0</v>
      </c>
      <c r="N327" s="115">
        <f>IF(COUNT($H327:M327)&gt;=Input!$Y$7,0,($G266+(SUM($G327:M327)))*N$7)</f>
        <v>0</v>
      </c>
      <c r="O327" s="115">
        <f>IF(COUNT($H327:N327)&gt;=Input!$Y$7,0,($G266+(SUM($G327:N327)))*O$7)</f>
        <v>0</v>
      </c>
      <c r="P327" s="115">
        <f>IF(COUNT($H327:O327)&gt;=Input!$Y$7,0,($G266+(SUM($G327:O327)))*P$7)</f>
        <v>0</v>
      </c>
      <c r="Q327" s="115">
        <f>IF(COUNT($H327:P327)&gt;=Input!$Y$7,0,($G266+(SUM($G327:P327)))*Q$7)</f>
        <v>0</v>
      </c>
      <c r="R327" s="104"/>
      <c r="S327" s="104"/>
      <c r="T327" s="104"/>
      <c r="U327" s="104"/>
      <c r="V327" s="104"/>
      <c r="W327" s="104"/>
      <c r="X327" s="104"/>
      <c r="Y327" s="104"/>
      <c r="Z327" s="104"/>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4"/>
      <c r="BK327" s="224"/>
    </row>
    <row r="328" spans="1:63" hidden="1" outlineLevel="1">
      <c r="A328" s="9"/>
      <c r="B328" s="44"/>
      <c r="C328" s="283" t="s">
        <v>6</v>
      </c>
      <c r="D328" s="9"/>
      <c r="E328" s="9"/>
      <c r="F328" s="143"/>
      <c r="G328" s="206"/>
      <c r="H328" s="115"/>
      <c r="I328" s="115"/>
      <c r="J328" s="115"/>
      <c r="K328" s="115"/>
      <c r="L328" s="115">
        <f>IF(COUNT($H327:L327)=Input!$Y$7,SUM($G327:L327),0)</f>
        <v>0</v>
      </c>
      <c r="M328" s="115">
        <f>IF(COUNT($H327:M327)=Input!$Y$7,SUM($G327:M327),0)</f>
        <v>0</v>
      </c>
      <c r="N328" s="115">
        <f>IF(COUNT($H327:N327)=Input!$Y$7,SUM($G327:N327),0)</f>
        <v>0</v>
      </c>
      <c r="O328" s="115">
        <f>IF(COUNT($H327:O327)=Input!$Y$7,SUM($G327:O327),0)</f>
        <v>0</v>
      </c>
      <c r="P328" s="115">
        <f>IF(COUNT($H327:P327)=Input!$Y$7,SUM($G327:P327),0)</f>
        <v>0</v>
      </c>
      <c r="Q328" s="115">
        <f>IF(COUNT($H327:Q327)=Input!$Y$7,SUM($G327:Q327),0)</f>
        <v>0</v>
      </c>
      <c r="R328" s="104"/>
      <c r="S328" s="104"/>
      <c r="T328" s="104"/>
      <c r="U328" s="104"/>
      <c r="V328" s="104"/>
      <c r="W328" s="104"/>
      <c r="X328" s="104"/>
      <c r="Y328" s="104"/>
      <c r="Z328" s="104"/>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4"/>
      <c r="BK328" s="224"/>
    </row>
    <row r="329" spans="1:63" collapsed="1">
      <c r="A329" s="9"/>
      <c r="B329" s="189" t="s">
        <v>18</v>
      </c>
      <c r="D329" s="9"/>
      <c r="E329" s="9"/>
      <c r="F329" s="143"/>
      <c r="G329" s="206"/>
      <c r="H329" s="119"/>
      <c r="I329" s="119"/>
      <c r="J329" s="119"/>
      <c r="K329" s="119"/>
      <c r="L329" s="119">
        <f>IF(COUNT($H268:L268)=Input!$Y$7, SUM($G268:L268), 0)</f>
        <v>0</v>
      </c>
      <c r="M329" s="119">
        <f>IF(COUNT($H268:M268)=Input!$Y$7, SUM($G268:M268), 0)</f>
        <v>0</v>
      </c>
      <c r="N329" s="119">
        <f>IF(COUNT($H268:N268)=Input!$Y$7, SUM($G268:N268), 0)</f>
        <v>0</v>
      </c>
      <c r="O329" s="119">
        <f>IF(COUNT($H268:O268)=Input!$Y$7, SUM($G268:O268), 0)</f>
        <v>0</v>
      </c>
      <c r="P329" s="119">
        <f>IF(COUNT($H268:P268)=Input!$Y$7, SUM($G268:P268), 0)</f>
        <v>0</v>
      </c>
      <c r="Q329" s="119">
        <f>IF(COUNT($H268:Q268)=Input!$Y$7, SUM($G268:Q268), 0)</f>
        <v>0</v>
      </c>
      <c r="R329" s="104"/>
      <c r="S329" s="104"/>
      <c r="T329" s="104"/>
      <c r="U329" s="104"/>
      <c r="V329" s="104"/>
      <c r="W329" s="104"/>
      <c r="X329" s="104"/>
      <c r="Y329" s="104"/>
      <c r="Z329" s="104"/>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4"/>
      <c r="BK329" s="224"/>
    </row>
    <row r="330" spans="1:63">
      <c r="A330" s="9"/>
      <c r="B330" s="189"/>
      <c r="D330" s="9"/>
      <c r="E330" s="9"/>
      <c r="F330" s="143"/>
      <c r="G330" s="315"/>
      <c r="H330" s="119"/>
      <c r="I330" s="119"/>
      <c r="J330" s="119"/>
      <c r="K330" s="119"/>
      <c r="L330" s="119"/>
      <c r="M330" s="119"/>
      <c r="N330" s="119"/>
      <c r="O330" s="119"/>
      <c r="P330" s="119"/>
      <c r="Q330" s="119"/>
      <c r="R330" s="104"/>
      <c r="S330" s="104"/>
      <c r="T330" s="104"/>
      <c r="U330" s="104"/>
      <c r="V330" s="104"/>
      <c r="W330" s="104"/>
      <c r="X330" s="104"/>
      <c r="Y330" s="104"/>
      <c r="Z330" s="104"/>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4"/>
      <c r="BK330" s="224"/>
    </row>
    <row r="331" spans="1:63">
      <c r="A331" s="78"/>
      <c r="B331" s="183" t="s">
        <v>98</v>
      </c>
      <c r="C331" s="184"/>
      <c r="D331" s="78"/>
      <c r="E331" s="78"/>
      <c r="F331" s="185"/>
      <c r="G331" s="186"/>
      <c r="H331" s="186"/>
      <c r="I331" s="186"/>
      <c r="J331" s="186"/>
      <c r="K331" s="186"/>
      <c r="L331" s="186"/>
      <c r="M331" s="78"/>
      <c r="N331" s="187"/>
      <c r="O331" s="188"/>
      <c r="P331" s="188"/>
      <c r="Q331" s="188"/>
      <c r="R331" s="188"/>
      <c r="S331" s="104"/>
      <c r="T331" s="104"/>
      <c r="U331" s="104"/>
      <c r="V331" s="104"/>
      <c r="W331" s="104"/>
      <c r="X331" s="104"/>
      <c r="Y331" s="104"/>
      <c r="Z331" s="104"/>
      <c r="AA331" s="231"/>
      <c r="AB331" s="231"/>
      <c r="AC331" s="231"/>
      <c r="AD331" s="231"/>
      <c r="AE331" s="231"/>
      <c r="AF331" s="231"/>
      <c r="AG331" s="231"/>
      <c r="AH331" s="231"/>
      <c r="AI331" s="231"/>
      <c r="AJ331" s="231"/>
      <c r="AK331" s="231"/>
      <c r="AL331" s="231"/>
      <c r="AM331" s="231"/>
      <c r="AN331" s="231"/>
      <c r="AO331" s="231"/>
      <c r="AP331" s="231"/>
      <c r="AQ331" s="231"/>
      <c r="AR331" s="231"/>
      <c r="AS331" s="231"/>
      <c r="AT331" s="231"/>
      <c r="AU331" s="231"/>
      <c r="AV331" s="231"/>
      <c r="AW331" s="231"/>
      <c r="AX331" s="231"/>
      <c r="AY331" s="231"/>
      <c r="AZ331" s="231"/>
      <c r="BA331" s="231"/>
      <c r="BB331" s="231"/>
      <c r="BC331" s="231"/>
      <c r="BD331" s="231"/>
      <c r="BE331" s="231"/>
      <c r="BF331" s="231"/>
      <c r="BG331" s="231"/>
      <c r="BH331" s="231"/>
      <c r="BI331" s="231"/>
      <c r="BJ331" s="224"/>
      <c r="BK331" s="224"/>
    </row>
    <row r="332" spans="1:63">
      <c r="A332" s="9"/>
      <c r="B332" s="155"/>
      <c r="C332" s="26"/>
      <c r="D332" s="9"/>
      <c r="E332" s="9"/>
      <c r="F332" s="143"/>
      <c r="G332" s="119"/>
      <c r="H332" s="119"/>
      <c r="I332" s="119"/>
      <c r="J332" s="119"/>
      <c r="K332" s="119"/>
      <c r="L332" s="119"/>
      <c r="M332" s="9"/>
      <c r="N332" s="115"/>
      <c r="O332" s="154"/>
      <c r="P332" s="154"/>
      <c r="Q332" s="154"/>
      <c r="R332" s="104"/>
      <c r="S332" s="104"/>
      <c r="T332" s="104"/>
      <c r="U332" s="104"/>
      <c r="V332" s="104"/>
      <c r="W332" s="104"/>
      <c r="X332" s="104"/>
      <c r="Y332" s="104"/>
      <c r="Z332" s="104"/>
      <c r="AA332" s="231"/>
      <c r="AB332" s="231"/>
      <c r="AC332" s="231"/>
      <c r="AD332" s="231"/>
      <c r="AE332" s="231"/>
      <c r="AF332" s="231"/>
      <c r="AG332" s="231"/>
      <c r="AH332" s="231"/>
      <c r="AI332" s="231"/>
      <c r="AJ332" s="231"/>
      <c r="AK332" s="231"/>
      <c r="AL332" s="231"/>
      <c r="AM332" s="231"/>
      <c r="AN332" s="231"/>
      <c r="AO332" s="231"/>
      <c r="AP332" s="231"/>
      <c r="AQ332" s="231"/>
      <c r="AR332" s="231"/>
      <c r="AS332" s="231"/>
      <c r="AT332" s="231"/>
      <c r="AU332" s="231"/>
      <c r="AV332" s="231"/>
      <c r="AW332" s="231"/>
      <c r="AX332" s="231"/>
      <c r="AY332" s="231"/>
      <c r="AZ332" s="231"/>
      <c r="BA332" s="231"/>
      <c r="BB332" s="231"/>
      <c r="BC332" s="231"/>
      <c r="BD332" s="231"/>
      <c r="BE332" s="231"/>
      <c r="BF332" s="231"/>
      <c r="BG332" s="231"/>
      <c r="BH332" s="231"/>
      <c r="BI332" s="231"/>
      <c r="BJ332" s="224"/>
      <c r="BK332" s="224"/>
    </row>
    <row r="333" spans="1:63">
      <c r="A333" s="9"/>
      <c r="B333" s="44" t="s">
        <v>99</v>
      </c>
      <c r="C333" s="9"/>
      <c r="D333" s="9"/>
      <c r="E333" s="9"/>
      <c r="F333" s="143"/>
      <c r="G333" s="206">
        <f>SUM(G334:G353)</f>
        <v>0</v>
      </c>
      <c r="H333" s="119"/>
      <c r="I333" s="119"/>
      <c r="J333" s="119"/>
      <c r="K333" s="119"/>
      <c r="L333" s="119"/>
      <c r="M333" s="9"/>
      <c r="N333" s="115"/>
      <c r="O333" s="154"/>
      <c r="P333" s="154"/>
      <c r="Q333" s="154"/>
      <c r="R333" s="104"/>
      <c r="S333" s="104"/>
      <c r="T333" s="104"/>
      <c r="U333" s="104"/>
      <c r="V333" s="104"/>
      <c r="W333" s="104"/>
      <c r="X333" s="104"/>
      <c r="Y333" s="104"/>
      <c r="Z333" s="104"/>
      <c r="AA333" s="231"/>
      <c r="AB333" s="231"/>
      <c r="AC333" s="231"/>
      <c r="AD333" s="231"/>
      <c r="AE333" s="231"/>
      <c r="AF333" s="231"/>
      <c r="AG333" s="231"/>
      <c r="AH333" s="231"/>
      <c r="AI333" s="231"/>
      <c r="AJ333" s="231"/>
      <c r="AK333" s="231"/>
      <c r="AL333" s="231"/>
      <c r="AM333" s="231"/>
      <c r="AN333" s="231"/>
      <c r="AO333" s="231"/>
      <c r="AP333" s="231"/>
      <c r="AQ333" s="231"/>
      <c r="AR333" s="231"/>
      <c r="AS333" s="231"/>
      <c r="AT333" s="231"/>
      <c r="AU333" s="231"/>
      <c r="AV333" s="231"/>
      <c r="AW333" s="231"/>
      <c r="AX333" s="231"/>
      <c r="AY333" s="231"/>
      <c r="AZ333" s="231"/>
      <c r="BA333" s="231"/>
      <c r="BB333" s="231"/>
      <c r="BC333" s="231"/>
      <c r="BD333" s="231"/>
      <c r="BE333" s="231"/>
      <c r="BF333" s="231"/>
      <c r="BG333" s="231"/>
      <c r="BH333" s="231"/>
      <c r="BI333" s="231"/>
      <c r="BJ333" s="224"/>
      <c r="BK333" s="224"/>
    </row>
    <row r="334" spans="1:63" hidden="1" outlineLevel="1">
      <c r="A334" s="9"/>
      <c r="B334" s="9"/>
      <c r="C334" s="131" t="str">
        <f>Asset1</f>
        <v>Subtransmission</v>
      </c>
      <c r="D334" s="9"/>
      <c r="E334" s="9"/>
      <c r="F334" s="143"/>
      <c r="G334" s="204">
        <f>Input!N7</f>
        <v>0</v>
      </c>
      <c r="H334" s="119"/>
      <c r="I334" s="119"/>
      <c r="J334" s="119"/>
      <c r="K334" s="119"/>
      <c r="L334" s="119"/>
      <c r="M334" s="9"/>
      <c r="N334" s="115"/>
      <c r="O334" s="154"/>
      <c r="P334" s="154"/>
      <c r="Q334" s="154"/>
      <c r="R334" s="104"/>
      <c r="S334" s="104"/>
      <c r="T334" s="104"/>
      <c r="U334" s="104"/>
      <c r="V334" s="104"/>
      <c r="W334" s="104"/>
      <c r="X334" s="104"/>
      <c r="Y334" s="104"/>
      <c r="Z334" s="104"/>
      <c r="AA334" s="231"/>
      <c r="AB334" s="231"/>
      <c r="AC334" s="231"/>
      <c r="AD334" s="231"/>
      <c r="AE334" s="231"/>
      <c r="AF334" s="231"/>
      <c r="AG334" s="231"/>
      <c r="AH334" s="231"/>
      <c r="AI334" s="231"/>
      <c r="AJ334" s="231"/>
      <c r="AK334" s="231"/>
      <c r="AL334" s="231"/>
      <c r="AM334" s="231"/>
      <c r="AN334" s="231"/>
      <c r="AO334" s="231"/>
      <c r="AP334" s="231"/>
      <c r="AQ334" s="231"/>
      <c r="AR334" s="231"/>
      <c r="AS334" s="231"/>
      <c r="AT334" s="231"/>
      <c r="AU334" s="231"/>
      <c r="AV334" s="231"/>
      <c r="AW334" s="231"/>
      <c r="AX334" s="231"/>
      <c r="AY334" s="231"/>
      <c r="AZ334" s="231"/>
      <c r="BA334" s="231"/>
      <c r="BB334" s="231"/>
      <c r="BC334" s="231"/>
      <c r="BD334" s="231"/>
      <c r="BE334" s="231"/>
      <c r="BF334" s="231"/>
      <c r="BG334" s="231"/>
      <c r="BH334" s="231"/>
      <c r="BI334" s="231"/>
      <c r="BJ334" s="224"/>
      <c r="BK334" s="224"/>
    </row>
    <row r="335" spans="1:63" hidden="1" outlineLevel="1">
      <c r="A335" s="9"/>
      <c r="B335" s="44"/>
      <c r="C335" s="131" t="str">
        <f>Asset2</f>
        <v>Distribution system assets</v>
      </c>
      <c r="D335" s="9"/>
      <c r="E335" s="9"/>
      <c r="F335" s="143"/>
      <c r="G335" s="204">
        <f>Input!N8</f>
        <v>0</v>
      </c>
      <c r="H335" s="119"/>
      <c r="I335" s="119"/>
      <c r="J335" s="119"/>
      <c r="K335" s="119"/>
      <c r="L335" s="119"/>
      <c r="M335" s="9"/>
      <c r="N335" s="115"/>
      <c r="O335" s="154"/>
      <c r="P335" s="154"/>
      <c r="Q335" s="154"/>
      <c r="R335" s="104"/>
      <c r="S335" s="104"/>
      <c r="T335" s="104"/>
      <c r="U335" s="104"/>
      <c r="V335" s="104"/>
      <c r="W335" s="104"/>
      <c r="X335" s="104"/>
      <c r="Y335" s="104"/>
      <c r="Z335" s="104"/>
      <c r="AA335" s="231"/>
      <c r="AB335" s="231"/>
      <c r="AC335" s="231"/>
      <c r="AD335" s="231"/>
      <c r="AE335" s="231"/>
      <c r="AF335" s="231"/>
      <c r="AG335" s="231"/>
      <c r="AH335" s="231"/>
      <c r="AI335" s="231"/>
      <c r="AJ335" s="231"/>
      <c r="AK335" s="231"/>
      <c r="AL335" s="231"/>
      <c r="AM335" s="231"/>
      <c r="AN335" s="231"/>
      <c r="AO335" s="231"/>
      <c r="AP335" s="231"/>
      <c r="AQ335" s="231"/>
      <c r="AR335" s="231"/>
      <c r="AS335" s="231"/>
      <c r="AT335" s="231"/>
      <c r="AU335" s="231"/>
      <c r="AV335" s="231"/>
      <c r="AW335" s="231"/>
      <c r="AX335" s="231"/>
      <c r="AY335" s="231"/>
      <c r="AZ335" s="231"/>
      <c r="BA335" s="231"/>
      <c r="BB335" s="231"/>
      <c r="BC335" s="231"/>
      <c r="BD335" s="231"/>
      <c r="BE335" s="231"/>
      <c r="BF335" s="231"/>
      <c r="BG335" s="231"/>
      <c r="BH335" s="231"/>
      <c r="BI335" s="231"/>
      <c r="BJ335" s="224"/>
      <c r="BK335" s="224"/>
    </row>
    <row r="336" spans="1:63" hidden="1" outlineLevel="1">
      <c r="A336" s="9"/>
      <c r="B336" s="44"/>
      <c r="C336" s="131" t="str">
        <f>Asset3</f>
        <v>Standard metering</v>
      </c>
      <c r="D336" s="9"/>
      <c r="E336" s="9"/>
      <c r="F336" s="143"/>
      <c r="G336" s="204">
        <f>Input!N9</f>
        <v>0</v>
      </c>
      <c r="H336" s="119"/>
      <c r="I336" s="119"/>
      <c r="J336" s="119"/>
      <c r="K336" s="119"/>
      <c r="L336" s="119"/>
      <c r="M336" s="9"/>
      <c r="N336" s="115"/>
      <c r="O336" s="154"/>
      <c r="P336" s="154"/>
      <c r="Q336" s="154"/>
      <c r="R336" s="104"/>
      <c r="S336" s="104"/>
      <c r="T336" s="104"/>
      <c r="U336" s="104"/>
      <c r="V336" s="104"/>
      <c r="W336" s="104"/>
      <c r="X336" s="104"/>
      <c r="Y336" s="104"/>
      <c r="Z336" s="104"/>
      <c r="AA336" s="231"/>
      <c r="AB336" s="231"/>
      <c r="AC336" s="231"/>
      <c r="AD336" s="231"/>
      <c r="AE336" s="231"/>
      <c r="AF336" s="231"/>
      <c r="AG336" s="231"/>
      <c r="AH336" s="231"/>
      <c r="AI336" s="231"/>
      <c r="AJ336" s="231"/>
      <c r="AK336" s="231"/>
      <c r="AL336" s="231"/>
      <c r="AM336" s="231"/>
      <c r="AN336" s="231"/>
      <c r="AO336" s="231"/>
      <c r="AP336" s="231"/>
      <c r="AQ336" s="231"/>
      <c r="AR336" s="231"/>
      <c r="AS336" s="231"/>
      <c r="AT336" s="231"/>
      <c r="AU336" s="231"/>
      <c r="AV336" s="231"/>
      <c r="AW336" s="231"/>
      <c r="AX336" s="231"/>
      <c r="AY336" s="231"/>
      <c r="AZ336" s="231"/>
      <c r="BA336" s="231"/>
      <c r="BB336" s="231"/>
      <c r="BC336" s="231"/>
      <c r="BD336" s="231"/>
      <c r="BE336" s="231"/>
      <c r="BF336" s="231"/>
      <c r="BG336" s="231"/>
      <c r="BH336" s="231"/>
      <c r="BI336" s="231"/>
      <c r="BJ336" s="224"/>
      <c r="BK336" s="224"/>
    </row>
    <row r="337" spans="1:63" hidden="1" outlineLevel="1">
      <c r="A337" s="9"/>
      <c r="B337" s="44"/>
      <c r="C337" s="131" t="str">
        <f>Asset4</f>
        <v>Public lighting</v>
      </c>
      <c r="D337" s="9"/>
      <c r="E337" s="9"/>
      <c r="F337" s="143"/>
      <c r="G337" s="204">
        <f>Input!N10</f>
        <v>0</v>
      </c>
      <c r="H337" s="119"/>
      <c r="I337" s="119"/>
      <c r="J337" s="119"/>
      <c r="K337" s="119"/>
      <c r="L337" s="119"/>
      <c r="M337" s="9"/>
      <c r="N337" s="115"/>
      <c r="O337" s="154"/>
      <c r="P337" s="154"/>
      <c r="Q337" s="154"/>
      <c r="R337" s="104"/>
      <c r="S337" s="104"/>
      <c r="T337" s="104"/>
      <c r="U337" s="104"/>
      <c r="V337" s="104"/>
      <c r="W337" s="104"/>
      <c r="X337" s="104"/>
      <c r="Y337" s="104"/>
      <c r="Z337" s="104"/>
      <c r="AA337" s="231"/>
      <c r="AB337" s="231"/>
      <c r="AC337" s="231"/>
      <c r="AD337" s="231"/>
      <c r="AE337" s="231"/>
      <c r="AF337" s="231"/>
      <c r="AG337" s="231"/>
      <c r="AH337" s="231"/>
      <c r="AI337" s="231"/>
      <c r="AJ337" s="231"/>
      <c r="AK337" s="231"/>
      <c r="AL337" s="231"/>
      <c r="AM337" s="231"/>
      <c r="AN337" s="231"/>
      <c r="AO337" s="231"/>
      <c r="AP337" s="231"/>
      <c r="AQ337" s="231"/>
      <c r="AR337" s="231"/>
      <c r="AS337" s="231"/>
      <c r="AT337" s="231"/>
      <c r="AU337" s="231"/>
      <c r="AV337" s="231"/>
      <c r="AW337" s="231"/>
      <c r="AX337" s="231"/>
      <c r="AY337" s="231"/>
      <c r="AZ337" s="231"/>
      <c r="BA337" s="231"/>
      <c r="BB337" s="231"/>
      <c r="BC337" s="231"/>
      <c r="BD337" s="231"/>
      <c r="BE337" s="231"/>
      <c r="BF337" s="231"/>
      <c r="BG337" s="231"/>
      <c r="BH337" s="231"/>
      <c r="BI337" s="231"/>
      <c r="BJ337" s="224"/>
      <c r="BK337" s="224"/>
    </row>
    <row r="338" spans="1:63" hidden="1" outlineLevel="1">
      <c r="A338" s="9"/>
      <c r="B338" s="44"/>
      <c r="C338" s="131" t="str">
        <f>Asset5</f>
        <v>SCADA/Network control</v>
      </c>
      <c r="D338" s="9"/>
      <c r="E338" s="9"/>
      <c r="F338" s="143"/>
      <c r="G338" s="204">
        <f>Input!N11</f>
        <v>0</v>
      </c>
      <c r="H338" s="119"/>
      <c r="I338" s="119"/>
      <c r="J338" s="119"/>
      <c r="K338" s="119"/>
      <c r="L338" s="119"/>
      <c r="M338" s="9"/>
      <c r="N338" s="115"/>
      <c r="O338" s="154"/>
      <c r="P338" s="154"/>
      <c r="Q338" s="154"/>
      <c r="R338" s="104"/>
      <c r="S338" s="104"/>
      <c r="T338" s="104"/>
      <c r="U338" s="104"/>
      <c r="V338" s="104"/>
      <c r="W338" s="104"/>
      <c r="X338" s="104"/>
      <c r="Y338" s="104"/>
      <c r="Z338" s="104"/>
      <c r="AA338" s="231"/>
      <c r="AB338" s="231"/>
      <c r="AC338" s="231"/>
      <c r="AD338" s="231"/>
      <c r="AE338" s="231"/>
      <c r="AF338" s="231"/>
      <c r="AG338" s="231"/>
      <c r="AH338" s="231"/>
      <c r="AI338" s="231"/>
      <c r="AJ338" s="231"/>
      <c r="AK338" s="231"/>
      <c r="AL338" s="231"/>
      <c r="AM338" s="231"/>
      <c r="AN338" s="231"/>
      <c r="AO338" s="231"/>
      <c r="AP338" s="231"/>
      <c r="AQ338" s="231"/>
      <c r="AR338" s="231"/>
      <c r="AS338" s="231"/>
      <c r="AT338" s="231"/>
      <c r="AU338" s="231"/>
      <c r="AV338" s="231"/>
      <c r="AW338" s="231"/>
      <c r="AX338" s="231"/>
      <c r="AY338" s="231"/>
      <c r="AZ338" s="231"/>
      <c r="BA338" s="231"/>
      <c r="BB338" s="231"/>
      <c r="BC338" s="231"/>
      <c r="BD338" s="231"/>
      <c r="BE338" s="231"/>
      <c r="BF338" s="231"/>
      <c r="BG338" s="231"/>
      <c r="BH338" s="231"/>
      <c r="BI338" s="231"/>
      <c r="BJ338" s="224"/>
      <c r="BK338" s="224"/>
    </row>
    <row r="339" spans="1:63" hidden="1" outlineLevel="1">
      <c r="A339" s="9"/>
      <c r="B339" s="44"/>
      <c r="C339" s="131" t="str">
        <f>Asset6</f>
        <v>Non-network general assets - IT</v>
      </c>
      <c r="D339" s="9"/>
      <c r="E339" s="9"/>
      <c r="F339" s="143"/>
      <c r="G339" s="204">
        <f>Input!N12</f>
        <v>0</v>
      </c>
      <c r="H339" s="119"/>
      <c r="I339" s="119"/>
      <c r="J339" s="119"/>
      <c r="K339" s="119"/>
      <c r="L339" s="119"/>
      <c r="M339" s="9"/>
      <c r="N339" s="115"/>
      <c r="O339" s="154"/>
      <c r="P339" s="154"/>
      <c r="Q339" s="154"/>
      <c r="R339" s="104"/>
      <c r="S339" s="104"/>
      <c r="T339" s="104"/>
      <c r="U339" s="104"/>
      <c r="V339" s="104"/>
      <c r="W339" s="104"/>
      <c r="X339" s="104"/>
      <c r="Y339" s="104"/>
      <c r="Z339" s="104"/>
      <c r="AA339" s="231"/>
      <c r="AB339" s="231"/>
      <c r="AC339" s="231"/>
      <c r="AD339" s="231"/>
      <c r="AE339" s="231"/>
      <c r="AF339" s="231"/>
      <c r="AG339" s="231"/>
      <c r="AH339" s="231"/>
      <c r="AI339" s="231"/>
      <c r="AJ339" s="231"/>
      <c r="AK339" s="231"/>
      <c r="AL339" s="231"/>
      <c r="AM339" s="231"/>
      <c r="AN339" s="231"/>
      <c r="AO339" s="231"/>
      <c r="AP339" s="231"/>
      <c r="AQ339" s="231"/>
      <c r="AR339" s="231"/>
      <c r="AS339" s="231"/>
      <c r="AT339" s="231"/>
      <c r="AU339" s="231"/>
      <c r="AV339" s="231"/>
      <c r="AW339" s="231"/>
      <c r="AX339" s="231"/>
      <c r="AY339" s="231"/>
      <c r="AZ339" s="231"/>
      <c r="BA339" s="231"/>
      <c r="BB339" s="231"/>
      <c r="BC339" s="231"/>
      <c r="BD339" s="231"/>
      <c r="BE339" s="231"/>
      <c r="BF339" s="231"/>
      <c r="BG339" s="231"/>
      <c r="BH339" s="231"/>
      <c r="BI339" s="231"/>
      <c r="BJ339" s="224"/>
      <c r="BK339" s="224"/>
    </row>
    <row r="340" spans="1:63" hidden="1" outlineLevel="1">
      <c r="A340" s="9"/>
      <c r="B340" s="44"/>
      <c r="C340" s="131" t="str">
        <f>Asset7</f>
        <v>Non-network general assets - Other</v>
      </c>
      <c r="D340" s="9"/>
      <c r="E340" s="9"/>
      <c r="F340" s="143"/>
      <c r="G340" s="204">
        <f>Input!N13</f>
        <v>0</v>
      </c>
      <c r="H340" s="119"/>
      <c r="I340" s="119"/>
      <c r="J340" s="119"/>
      <c r="K340" s="119"/>
      <c r="L340" s="119"/>
      <c r="M340" s="9"/>
      <c r="N340" s="115"/>
      <c r="O340" s="154"/>
      <c r="P340" s="154"/>
      <c r="Q340" s="154"/>
      <c r="R340" s="104"/>
      <c r="S340" s="104"/>
      <c r="T340" s="104"/>
      <c r="U340" s="104"/>
      <c r="V340" s="104"/>
      <c r="W340" s="104"/>
      <c r="X340" s="104"/>
      <c r="Y340" s="104"/>
      <c r="Z340" s="104"/>
      <c r="AA340" s="231"/>
      <c r="AB340" s="231"/>
      <c r="AC340" s="231"/>
      <c r="AD340" s="231"/>
      <c r="AE340" s="231"/>
      <c r="AF340" s="231"/>
      <c r="AG340" s="231"/>
      <c r="AH340" s="231"/>
      <c r="AI340" s="231"/>
      <c r="AJ340" s="231"/>
      <c r="AK340" s="231"/>
      <c r="AL340" s="231"/>
      <c r="AM340" s="231"/>
      <c r="AN340" s="231"/>
      <c r="AO340" s="231"/>
      <c r="AP340" s="231"/>
      <c r="AQ340" s="231"/>
      <c r="AR340" s="231"/>
      <c r="AS340" s="231"/>
      <c r="AT340" s="231"/>
      <c r="AU340" s="231"/>
      <c r="AV340" s="231"/>
      <c r="AW340" s="231"/>
      <c r="AX340" s="231"/>
      <c r="AY340" s="231"/>
      <c r="AZ340" s="231"/>
      <c r="BA340" s="231"/>
      <c r="BB340" s="231"/>
      <c r="BC340" s="231"/>
      <c r="BD340" s="231"/>
      <c r="BE340" s="231"/>
      <c r="BF340" s="231"/>
      <c r="BG340" s="231"/>
      <c r="BH340" s="231"/>
      <c r="BI340" s="231"/>
      <c r="BJ340" s="224"/>
      <c r="BK340" s="224"/>
    </row>
    <row r="341" spans="1:63" hidden="1" outlineLevel="1">
      <c r="A341" s="9"/>
      <c r="B341" s="44"/>
      <c r="C341" s="131" t="str">
        <f>Asset8</f>
        <v>Equity Raising Costs</v>
      </c>
      <c r="D341" s="9"/>
      <c r="E341" s="9"/>
      <c r="F341" s="143"/>
      <c r="G341" s="204">
        <f>Input!N14</f>
        <v>0</v>
      </c>
      <c r="H341" s="119"/>
      <c r="I341" s="119"/>
      <c r="J341" s="119"/>
      <c r="K341" s="119"/>
      <c r="L341" s="119"/>
      <c r="M341" s="9"/>
      <c r="N341" s="115"/>
      <c r="O341" s="154"/>
      <c r="P341" s="154"/>
      <c r="Q341" s="154"/>
      <c r="R341" s="104"/>
      <c r="S341" s="104"/>
      <c r="T341" s="104"/>
      <c r="U341" s="104"/>
      <c r="V341" s="104"/>
      <c r="W341" s="104"/>
      <c r="X341" s="104"/>
      <c r="Y341" s="104"/>
      <c r="Z341" s="104"/>
      <c r="AA341" s="231"/>
      <c r="AB341" s="231"/>
      <c r="AC341" s="231"/>
      <c r="AD341" s="231"/>
      <c r="AE341" s="231"/>
      <c r="AF341" s="231"/>
      <c r="AG341" s="231"/>
      <c r="AH341" s="231"/>
      <c r="AI341" s="231"/>
      <c r="AJ341" s="231"/>
      <c r="AK341" s="231"/>
      <c r="AL341" s="231"/>
      <c r="AM341" s="231"/>
      <c r="AN341" s="231"/>
      <c r="AO341" s="231"/>
      <c r="AP341" s="231"/>
      <c r="AQ341" s="231"/>
      <c r="AR341" s="231"/>
      <c r="AS341" s="231"/>
      <c r="AT341" s="231"/>
      <c r="AU341" s="231"/>
      <c r="AV341" s="231"/>
      <c r="AW341" s="231"/>
      <c r="AX341" s="231"/>
      <c r="AY341" s="231"/>
      <c r="AZ341" s="231"/>
      <c r="BA341" s="231"/>
      <c r="BB341" s="231"/>
      <c r="BC341" s="231"/>
      <c r="BD341" s="231"/>
      <c r="BE341" s="231"/>
      <c r="BF341" s="231"/>
      <c r="BG341" s="231"/>
      <c r="BH341" s="231"/>
      <c r="BI341" s="231"/>
      <c r="BJ341" s="224"/>
      <c r="BK341" s="224"/>
    </row>
    <row r="342" spans="1:63" hidden="1" outlineLevel="1">
      <c r="A342" s="9"/>
      <c r="B342" s="44"/>
      <c r="C342" s="131">
        <f>Asset9</f>
        <v>0</v>
      </c>
      <c r="D342" s="9"/>
      <c r="E342" s="9"/>
      <c r="F342" s="143"/>
      <c r="G342" s="204">
        <f>Input!N15</f>
        <v>0</v>
      </c>
      <c r="H342" s="119"/>
      <c r="I342" s="119"/>
      <c r="J342" s="119"/>
      <c r="K342" s="119"/>
      <c r="L342" s="119"/>
      <c r="M342" s="9"/>
      <c r="N342" s="115"/>
      <c r="O342" s="154"/>
      <c r="P342" s="154"/>
      <c r="Q342" s="154"/>
      <c r="R342" s="104"/>
      <c r="S342" s="104"/>
      <c r="T342" s="104"/>
      <c r="U342" s="104"/>
      <c r="V342" s="104"/>
      <c r="W342" s="104"/>
      <c r="X342" s="104"/>
      <c r="Y342" s="104"/>
      <c r="Z342" s="104"/>
      <c r="AA342" s="231"/>
      <c r="AB342" s="231"/>
      <c r="AC342" s="231"/>
      <c r="AD342" s="231"/>
      <c r="AE342" s="231"/>
      <c r="AF342" s="231"/>
      <c r="AG342" s="231"/>
      <c r="AH342" s="231"/>
      <c r="AI342" s="231"/>
      <c r="AJ342" s="231"/>
      <c r="AK342" s="231"/>
      <c r="AL342" s="231"/>
      <c r="AM342" s="231"/>
      <c r="AN342" s="231"/>
      <c r="AO342" s="231"/>
      <c r="AP342" s="231"/>
      <c r="AQ342" s="231"/>
      <c r="AR342" s="231"/>
      <c r="AS342" s="231"/>
      <c r="AT342" s="231"/>
      <c r="AU342" s="231"/>
      <c r="AV342" s="231"/>
      <c r="AW342" s="231"/>
      <c r="AX342" s="231"/>
      <c r="AY342" s="231"/>
      <c r="AZ342" s="231"/>
      <c r="BA342" s="231"/>
      <c r="BB342" s="231"/>
      <c r="BC342" s="231"/>
      <c r="BD342" s="231"/>
      <c r="BE342" s="231"/>
      <c r="BF342" s="231"/>
      <c r="BG342" s="231"/>
      <c r="BH342" s="231"/>
      <c r="BI342" s="231"/>
      <c r="BJ342" s="224"/>
      <c r="BK342" s="224"/>
    </row>
    <row r="343" spans="1:63" hidden="1" outlineLevel="1">
      <c r="A343" s="9"/>
      <c r="B343" s="44"/>
      <c r="C343" s="131">
        <f>Asset10</f>
        <v>0</v>
      </c>
      <c r="D343" s="9"/>
      <c r="E343" s="9"/>
      <c r="F343" s="143"/>
      <c r="G343" s="204">
        <f>Input!N16</f>
        <v>0</v>
      </c>
      <c r="H343" s="119"/>
      <c r="I343" s="119"/>
      <c r="J343" s="119"/>
      <c r="K343" s="119"/>
      <c r="L343" s="119"/>
      <c r="M343" s="9"/>
      <c r="N343" s="115"/>
      <c r="O343" s="154"/>
      <c r="P343" s="154"/>
      <c r="Q343" s="154"/>
      <c r="R343" s="104"/>
      <c r="S343" s="104"/>
      <c r="T343" s="104"/>
      <c r="U343" s="104"/>
      <c r="V343" s="104"/>
      <c r="W343" s="104"/>
      <c r="X343" s="104"/>
      <c r="Y343" s="104"/>
      <c r="Z343" s="104"/>
      <c r="AA343" s="231"/>
      <c r="AB343" s="231"/>
      <c r="AC343" s="231"/>
      <c r="AD343" s="231"/>
      <c r="AE343" s="231"/>
      <c r="AF343" s="231"/>
      <c r="AG343" s="231"/>
      <c r="AH343" s="231"/>
      <c r="AI343" s="231"/>
      <c r="AJ343" s="231"/>
      <c r="AK343" s="231"/>
      <c r="AL343" s="231"/>
      <c r="AM343" s="231"/>
      <c r="AN343" s="231"/>
      <c r="AO343" s="231"/>
      <c r="AP343" s="231"/>
      <c r="AQ343" s="231"/>
      <c r="AR343" s="231"/>
      <c r="AS343" s="231"/>
      <c r="AT343" s="231"/>
      <c r="AU343" s="231"/>
      <c r="AV343" s="231"/>
      <c r="AW343" s="231"/>
      <c r="AX343" s="231"/>
      <c r="AY343" s="231"/>
      <c r="AZ343" s="231"/>
      <c r="BA343" s="231"/>
      <c r="BB343" s="231"/>
      <c r="BC343" s="231"/>
      <c r="BD343" s="231"/>
      <c r="BE343" s="231"/>
      <c r="BF343" s="231"/>
      <c r="BG343" s="231"/>
      <c r="BH343" s="231"/>
      <c r="BI343" s="231"/>
      <c r="BJ343" s="224"/>
      <c r="BK343" s="224"/>
    </row>
    <row r="344" spans="1:63" hidden="1" outlineLevel="1">
      <c r="A344" s="9"/>
      <c r="B344" s="44"/>
      <c r="C344" s="131">
        <f>Asset11</f>
        <v>0</v>
      </c>
      <c r="D344" s="9"/>
      <c r="E344" s="9"/>
      <c r="F344" s="143"/>
      <c r="G344" s="204">
        <f>Input!N17</f>
        <v>0</v>
      </c>
      <c r="H344" s="119"/>
      <c r="I344" s="119"/>
      <c r="J344" s="119"/>
      <c r="K344" s="119"/>
      <c r="L344" s="119"/>
      <c r="M344" s="9"/>
      <c r="N344" s="115"/>
      <c r="O344" s="154"/>
      <c r="P344" s="154"/>
      <c r="Q344" s="154"/>
      <c r="R344" s="104"/>
      <c r="S344" s="104"/>
      <c r="T344" s="104"/>
      <c r="U344" s="104"/>
      <c r="V344" s="104"/>
      <c r="W344" s="104"/>
      <c r="X344" s="104"/>
      <c r="Y344" s="104"/>
      <c r="Z344" s="104"/>
      <c r="AA344" s="231"/>
      <c r="AB344" s="231"/>
      <c r="AC344" s="231"/>
      <c r="AD344" s="231"/>
      <c r="AE344" s="231"/>
      <c r="AF344" s="231"/>
      <c r="AG344" s="231"/>
      <c r="AH344" s="231"/>
      <c r="AI344" s="231"/>
      <c r="AJ344" s="231"/>
      <c r="AK344" s="231"/>
      <c r="AL344" s="231"/>
      <c r="AM344" s="231"/>
      <c r="AN344" s="231"/>
      <c r="AO344" s="231"/>
      <c r="AP344" s="231"/>
      <c r="AQ344" s="231"/>
      <c r="AR344" s="231"/>
      <c r="AS344" s="231"/>
      <c r="AT344" s="231"/>
      <c r="AU344" s="231"/>
      <c r="AV344" s="231"/>
      <c r="AW344" s="231"/>
      <c r="AX344" s="231"/>
      <c r="AY344" s="231"/>
      <c r="AZ344" s="231"/>
      <c r="BA344" s="231"/>
      <c r="BB344" s="231"/>
      <c r="BC344" s="231"/>
      <c r="BD344" s="231"/>
      <c r="BE344" s="231"/>
      <c r="BF344" s="231"/>
      <c r="BG344" s="231"/>
      <c r="BH344" s="231"/>
      <c r="BI344" s="231"/>
      <c r="BJ344" s="224"/>
      <c r="BK344" s="224"/>
    </row>
    <row r="345" spans="1:63" hidden="1" outlineLevel="1">
      <c r="A345" s="9"/>
      <c r="B345" s="44"/>
      <c r="C345" s="131">
        <f>Asset12</f>
        <v>0</v>
      </c>
      <c r="D345" s="9"/>
      <c r="E345" s="9"/>
      <c r="F345" s="143"/>
      <c r="G345" s="204">
        <f>Input!N18</f>
        <v>0</v>
      </c>
      <c r="H345" s="119"/>
      <c r="I345" s="119"/>
      <c r="J345" s="119"/>
      <c r="K345" s="119"/>
      <c r="L345" s="119"/>
      <c r="M345" s="9"/>
      <c r="N345" s="115"/>
      <c r="O345" s="154"/>
      <c r="P345" s="154"/>
      <c r="Q345" s="154"/>
      <c r="R345" s="104"/>
      <c r="S345" s="104"/>
      <c r="T345" s="104"/>
      <c r="U345" s="104"/>
      <c r="V345" s="104"/>
      <c r="W345" s="104"/>
      <c r="X345" s="104"/>
      <c r="Y345" s="104"/>
      <c r="Z345" s="104"/>
      <c r="AA345" s="231"/>
      <c r="AB345" s="231"/>
      <c r="AC345" s="231"/>
      <c r="AD345" s="231"/>
      <c r="AE345" s="231"/>
      <c r="AF345" s="231"/>
      <c r="AG345" s="231"/>
      <c r="AH345" s="231"/>
      <c r="AI345" s="231"/>
      <c r="AJ345" s="231"/>
      <c r="AK345" s="231"/>
      <c r="AL345" s="231"/>
      <c r="AM345" s="231"/>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24"/>
      <c r="BK345" s="224"/>
    </row>
    <row r="346" spans="1:63" hidden="1" outlineLevel="1">
      <c r="A346" s="9"/>
      <c r="B346" s="44"/>
      <c r="C346" s="131">
        <f>Asset13</f>
        <v>0</v>
      </c>
      <c r="D346" s="9"/>
      <c r="E346" s="9"/>
      <c r="F346" s="143"/>
      <c r="G346" s="204">
        <f>Input!N19</f>
        <v>0</v>
      </c>
      <c r="H346" s="119"/>
      <c r="I346" s="119"/>
      <c r="J346" s="119"/>
      <c r="K346" s="119"/>
      <c r="L346" s="119"/>
      <c r="M346" s="9"/>
      <c r="N346" s="115"/>
      <c r="O346" s="154"/>
      <c r="P346" s="154"/>
      <c r="Q346" s="154"/>
      <c r="R346" s="104"/>
      <c r="S346" s="104"/>
      <c r="T346" s="104"/>
      <c r="U346" s="104"/>
      <c r="V346" s="104"/>
      <c r="W346" s="104"/>
      <c r="X346" s="104"/>
      <c r="Y346" s="104"/>
      <c r="Z346" s="104"/>
      <c r="AA346" s="231"/>
      <c r="AB346" s="231"/>
      <c r="AC346" s="231"/>
      <c r="AD346" s="231"/>
      <c r="AE346" s="231"/>
      <c r="AF346" s="231"/>
      <c r="AG346" s="231"/>
      <c r="AH346" s="231"/>
      <c r="AI346" s="231"/>
      <c r="AJ346" s="231"/>
      <c r="AK346" s="231"/>
      <c r="AL346" s="231"/>
      <c r="AM346" s="231"/>
      <c r="AN346" s="231"/>
      <c r="AO346" s="231"/>
      <c r="AP346" s="231"/>
      <c r="AQ346" s="231"/>
      <c r="AR346" s="231"/>
      <c r="AS346" s="231"/>
      <c r="AT346" s="231"/>
      <c r="AU346" s="231"/>
      <c r="AV346" s="231"/>
      <c r="AW346" s="231"/>
      <c r="AX346" s="231"/>
      <c r="AY346" s="231"/>
      <c r="AZ346" s="231"/>
      <c r="BA346" s="231"/>
      <c r="BB346" s="231"/>
      <c r="BC346" s="231"/>
      <c r="BD346" s="231"/>
      <c r="BE346" s="231"/>
      <c r="BF346" s="231"/>
      <c r="BG346" s="231"/>
      <c r="BH346" s="231"/>
      <c r="BI346" s="231"/>
      <c r="BJ346" s="224"/>
      <c r="BK346" s="224"/>
    </row>
    <row r="347" spans="1:63" hidden="1" outlineLevel="1">
      <c r="A347" s="9"/>
      <c r="B347" s="44"/>
      <c r="C347" s="131">
        <f>Asset14</f>
        <v>0</v>
      </c>
      <c r="D347" s="9"/>
      <c r="E347" s="9"/>
      <c r="F347" s="143"/>
      <c r="G347" s="204">
        <f>Input!N20</f>
        <v>0</v>
      </c>
      <c r="H347" s="119"/>
      <c r="I347" s="119"/>
      <c r="J347" s="119"/>
      <c r="K347" s="119"/>
      <c r="L347" s="119"/>
      <c r="M347" s="9"/>
      <c r="N347" s="115"/>
      <c r="O347" s="154"/>
      <c r="P347" s="154"/>
      <c r="Q347" s="154"/>
      <c r="R347" s="104"/>
      <c r="S347" s="104"/>
      <c r="T347" s="104"/>
      <c r="U347" s="104"/>
      <c r="V347" s="104"/>
      <c r="W347" s="104"/>
      <c r="X347" s="104"/>
      <c r="Y347" s="104"/>
      <c r="Z347" s="104"/>
      <c r="AA347" s="231"/>
      <c r="AB347" s="231"/>
      <c r="AC347" s="231"/>
      <c r="AD347" s="231"/>
      <c r="AE347" s="231"/>
      <c r="AF347" s="231"/>
      <c r="AG347" s="231"/>
      <c r="AH347" s="231"/>
      <c r="AI347" s="231"/>
      <c r="AJ347" s="231"/>
      <c r="AK347" s="231"/>
      <c r="AL347" s="231"/>
      <c r="AM347" s="231"/>
      <c r="AN347" s="231"/>
      <c r="AO347" s="231"/>
      <c r="AP347" s="231"/>
      <c r="AQ347" s="231"/>
      <c r="AR347" s="231"/>
      <c r="AS347" s="231"/>
      <c r="AT347" s="231"/>
      <c r="AU347" s="231"/>
      <c r="AV347" s="231"/>
      <c r="AW347" s="231"/>
      <c r="AX347" s="231"/>
      <c r="AY347" s="231"/>
      <c r="AZ347" s="231"/>
      <c r="BA347" s="231"/>
      <c r="BB347" s="231"/>
      <c r="BC347" s="231"/>
      <c r="BD347" s="231"/>
      <c r="BE347" s="231"/>
      <c r="BF347" s="231"/>
      <c r="BG347" s="231"/>
      <c r="BH347" s="231"/>
      <c r="BI347" s="231"/>
      <c r="BJ347" s="224"/>
      <c r="BK347" s="224"/>
    </row>
    <row r="348" spans="1:63" hidden="1" outlineLevel="1">
      <c r="A348" s="9"/>
      <c r="B348" s="44"/>
      <c r="C348" s="131">
        <f>Asset15</f>
        <v>0</v>
      </c>
      <c r="D348" s="9"/>
      <c r="E348" s="9"/>
      <c r="F348" s="143"/>
      <c r="G348" s="204">
        <f>Input!N21</f>
        <v>0</v>
      </c>
      <c r="H348" s="119"/>
      <c r="I348" s="119"/>
      <c r="J348" s="119"/>
      <c r="K348" s="119"/>
      <c r="L348" s="119"/>
      <c r="M348" s="9"/>
      <c r="N348" s="115"/>
      <c r="O348" s="154"/>
      <c r="P348" s="154"/>
      <c r="Q348" s="154"/>
      <c r="R348" s="104"/>
      <c r="S348" s="104"/>
      <c r="T348" s="104"/>
      <c r="U348" s="104"/>
      <c r="V348" s="104"/>
      <c r="W348" s="104"/>
      <c r="X348" s="104"/>
      <c r="Y348" s="104"/>
      <c r="Z348" s="104"/>
      <c r="AA348" s="231"/>
      <c r="AB348" s="231"/>
      <c r="AC348" s="231"/>
      <c r="AD348" s="231"/>
      <c r="AE348" s="231"/>
      <c r="AF348" s="231"/>
      <c r="AG348" s="231"/>
      <c r="AH348" s="231"/>
      <c r="AI348" s="231"/>
      <c r="AJ348" s="231"/>
      <c r="AK348" s="231"/>
      <c r="AL348" s="231"/>
      <c r="AM348" s="231"/>
      <c r="AN348" s="231"/>
      <c r="AO348" s="231"/>
      <c r="AP348" s="231"/>
      <c r="AQ348" s="231"/>
      <c r="AR348" s="231"/>
      <c r="AS348" s="231"/>
      <c r="AT348" s="231"/>
      <c r="AU348" s="231"/>
      <c r="AV348" s="231"/>
      <c r="AW348" s="231"/>
      <c r="AX348" s="231"/>
      <c r="AY348" s="231"/>
      <c r="AZ348" s="231"/>
      <c r="BA348" s="231"/>
      <c r="BB348" s="231"/>
      <c r="BC348" s="231"/>
      <c r="BD348" s="231"/>
      <c r="BE348" s="231"/>
      <c r="BF348" s="231"/>
      <c r="BG348" s="231"/>
      <c r="BH348" s="231"/>
      <c r="BI348" s="231"/>
      <c r="BJ348" s="224"/>
      <c r="BK348" s="224"/>
    </row>
    <row r="349" spans="1:63" hidden="1" outlineLevel="1">
      <c r="A349" s="9"/>
      <c r="B349" s="44"/>
      <c r="C349" s="131">
        <f>Asset16</f>
        <v>0</v>
      </c>
      <c r="D349" s="9"/>
      <c r="E349" s="9"/>
      <c r="F349" s="143"/>
      <c r="G349" s="204">
        <f>Input!N22</f>
        <v>0</v>
      </c>
      <c r="H349" s="119"/>
      <c r="I349" s="119"/>
      <c r="J349" s="119"/>
      <c r="K349" s="119"/>
      <c r="L349" s="119"/>
      <c r="M349" s="9"/>
      <c r="N349" s="115"/>
      <c r="O349" s="154"/>
      <c r="P349" s="154"/>
      <c r="Q349" s="154"/>
      <c r="R349" s="104"/>
      <c r="S349" s="104"/>
      <c r="T349" s="104"/>
      <c r="U349" s="104"/>
      <c r="V349" s="104"/>
      <c r="W349" s="104"/>
      <c r="X349" s="104"/>
      <c r="Y349" s="104"/>
      <c r="Z349" s="104"/>
      <c r="AA349" s="231"/>
      <c r="AB349" s="231"/>
      <c r="AC349" s="231"/>
      <c r="AD349" s="231"/>
      <c r="AE349" s="231"/>
      <c r="AF349" s="231"/>
      <c r="AG349" s="231"/>
      <c r="AH349" s="231"/>
      <c r="AI349" s="231"/>
      <c r="AJ349" s="231"/>
      <c r="AK349" s="231"/>
      <c r="AL349" s="231"/>
      <c r="AM349" s="231"/>
      <c r="AN349" s="231"/>
      <c r="AO349" s="231"/>
      <c r="AP349" s="231"/>
      <c r="AQ349" s="231"/>
      <c r="AR349" s="231"/>
      <c r="AS349" s="231"/>
      <c r="AT349" s="231"/>
      <c r="AU349" s="231"/>
      <c r="AV349" s="231"/>
      <c r="AW349" s="231"/>
      <c r="AX349" s="231"/>
      <c r="AY349" s="231"/>
      <c r="AZ349" s="231"/>
      <c r="BA349" s="231"/>
      <c r="BB349" s="231"/>
      <c r="BC349" s="231"/>
      <c r="BD349" s="231"/>
      <c r="BE349" s="231"/>
      <c r="BF349" s="231"/>
      <c r="BG349" s="231"/>
      <c r="BH349" s="231"/>
      <c r="BI349" s="231"/>
      <c r="BJ349" s="224"/>
      <c r="BK349" s="224"/>
    </row>
    <row r="350" spans="1:63" hidden="1" outlineLevel="1">
      <c r="A350" s="9"/>
      <c r="B350" s="44"/>
      <c r="C350" s="131">
        <f>Asset17</f>
        <v>0</v>
      </c>
      <c r="D350" s="9"/>
      <c r="E350" s="9"/>
      <c r="F350" s="143"/>
      <c r="G350" s="204">
        <f>Input!N23</f>
        <v>0</v>
      </c>
      <c r="H350" s="119"/>
      <c r="I350" s="119"/>
      <c r="J350" s="119"/>
      <c r="K350" s="119"/>
      <c r="L350" s="119"/>
      <c r="M350" s="9"/>
      <c r="N350" s="115"/>
      <c r="O350" s="154"/>
      <c r="P350" s="154"/>
      <c r="Q350" s="154"/>
      <c r="R350" s="104"/>
      <c r="S350" s="104"/>
      <c r="T350" s="104"/>
      <c r="U350" s="104"/>
      <c r="V350" s="104"/>
      <c r="W350" s="104"/>
      <c r="X350" s="104"/>
      <c r="Y350" s="104"/>
      <c r="Z350" s="104"/>
      <c r="AA350" s="231"/>
      <c r="AB350" s="231"/>
      <c r="AC350" s="231"/>
      <c r="AD350" s="231"/>
      <c r="AE350" s="231"/>
      <c r="AF350" s="231"/>
      <c r="AG350" s="231"/>
      <c r="AH350" s="231"/>
      <c r="AI350" s="231"/>
      <c r="AJ350" s="231"/>
      <c r="AK350" s="231"/>
      <c r="AL350" s="231"/>
      <c r="AM350" s="231"/>
      <c r="AN350" s="231"/>
      <c r="AO350" s="231"/>
      <c r="AP350" s="231"/>
      <c r="AQ350" s="231"/>
      <c r="AR350" s="231"/>
      <c r="AS350" s="231"/>
      <c r="AT350" s="231"/>
      <c r="AU350" s="231"/>
      <c r="AV350" s="231"/>
      <c r="AW350" s="231"/>
      <c r="AX350" s="231"/>
      <c r="AY350" s="231"/>
      <c r="AZ350" s="231"/>
      <c r="BA350" s="231"/>
      <c r="BB350" s="231"/>
      <c r="BC350" s="231"/>
      <c r="BD350" s="231"/>
      <c r="BE350" s="231"/>
      <c r="BF350" s="231"/>
      <c r="BG350" s="231"/>
      <c r="BH350" s="231"/>
      <c r="BI350" s="231"/>
      <c r="BJ350" s="224"/>
      <c r="BK350" s="224"/>
    </row>
    <row r="351" spans="1:63" hidden="1" outlineLevel="1">
      <c r="A351" s="9"/>
      <c r="B351" s="44"/>
      <c r="C351" s="131">
        <f>Asset18</f>
        <v>0</v>
      </c>
      <c r="D351" s="9"/>
      <c r="E351" s="9"/>
      <c r="F351" s="143"/>
      <c r="G351" s="204">
        <f>Input!N24</f>
        <v>0</v>
      </c>
      <c r="H351" s="119"/>
      <c r="I351" s="119"/>
      <c r="J351" s="119"/>
      <c r="K351" s="119"/>
      <c r="L351" s="119"/>
      <c r="M351" s="9"/>
      <c r="N351" s="115"/>
      <c r="O351" s="154"/>
      <c r="P351" s="154"/>
      <c r="Q351" s="154"/>
      <c r="R351" s="104"/>
      <c r="S351" s="104"/>
      <c r="T351" s="104"/>
      <c r="U351" s="104"/>
      <c r="V351" s="104"/>
      <c r="W351" s="104"/>
      <c r="X351" s="104"/>
      <c r="Y351" s="104"/>
      <c r="Z351" s="104"/>
      <c r="AA351" s="231"/>
      <c r="AB351" s="231"/>
      <c r="AC351" s="231"/>
      <c r="AD351" s="231"/>
      <c r="AE351" s="231"/>
      <c r="AF351" s="231"/>
      <c r="AG351" s="231"/>
      <c r="AH351" s="231"/>
      <c r="AI351" s="231"/>
      <c r="AJ351" s="231"/>
      <c r="AK351" s="231"/>
      <c r="AL351" s="231"/>
      <c r="AM351" s="231"/>
      <c r="AN351" s="231"/>
      <c r="AO351" s="231"/>
      <c r="AP351" s="231"/>
      <c r="AQ351" s="231"/>
      <c r="AR351" s="231"/>
      <c r="AS351" s="231"/>
      <c r="AT351" s="231"/>
      <c r="AU351" s="231"/>
      <c r="AV351" s="231"/>
      <c r="AW351" s="231"/>
      <c r="AX351" s="231"/>
      <c r="AY351" s="231"/>
      <c r="AZ351" s="231"/>
      <c r="BA351" s="231"/>
      <c r="BB351" s="231"/>
      <c r="BC351" s="231"/>
      <c r="BD351" s="231"/>
      <c r="BE351" s="231"/>
      <c r="BF351" s="231"/>
      <c r="BG351" s="231"/>
      <c r="BH351" s="231"/>
      <c r="BI351" s="231"/>
      <c r="BJ351" s="224"/>
      <c r="BK351" s="224"/>
    </row>
    <row r="352" spans="1:63" hidden="1" outlineLevel="1">
      <c r="A352" s="9"/>
      <c r="B352" s="44"/>
      <c r="C352" s="131">
        <f>Asset19</f>
        <v>0</v>
      </c>
      <c r="D352" s="9"/>
      <c r="E352" s="9"/>
      <c r="F352" s="143"/>
      <c r="G352" s="204">
        <f>Input!N25</f>
        <v>0</v>
      </c>
      <c r="H352" s="119"/>
      <c r="I352" s="119"/>
      <c r="J352" s="119"/>
      <c r="K352" s="119"/>
      <c r="L352" s="119"/>
      <c r="M352" s="9"/>
      <c r="N352" s="115"/>
      <c r="O352" s="154"/>
      <c r="P352" s="154"/>
      <c r="Q352" s="154"/>
      <c r="R352" s="104"/>
      <c r="S352" s="104"/>
      <c r="T352" s="104"/>
      <c r="U352" s="104"/>
      <c r="V352" s="104"/>
      <c r="W352" s="104"/>
      <c r="X352" s="104"/>
      <c r="Y352" s="104"/>
      <c r="Z352" s="104"/>
      <c r="AA352" s="231"/>
      <c r="AB352" s="231"/>
      <c r="AC352" s="231"/>
      <c r="AD352" s="231"/>
      <c r="AE352" s="231"/>
      <c r="AF352" s="231"/>
      <c r="AG352" s="231"/>
      <c r="AH352" s="231"/>
      <c r="AI352" s="231"/>
      <c r="AJ352" s="231"/>
      <c r="AK352" s="231"/>
      <c r="AL352" s="231"/>
      <c r="AM352" s="231"/>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24"/>
      <c r="BK352" s="224"/>
    </row>
    <row r="353" spans="1:63" hidden="1" outlineLevel="1">
      <c r="A353" s="9"/>
      <c r="B353" s="44"/>
      <c r="C353" s="131">
        <f>Asset20</f>
        <v>0</v>
      </c>
      <c r="D353" s="9"/>
      <c r="E353" s="9"/>
      <c r="F353" s="143"/>
      <c r="G353" s="204">
        <f>Input!N26</f>
        <v>0</v>
      </c>
      <c r="H353" s="119"/>
      <c r="I353" s="119"/>
      <c r="J353" s="119"/>
      <c r="K353" s="119"/>
      <c r="L353" s="119"/>
      <c r="M353" s="9"/>
      <c r="N353" s="115"/>
      <c r="O353" s="154"/>
      <c r="P353" s="154"/>
      <c r="Q353" s="154"/>
      <c r="R353" s="104"/>
      <c r="S353" s="104"/>
      <c r="T353" s="104"/>
      <c r="U353" s="104"/>
      <c r="V353" s="104"/>
      <c r="W353" s="104"/>
      <c r="X353" s="104"/>
      <c r="Y353" s="104"/>
      <c r="Z353" s="104"/>
      <c r="AA353" s="231"/>
      <c r="AB353" s="231"/>
      <c r="AC353" s="231"/>
      <c r="AD353" s="231"/>
      <c r="AE353" s="231"/>
      <c r="AF353" s="231"/>
      <c r="AG353" s="231"/>
      <c r="AH353" s="231"/>
      <c r="AI353" s="231"/>
      <c r="AJ353" s="231"/>
      <c r="AK353" s="231"/>
      <c r="AL353" s="231"/>
      <c r="AM353" s="231"/>
      <c r="AN353" s="231"/>
      <c r="AO353" s="231"/>
      <c r="AP353" s="231"/>
      <c r="AQ353" s="231"/>
      <c r="AR353" s="231"/>
      <c r="AS353" s="231"/>
      <c r="AT353" s="231"/>
      <c r="AU353" s="231"/>
      <c r="AV353" s="231"/>
      <c r="AW353" s="231"/>
      <c r="AX353" s="231"/>
      <c r="AY353" s="231"/>
      <c r="AZ353" s="231"/>
      <c r="BA353" s="231"/>
      <c r="BB353" s="231"/>
      <c r="BC353" s="231"/>
      <c r="BD353" s="231"/>
      <c r="BE353" s="231"/>
      <c r="BF353" s="231"/>
      <c r="BG353" s="231"/>
      <c r="BH353" s="231"/>
      <c r="BI353" s="231"/>
      <c r="BJ353" s="224"/>
      <c r="BK353" s="224"/>
    </row>
    <row r="354" spans="1:63" hidden="1" outlineLevel="1">
      <c r="A354" s="9"/>
      <c r="B354" s="44"/>
      <c r="C354" s="131">
        <f>Asset21</f>
        <v>0</v>
      </c>
      <c r="D354" s="9"/>
      <c r="E354" s="9"/>
      <c r="F354" s="143"/>
      <c r="G354" s="204">
        <f>Input!N27</f>
        <v>0</v>
      </c>
      <c r="H354" s="119"/>
      <c r="I354" s="119"/>
      <c r="J354" s="119"/>
      <c r="K354" s="119"/>
      <c r="L354" s="119"/>
      <c r="M354" s="9"/>
      <c r="N354" s="115"/>
      <c r="O354" s="154"/>
      <c r="P354" s="154"/>
      <c r="Q354" s="154"/>
      <c r="R354" s="104"/>
      <c r="S354" s="104"/>
      <c r="T354" s="104"/>
      <c r="U354" s="104"/>
      <c r="V354" s="104"/>
      <c r="W354" s="104"/>
      <c r="X354" s="104"/>
      <c r="Y354" s="104"/>
      <c r="Z354" s="104"/>
      <c r="AA354" s="231"/>
      <c r="AB354" s="231"/>
      <c r="AC354" s="231"/>
      <c r="AD354" s="231"/>
      <c r="AE354" s="231"/>
      <c r="AF354" s="231"/>
      <c r="AG354" s="231"/>
      <c r="AH354" s="231"/>
      <c r="AI354" s="231"/>
      <c r="AJ354" s="231"/>
      <c r="AK354" s="231"/>
      <c r="AL354" s="231"/>
      <c r="AM354" s="231"/>
      <c r="AN354" s="231"/>
      <c r="AO354" s="231"/>
      <c r="AP354" s="231"/>
      <c r="AQ354" s="231"/>
      <c r="AR354" s="231"/>
      <c r="AS354" s="231"/>
      <c r="AT354" s="231"/>
      <c r="AU354" s="231"/>
      <c r="AV354" s="231"/>
      <c r="AW354" s="231"/>
      <c r="AX354" s="231"/>
      <c r="AY354" s="231"/>
      <c r="AZ354" s="231"/>
      <c r="BA354" s="231"/>
      <c r="BB354" s="231"/>
      <c r="BC354" s="231"/>
      <c r="BD354" s="231"/>
      <c r="BE354" s="231"/>
      <c r="BF354" s="231"/>
      <c r="BG354" s="231"/>
      <c r="BH354" s="231"/>
      <c r="BI354" s="231"/>
      <c r="BJ354" s="224"/>
      <c r="BK354" s="224"/>
    </row>
    <row r="355" spans="1:63" hidden="1" outlineLevel="1">
      <c r="A355" s="9"/>
      <c r="B355" s="44"/>
      <c r="C355" s="131">
        <f>Asset22</f>
        <v>0</v>
      </c>
      <c r="D355" s="9"/>
      <c r="E355" s="9"/>
      <c r="F355" s="143"/>
      <c r="G355" s="204">
        <f>Input!N28</f>
        <v>0</v>
      </c>
      <c r="H355" s="119"/>
      <c r="I355" s="119"/>
      <c r="J355" s="119"/>
      <c r="K355" s="119"/>
      <c r="L355" s="119"/>
      <c r="M355" s="9"/>
      <c r="N355" s="115"/>
      <c r="O355" s="154"/>
      <c r="P355" s="154"/>
      <c r="Q355" s="154"/>
      <c r="R355" s="104"/>
      <c r="S355" s="104"/>
      <c r="T355" s="104"/>
      <c r="U355" s="104"/>
      <c r="V355" s="104"/>
      <c r="W355" s="104"/>
      <c r="X355" s="104"/>
      <c r="Y355" s="104"/>
      <c r="Z355" s="104"/>
      <c r="AA355" s="231"/>
      <c r="AB355" s="231"/>
      <c r="AC355" s="231"/>
      <c r="AD355" s="231"/>
      <c r="AE355" s="231"/>
      <c r="AF355" s="231"/>
      <c r="AG355" s="231"/>
      <c r="AH355" s="231"/>
      <c r="AI355" s="231"/>
      <c r="AJ355" s="231"/>
      <c r="AK355" s="231"/>
      <c r="AL355" s="231"/>
      <c r="AM355" s="231"/>
      <c r="AN355" s="231"/>
      <c r="AO355" s="231"/>
      <c r="AP355" s="231"/>
      <c r="AQ355" s="231"/>
      <c r="AR355" s="231"/>
      <c r="AS355" s="231"/>
      <c r="AT355" s="231"/>
      <c r="AU355" s="231"/>
      <c r="AV355" s="231"/>
      <c r="AW355" s="231"/>
      <c r="AX355" s="231"/>
      <c r="AY355" s="231"/>
      <c r="AZ355" s="231"/>
      <c r="BA355" s="231"/>
      <c r="BB355" s="231"/>
      <c r="BC355" s="231"/>
      <c r="BD355" s="231"/>
      <c r="BE355" s="231"/>
      <c r="BF355" s="231"/>
      <c r="BG355" s="231"/>
      <c r="BH355" s="231"/>
      <c r="BI355" s="231"/>
      <c r="BJ355" s="224"/>
      <c r="BK355" s="224"/>
    </row>
    <row r="356" spans="1:63" hidden="1" outlineLevel="1">
      <c r="A356" s="9"/>
      <c r="B356" s="44"/>
      <c r="C356" s="131">
        <f>Asset23</f>
        <v>0</v>
      </c>
      <c r="D356" s="9"/>
      <c r="E356" s="9"/>
      <c r="F356" s="143"/>
      <c r="G356" s="204">
        <f>Input!N29</f>
        <v>0</v>
      </c>
      <c r="H356" s="119"/>
      <c r="I356" s="119"/>
      <c r="J356" s="119"/>
      <c r="K356" s="119"/>
      <c r="L356" s="119"/>
      <c r="M356" s="9"/>
      <c r="N356" s="115"/>
      <c r="O356" s="154"/>
      <c r="P356" s="154"/>
      <c r="Q356" s="154"/>
      <c r="R356" s="104"/>
      <c r="S356" s="104"/>
      <c r="T356" s="104"/>
      <c r="U356" s="104"/>
      <c r="V356" s="104"/>
      <c r="W356" s="104"/>
      <c r="X356" s="104"/>
      <c r="Y356" s="104"/>
      <c r="Z356" s="104"/>
      <c r="AA356" s="231"/>
      <c r="AB356" s="231"/>
      <c r="AC356" s="231"/>
      <c r="AD356" s="231"/>
      <c r="AE356" s="231"/>
      <c r="AF356" s="231"/>
      <c r="AG356" s="231"/>
      <c r="AH356" s="231"/>
      <c r="AI356" s="231"/>
      <c r="AJ356" s="231"/>
      <c r="AK356" s="231"/>
      <c r="AL356" s="231"/>
      <c r="AM356" s="231"/>
      <c r="AN356" s="231"/>
      <c r="AO356" s="231"/>
      <c r="AP356" s="231"/>
      <c r="AQ356" s="231"/>
      <c r="AR356" s="231"/>
      <c r="AS356" s="231"/>
      <c r="AT356" s="231"/>
      <c r="AU356" s="231"/>
      <c r="AV356" s="231"/>
      <c r="AW356" s="231"/>
      <c r="AX356" s="231"/>
      <c r="AY356" s="231"/>
      <c r="AZ356" s="231"/>
      <c r="BA356" s="231"/>
      <c r="BB356" s="231"/>
      <c r="BC356" s="231"/>
      <c r="BD356" s="231"/>
      <c r="BE356" s="231"/>
      <c r="BF356" s="231"/>
      <c r="BG356" s="231"/>
      <c r="BH356" s="231"/>
      <c r="BI356" s="231"/>
      <c r="BJ356" s="224"/>
      <c r="BK356" s="224"/>
    </row>
    <row r="357" spans="1:63" hidden="1" outlineLevel="1">
      <c r="A357" s="9"/>
      <c r="B357" s="44"/>
      <c r="C357" s="131">
        <f>Asset24</f>
        <v>0</v>
      </c>
      <c r="D357" s="9"/>
      <c r="E357" s="9"/>
      <c r="F357" s="143"/>
      <c r="G357" s="204">
        <f>Input!N30</f>
        <v>0</v>
      </c>
      <c r="H357" s="119"/>
      <c r="I357" s="119"/>
      <c r="J357" s="119"/>
      <c r="K357" s="119"/>
      <c r="L357" s="119"/>
      <c r="M357" s="9"/>
      <c r="N357" s="115"/>
      <c r="O357" s="154"/>
      <c r="P357" s="154"/>
      <c r="Q357" s="154"/>
      <c r="R357" s="104"/>
      <c r="S357" s="104"/>
      <c r="T357" s="104"/>
      <c r="U357" s="104"/>
      <c r="V357" s="104"/>
      <c r="W357" s="104"/>
      <c r="X357" s="104"/>
      <c r="Y357" s="104"/>
      <c r="Z357" s="104"/>
      <c r="AA357" s="231"/>
      <c r="AB357" s="231"/>
      <c r="AC357" s="231"/>
      <c r="AD357" s="231"/>
      <c r="AE357" s="231"/>
      <c r="AF357" s="231"/>
      <c r="AG357" s="231"/>
      <c r="AH357" s="231"/>
      <c r="AI357" s="231"/>
      <c r="AJ357" s="231"/>
      <c r="AK357" s="231"/>
      <c r="AL357" s="231"/>
      <c r="AM357" s="231"/>
      <c r="AN357" s="231"/>
      <c r="AO357" s="231"/>
      <c r="AP357" s="231"/>
      <c r="AQ357" s="231"/>
      <c r="AR357" s="231"/>
      <c r="AS357" s="231"/>
      <c r="AT357" s="231"/>
      <c r="AU357" s="231"/>
      <c r="AV357" s="231"/>
      <c r="AW357" s="231"/>
      <c r="AX357" s="231"/>
      <c r="AY357" s="231"/>
      <c r="AZ357" s="231"/>
      <c r="BA357" s="231"/>
      <c r="BB357" s="231"/>
      <c r="BC357" s="231"/>
      <c r="BD357" s="231"/>
      <c r="BE357" s="231"/>
      <c r="BF357" s="231"/>
      <c r="BG357" s="231"/>
      <c r="BH357" s="231"/>
      <c r="BI357" s="231"/>
      <c r="BJ357" s="224"/>
      <c r="BK357" s="224"/>
    </row>
    <row r="358" spans="1:63" hidden="1" outlineLevel="1">
      <c r="A358" s="9"/>
      <c r="B358" s="44"/>
      <c r="C358" s="131">
        <f>Asset25</f>
        <v>0</v>
      </c>
      <c r="D358" s="9"/>
      <c r="E358" s="9"/>
      <c r="F358" s="143"/>
      <c r="G358" s="204">
        <f>Input!N31</f>
        <v>0</v>
      </c>
      <c r="H358" s="119"/>
      <c r="I358" s="119"/>
      <c r="J358" s="119"/>
      <c r="K358" s="119"/>
      <c r="L358" s="119"/>
      <c r="M358" s="9"/>
      <c r="N358" s="115"/>
      <c r="O358" s="154"/>
      <c r="P358" s="154"/>
      <c r="Q358" s="154"/>
      <c r="R358" s="104"/>
      <c r="S358" s="104"/>
      <c r="T358" s="104"/>
      <c r="U358" s="104"/>
      <c r="V358" s="104"/>
      <c r="W358" s="104"/>
      <c r="X358" s="104"/>
      <c r="Y358" s="104"/>
      <c r="Z358" s="104"/>
      <c r="AA358" s="231"/>
      <c r="AB358" s="231"/>
      <c r="AC358" s="231"/>
      <c r="AD358" s="231"/>
      <c r="AE358" s="231"/>
      <c r="AF358" s="231"/>
      <c r="AG358" s="231"/>
      <c r="AH358" s="231"/>
      <c r="AI358" s="231"/>
      <c r="AJ358" s="231"/>
      <c r="AK358" s="231"/>
      <c r="AL358" s="231"/>
      <c r="AM358" s="231"/>
      <c r="AN358" s="231"/>
      <c r="AO358" s="231"/>
      <c r="AP358" s="231"/>
      <c r="AQ358" s="231"/>
      <c r="AR358" s="231"/>
      <c r="AS358" s="231"/>
      <c r="AT358" s="231"/>
      <c r="AU358" s="231"/>
      <c r="AV358" s="231"/>
      <c r="AW358" s="231"/>
      <c r="AX358" s="231"/>
      <c r="AY358" s="231"/>
      <c r="AZ358" s="231"/>
      <c r="BA358" s="231"/>
      <c r="BB358" s="231"/>
      <c r="BC358" s="231"/>
      <c r="BD358" s="231"/>
      <c r="BE358" s="231"/>
      <c r="BF358" s="231"/>
      <c r="BG358" s="231"/>
      <c r="BH358" s="231"/>
      <c r="BI358" s="231"/>
      <c r="BJ358" s="224"/>
      <c r="BK358" s="224"/>
    </row>
    <row r="359" spans="1:63" hidden="1" outlineLevel="1">
      <c r="A359" s="9"/>
      <c r="B359" s="44"/>
      <c r="C359" s="131">
        <f>Asset26</f>
        <v>0</v>
      </c>
      <c r="D359" s="9"/>
      <c r="E359" s="9"/>
      <c r="F359" s="143"/>
      <c r="G359" s="204">
        <f>Input!N32</f>
        <v>0</v>
      </c>
      <c r="H359" s="119"/>
      <c r="I359" s="119"/>
      <c r="J359" s="119"/>
      <c r="K359" s="119"/>
      <c r="L359" s="119"/>
      <c r="M359" s="9"/>
      <c r="N359" s="115"/>
      <c r="O359" s="154"/>
      <c r="P359" s="154"/>
      <c r="Q359" s="154"/>
      <c r="R359" s="104"/>
      <c r="S359" s="104"/>
      <c r="T359" s="104"/>
      <c r="U359" s="104"/>
      <c r="V359" s="104"/>
      <c r="W359" s="104"/>
      <c r="X359" s="104"/>
      <c r="Y359" s="104"/>
      <c r="Z359" s="104"/>
      <c r="AA359" s="231"/>
      <c r="AB359" s="231"/>
      <c r="AC359" s="231"/>
      <c r="AD359" s="231"/>
      <c r="AE359" s="231"/>
      <c r="AF359" s="231"/>
      <c r="AG359" s="231"/>
      <c r="AH359" s="231"/>
      <c r="AI359" s="231"/>
      <c r="AJ359" s="231"/>
      <c r="AK359" s="231"/>
      <c r="AL359" s="231"/>
      <c r="AM359" s="231"/>
      <c r="AN359" s="231"/>
      <c r="AO359" s="231"/>
      <c r="AP359" s="231"/>
      <c r="AQ359" s="231"/>
      <c r="AR359" s="231"/>
      <c r="AS359" s="231"/>
      <c r="AT359" s="231"/>
      <c r="AU359" s="231"/>
      <c r="AV359" s="231"/>
      <c r="AW359" s="231"/>
      <c r="AX359" s="231"/>
      <c r="AY359" s="231"/>
      <c r="AZ359" s="231"/>
      <c r="BA359" s="231"/>
      <c r="BB359" s="231"/>
      <c r="BC359" s="231"/>
      <c r="BD359" s="231"/>
      <c r="BE359" s="231"/>
      <c r="BF359" s="231"/>
      <c r="BG359" s="231"/>
      <c r="BH359" s="231"/>
      <c r="BI359" s="231"/>
      <c r="BJ359" s="224"/>
      <c r="BK359" s="224"/>
    </row>
    <row r="360" spans="1:63" hidden="1" outlineLevel="1">
      <c r="A360" s="9"/>
      <c r="B360" s="44"/>
      <c r="C360" s="131">
        <f>Asset27</f>
        <v>0</v>
      </c>
      <c r="D360" s="9"/>
      <c r="E360" s="9"/>
      <c r="F360" s="143"/>
      <c r="G360" s="204">
        <f>Input!N33</f>
        <v>0</v>
      </c>
      <c r="H360" s="119"/>
      <c r="I360" s="119"/>
      <c r="J360" s="119"/>
      <c r="K360" s="119"/>
      <c r="L360" s="119"/>
      <c r="M360" s="9"/>
      <c r="N360" s="115"/>
      <c r="O360" s="154"/>
      <c r="P360" s="154"/>
      <c r="Q360" s="154"/>
      <c r="R360" s="104"/>
      <c r="S360" s="104"/>
      <c r="T360" s="104"/>
      <c r="U360" s="104"/>
      <c r="V360" s="104"/>
      <c r="W360" s="104"/>
      <c r="X360" s="104"/>
      <c r="Y360" s="104"/>
      <c r="Z360" s="104"/>
      <c r="AA360" s="231"/>
      <c r="AB360" s="231"/>
      <c r="AC360" s="231"/>
      <c r="AD360" s="231"/>
      <c r="AE360" s="231"/>
      <c r="AF360" s="231"/>
      <c r="AG360" s="231"/>
      <c r="AH360" s="231"/>
      <c r="AI360" s="231"/>
      <c r="AJ360" s="231"/>
      <c r="AK360" s="231"/>
      <c r="AL360" s="231"/>
      <c r="AM360" s="231"/>
      <c r="AN360" s="231"/>
      <c r="AO360" s="231"/>
      <c r="AP360" s="231"/>
      <c r="AQ360" s="231"/>
      <c r="AR360" s="231"/>
      <c r="AS360" s="231"/>
      <c r="AT360" s="231"/>
      <c r="AU360" s="231"/>
      <c r="AV360" s="231"/>
      <c r="AW360" s="231"/>
      <c r="AX360" s="231"/>
      <c r="AY360" s="231"/>
      <c r="AZ360" s="231"/>
      <c r="BA360" s="231"/>
      <c r="BB360" s="231"/>
      <c r="BC360" s="231"/>
      <c r="BD360" s="231"/>
      <c r="BE360" s="231"/>
      <c r="BF360" s="231"/>
      <c r="BG360" s="231"/>
      <c r="BH360" s="231"/>
      <c r="BI360" s="231"/>
      <c r="BJ360" s="224"/>
      <c r="BK360" s="224"/>
    </row>
    <row r="361" spans="1:63" hidden="1" outlineLevel="1">
      <c r="A361" s="9"/>
      <c r="B361" s="44"/>
      <c r="C361" s="131">
        <f>Asset28</f>
        <v>0</v>
      </c>
      <c r="D361" s="9"/>
      <c r="E361" s="9"/>
      <c r="F361" s="143"/>
      <c r="G361" s="204">
        <f>Input!N34</f>
        <v>0</v>
      </c>
      <c r="H361" s="119"/>
      <c r="I361" s="119"/>
      <c r="J361" s="119"/>
      <c r="K361" s="119"/>
      <c r="L361" s="119"/>
      <c r="M361" s="9"/>
      <c r="N361" s="115"/>
      <c r="O361" s="154"/>
      <c r="P361" s="154"/>
      <c r="Q361" s="154"/>
      <c r="R361" s="104"/>
      <c r="S361" s="104"/>
      <c r="T361" s="104"/>
      <c r="U361" s="104"/>
      <c r="V361" s="104"/>
      <c r="W361" s="104"/>
      <c r="X361" s="104"/>
      <c r="Y361" s="104"/>
      <c r="Z361" s="104"/>
      <c r="AA361" s="231"/>
      <c r="AB361" s="231"/>
      <c r="AC361" s="231"/>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24"/>
      <c r="BK361" s="224"/>
    </row>
    <row r="362" spans="1:63" hidden="1" outlineLevel="1">
      <c r="A362" s="9"/>
      <c r="B362" s="44"/>
      <c r="C362" s="131">
        <f>Asset29</f>
        <v>0</v>
      </c>
      <c r="D362" s="9"/>
      <c r="E362" s="9"/>
      <c r="F362" s="143"/>
      <c r="G362" s="204">
        <f>Input!N35</f>
        <v>0</v>
      </c>
      <c r="H362" s="119"/>
      <c r="I362" s="119"/>
      <c r="J362" s="119"/>
      <c r="K362" s="119"/>
      <c r="L362" s="119"/>
      <c r="M362" s="9"/>
      <c r="N362" s="115"/>
      <c r="O362" s="154"/>
      <c r="P362" s="154"/>
      <c r="Q362" s="154"/>
      <c r="R362" s="104"/>
      <c r="S362" s="104"/>
      <c r="T362" s="104"/>
      <c r="U362" s="104"/>
      <c r="V362" s="104"/>
      <c r="W362" s="104"/>
      <c r="X362" s="104"/>
      <c r="Y362" s="104"/>
      <c r="Z362" s="104"/>
      <c r="AA362" s="231"/>
      <c r="AB362" s="231"/>
      <c r="AC362" s="231"/>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24"/>
      <c r="BK362" s="224"/>
    </row>
    <row r="363" spans="1:63" hidden="1" outlineLevel="1">
      <c r="A363" s="9"/>
      <c r="B363" s="44"/>
      <c r="C363" s="131">
        <f>Asset30</f>
        <v>0</v>
      </c>
      <c r="D363" s="9"/>
      <c r="E363" s="9"/>
      <c r="F363" s="143"/>
      <c r="G363" s="204">
        <f>Input!N36</f>
        <v>0</v>
      </c>
      <c r="H363" s="119"/>
      <c r="I363" s="119"/>
      <c r="J363" s="119"/>
      <c r="K363" s="119"/>
      <c r="L363" s="119"/>
      <c r="M363" s="9"/>
      <c r="N363" s="115"/>
      <c r="O363" s="154"/>
      <c r="P363" s="154"/>
      <c r="Q363" s="154"/>
      <c r="R363" s="104"/>
      <c r="S363" s="104"/>
      <c r="T363" s="104"/>
      <c r="U363" s="104"/>
      <c r="V363" s="104"/>
      <c r="W363" s="104"/>
      <c r="X363" s="104"/>
      <c r="Y363" s="104"/>
      <c r="Z363" s="104"/>
      <c r="AA363" s="231"/>
      <c r="AB363" s="231"/>
      <c r="AC363" s="231"/>
      <c r="AD363" s="231"/>
      <c r="AE363" s="231"/>
      <c r="AF363" s="231"/>
      <c r="AG363" s="231"/>
      <c r="AH363" s="231"/>
      <c r="AI363" s="231"/>
      <c r="AJ363" s="231"/>
      <c r="AK363" s="231"/>
      <c r="AL363" s="231"/>
      <c r="AM363" s="231"/>
      <c r="AN363" s="231"/>
      <c r="AO363" s="231"/>
      <c r="AP363" s="231"/>
      <c r="AQ363" s="231"/>
      <c r="AR363" s="231"/>
      <c r="AS363" s="231"/>
      <c r="AT363" s="231"/>
      <c r="AU363" s="231"/>
      <c r="AV363" s="231"/>
      <c r="AW363" s="231"/>
      <c r="AX363" s="231"/>
      <c r="AY363" s="231"/>
      <c r="AZ363" s="231"/>
      <c r="BA363" s="231"/>
      <c r="BB363" s="231"/>
      <c r="BC363" s="231"/>
      <c r="BD363" s="231"/>
      <c r="BE363" s="231"/>
      <c r="BF363" s="231"/>
      <c r="BG363" s="231"/>
      <c r="BH363" s="231"/>
      <c r="BI363" s="231"/>
      <c r="BJ363" s="224"/>
      <c r="BK363" s="224"/>
    </row>
    <row r="364" spans="1:63" collapsed="1">
      <c r="A364" s="9"/>
      <c r="B364" s="155"/>
      <c r="C364" s="26"/>
      <c r="D364" s="9"/>
      <c r="E364" s="9"/>
      <c r="F364" s="143"/>
      <c r="G364" s="206"/>
      <c r="H364" s="119"/>
      <c r="I364" s="119"/>
      <c r="J364" s="119"/>
      <c r="K364" s="119"/>
      <c r="L364" s="119"/>
      <c r="M364" s="9"/>
      <c r="N364" s="115"/>
      <c r="O364" s="154"/>
      <c r="P364" s="154"/>
      <c r="Q364" s="154"/>
      <c r="R364" s="104"/>
      <c r="S364" s="104"/>
      <c r="T364" s="104"/>
      <c r="U364" s="104"/>
      <c r="V364" s="104"/>
      <c r="W364" s="104"/>
      <c r="X364" s="104"/>
      <c r="Y364" s="104"/>
      <c r="Z364" s="104"/>
      <c r="AA364" s="231"/>
      <c r="AB364" s="231"/>
      <c r="AC364" s="231"/>
      <c r="AD364" s="231"/>
      <c r="AE364" s="231"/>
      <c r="AF364" s="231"/>
      <c r="AG364" s="231"/>
      <c r="AH364" s="231"/>
      <c r="AI364" s="231"/>
      <c r="AJ364" s="231"/>
      <c r="AK364" s="231"/>
      <c r="AL364" s="231"/>
      <c r="AM364" s="231"/>
      <c r="AN364" s="231"/>
      <c r="AO364" s="231"/>
      <c r="AP364" s="231"/>
      <c r="AQ364" s="231"/>
      <c r="AR364" s="231"/>
      <c r="AS364" s="231"/>
      <c r="AT364" s="231"/>
      <c r="AU364" s="231"/>
      <c r="AV364" s="231"/>
      <c r="AW364" s="231"/>
      <c r="AX364" s="231"/>
      <c r="AY364" s="231"/>
      <c r="AZ364" s="231"/>
      <c r="BA364" s="231"/>
      <c r="BB364" s="231"/>
      <c r="BC364" s="231"/>
      <c r="BD364" s="231"/>
      <c r="BE364" s="231"/>
      <c r="BF364" s="231"/>
      <c r="BG364" s="231"/>
      <c r="BH364" s="231"/>
      <c r="BI364" s="231"/>
      <c r="BJ364" s="224"/>
      <c r="BK364" s="224"/>
    </row>
    <row r="365" spans="1:63">
      <c r="A365" s="9"/>
      <c r="B365" s="155" t="s">
        <v>100</v>
      </c>
      <c r="C365" s="26"/>
      <c r="D365" s="9"/>
      <c r="E365" s="9"/>
      <c r="F365" s="143"/>
      <c r="G365" s="206">
        <f>SUM(G366:G385)</f>
        <v>0</v>
      </c>
      <c r="H365" s="119"/>
      <c r="I365" s="119"/>
      <c r="J365" s="119"/>
      <c r="K365" s="119"/>
      <c r="L365" s="119"/>
      <c r="M365" s="9"/>
      <c r="N365" s="115"/>
      <c r="O365" s="154"/>
      <c r="P365" s="154"/>
      <c r="Q365" s="154"/>
      <c r="R365" s="104"/>
      <c r="S365" s="104"/>
      <c r="T365" s="104"/>
      <c r="U365" s="104"/>
      <c r="V365" s="104"/>
      <c r="W365" s="104"/>
      <c r="X365" s="104"/>
      <c r="Y365" s="104"/>
      <c r="Z365" s="104"/>
      <c r="AA365" s="231"/>
      <c r="AB365" s="231"/>
      <c r="AC365" s="231"/>
      <c r="AD365" s="231"/>
      <c r="AE365" s="231"/>
      <c r="AF365" s="231"/>
      <c r="AG365" s="231"/>
      <c r="AH365" s="231"/>
      <c r="AI365" s="231"/>
      <c r="AJ365" s="231"/>
      <c r="AK365" s="231"/>
      <c r="AL365" s="231"/>
      <c r="AM365" s="231"/>
      <c r="AN365" s="231"/>
      <c r="AO365" s="231"/>
      <c r="AP365" s="231"/>
      <c r="AQ365" s="231"/>
      <c r="AR365" s="231"/>
      <c r="AS365" s="231"/>
      <c r="AT365" s="231"/>
      <c r="AU365" s="231"/>
      <c r="AV365" s="231"/>
      <c r="AW365" s="231"/>
      <c r="AX365" s="231"/>
      <c r="AY365" s="231"/>
      <c r="AZ365" s="231"/>
      <c r="BA365" s="231"/>
      <c r="BB365" s="231"/>
      <c r="BC365" s="231"/>
      <c r="BD365" s="231"/>
      <c r="BE365" s="231"/>
      <c r="BF365" s="231"/>
      <c r="BG365" s="231"/>
      <c r="BH365" s="231"/>
      <c r="BI365" s="231"/>
      <c r="BJ365" s="224"/>
      <c r="BK365" s="224"/>
    </row>
    <row r="366" spans="1:63" hidden="1" outlineLevel="1">
      <c r="A366" s="9"/>
      <c r="B366" s="9"/>
      <c r="C366" s="131" t="str">
        <f>Asset1</f>
        <v>Subtransmission</v>
      </c>
      <c r="D366" s="9"/>
      <c r="E366" s="9"/>
      <c r="F366" s="143"/>
      <c r="G366" s="204">
        <f>Input!O7</f>
        <v>0</v>
      </c>
      <c r="H366" s="119"/>
      <c r="I366" s="119"/>
      <c r="J366" s="119"/>
      <c r="K366" s="119"/>
      <c r="L366" s="119"/>
      <c r="M366" s="9"/>
      <c r="N366" s="115"/>
      <c r="O366" s="154"/>
      <c r="P366" s="154"/>
      <c r="Q366" s="154"/>
      <c r="R366" s="104"/>
      <c r="S366" s="104"/>
      <c r="T366" s="104"/>
      <c r="U366" s="104"/>
      <c r="V366" s="104"/>
      <c r="W366" s="104"/>
      <c r="X366" s="104"/>
      <c r="Y366" s="104"/>
      <c r="Z366" s="104"/>
      <c r="AA366" s="231"/>
      <c r="AB366" s="231"/>
      <c r="AC366" s="231"/>
      <c r="AD366" s="231"/>
      <c r="AE366" s="231"/>
      <c r="AF366" s="231"/>
      <c r="AG366" s="231"/>
      <c r="AH366" s="231"/>
      <c r="AI366" s="231"/>
      <c r="AJ366" s="231"/>
      <c r="AK366" s="231"/>
      <c r="AL366" s="231"/>
      <c r="AM366" s="231"/>
      <c r="AN366" s="231"/>
      <c r="AO366" s="231"/>
      <c r="AP366" s="231"/>
      <c r="AQ366" s="231"/>
      <c r="AR366" s="231"/>
      <c r="AS366" s="231"/>
      <c r="AT366" s="231"/>
      <c r="AU366" s="231"/>
      <c r="AV366" s="231"/>
      <c r="AW366" s="231"/>
      <c r="AX366" s="231"/>
      <c r="AY366" s="231"/>
      <c r="AZ366" s="231"/>
      <c r="BA366" s="231"/>
      <c r="BB366" s="231"/>
      <c r="BC366" s="231"/>
      <c r="BD366" s="231"/>
      <c r="BE366" s="231"/>
      <c r="BF366" s="231"/>
      <c r="BG366" s="231"/>
      <c r="BH366" s="231"/>
      <c r="BI366" s="231"/>
      <c r="BJ366" s="224"/>
      <c r="BK366" s="224"/>
    </row>
    <row r="367" spans="1:63" hidden="1" outlineLevel="1">
      <c r="A367" s="9"/>
      <c r="B367" s="44"/>
      <c r="C367" s="131" t="str">
        <f>Asset2</f>
        <v>Distribution system assets</v>
      </c>
      <c r="D367" s="9"/>
      <c r="E367" s="9"/>
      <c r="F367" s="143"/>
      <c r="G367" s="204">
        <f>Input!O8</f>
        <v>0</v>
      </c>
      <c r="H367" s="119"/>
      <c r="I367" s="119"/>
      <c r="J367" s="119"/>
      <c r="K367" s="119"/>
      <c r="L367" s="119"/>
      <c r="M367" s="9"/>
      <c r="N367" s="115"/>
      <c r="O367" s="154"/>
      <c r="P367" s="154"/>
      <c r="Q367" s="154"/>
      <c r="R367" s="104"/>
      <c r="S367" s="104"/>
      <c r="T367" s="104"/>
      <c r="U367" s="104"/>
      <c r="V367" s="104"/>
      <c r="W367" s="104"/>
      <c r="X367" s="104"/>
      <c r="Y367" s="104"/>
      <c r="Z367" s="104"/>
      <c r="AA367" s="231"/>
      <c r="AB367" s="231"/>
      <c r="AC367" s="231"/>
      <c r="AD367" s="231"/>
      <c r="AE367" s="231"/>
      <c r="AF367" s="231"/>
      <c r="AG367" s="231"/>
      <c r="AH367" s="231"/>
      <c r="AI367" s="231"/>
      <c r="AJ367" s="231"/>
      <c r="AK367" s="231"/>
      <c r="AL367" s="231"/>
      <c r="AM367" s="231"/>
      <c r="AN367" s="231"/>
      <c r="AO367" s="231"/>
      <c r="AP367" s="231"/>
      <c r="AQ367" s="231"/>
      <c r="AR367" s="231"/>
      <c r="AS367" s="231"/>
      <c r="AT367" s="231"/>
      <c r="AU367" s="231"/>
      <c r="AV367" s="231"/>
      <c r="AW367" s="231"/>
      <c r="AX367" s="231"/>
      <c r="AY367" s="231"/>
      <c r="AZ367" s="231"/>
      <c r="BA367" s="231"/>
      <c r="BB367" s="231"/>
      <c r="BC367" s="231"/>
      <c r="BD367" s="231"/>
      <c r="BE367" s="231"/>
      <c r="BF367" s="231"/>
      <c r="BG367" s="231"/>
      <c r="BH367" s="231"/>
      <c r="BI367" s="231"/>
      <c r="BJ367" s="224"/>
      <c r="BK367" s="224"/>
    </row>
    <row r="368" spans="1:63" hidden="1" outlineLevel="1">
      <c r="A368" s="9"/>
      <c r="B368" s="44"/>
      <c r="C368" s="131" t="str">
        <f>Asset3</f>
        <v>Standard metering</v>
      </c>
      <c r="D368" s="9"/>
      <c r="E368" s="9"/>
      <c r="F368" s="143"/>
      <c r="G368" s="204">
        <f>Input!O9</f>
        <v>0</v>
      </c>
      <c r="H368" s="119"/>
      <c r="I368" s="119"/>
      <c r="J368" s="119"/>
      <c r="K368" s="119"/>
      <c r="L368" s="119"/>
      <c r="M368" s="9"/>
      <c r="N368" s="115"/>
      <c r="O368" s="154"/>
      <c r="P368" s="154"/>
      <c r="Q368" s="154"/>
      <c r="R368" s="104"/>
      <c r="S368" s="104"/>
      <c r="T368" s="104"/>
      <c r="U368" s="104"/>
      <c r="V368" s="104"/>
      <c r="W368" s="104"/>
      <c r="X368" s="104"/>
      <c r="Y368" s="104"/>
      <c r="Z368" s="104"/>
      <c r="AA368" s="231"/>
      <c r="AB368" s="231"/>
      <c r="AC368" s="231"/>
      <c r="AD368" s="231"/>
      <c r="AE368" s="231"/>
      <c r="AF368" s="231"/>
      <c r="AG368" s="231"/>
      <c r="AH368" s="231"/>
      <c r="AI368" s="231"/>
      <c r="AJ368" s="231"/>
      <c r="AK368" s="231"/>
      <c r="AL368" s="231"/>
      <c r="AM368" s="231"/>
      <c r="AN368" s="231"/>
      <c r="AO368" s="231"/>
      <c r="AP368" s="231"/>
      <c r="AQ368" s="231"/>
      <c r="AR368" s="231"/>
      <c r="AS368" s="231"/>
      <c r="AT368" s="231"/>
      <c r="AU368" s="231"/>
      <c r="AV368" s="231"/>
      <c r="AW368" s="231"/>
      <c r="AX368" s="231"/>
      <c r="AY368" s="231"/>
      <c r="AZ368" s="231"/>
      <c r="BA368" s="231"/>
      <c r="BB368" s="231"/>
      <c r="BC368" s="231"/>
      <c r="BD368" s="231"/>
      <c r="BE368" s="231"/>
      <c r="BF368" s="231"/>
      <c r="BG368" s="231"/>
      <c r="BH368" s="231"/>
      <c r="BI368" s="231"/>
      <c r="BJ368" s="224"/>
      <c r="BK368" s="224"/>
    </row>
    <row r="369" spans="1:63" hidden="1" outlineLevel="1">
      <c r="A369" s="9"/>
      <c r="B369" s="44"/>
      <c r="C369" s="131" t="str">
        <f>Asset4</f>
        <v>Public lighting</v>
      </c>
      <c r="D369" s="9"/>
      <c r="E369" s="9"/>
      <c r="F369" s="143"/>
      <c r="G369" s="204">
        <f>Input!O10</f>
        <v>0</v>
      </c>
      <c r="H369" s="119"/>
      <c r="I369" s="119"/>
      <c r="J369" s="119"/>
      <c r="K369" s="119"/>
      <c r="L369" s="119"/>
      <c r="M369" s="9"/>
      <c r="N369" s="115"/>
      <c r="O369" s="154"/>
      <c r="P369" s="154"/>
      <c r="Q369" s="154"/>
      <c r="R369" s="104"/>
      <c r="S369" s="104"/>
      <c r="T369" s="104"/>
      <c r="U369" s="104"/>
      <c r="V369" s="104"/>
      <c r="W369" s="104"/>
      <c r="X369" s="104"/>
      <c r="Y369" s="104"/>
      <c r="Z369" s="104"/>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231"/>
      <c r="AY369" s="231"/>
      <c r="AZ369" s="231"/>
      <c r="BA369" s="231"/>
      <c r="BB369" s="231"/>
      <c r="BC369" s="231"/>
      <c r="BD369" s="231"/>
      <c r="BE369" s="231"/>
      <c r="BF369" s="231"/>
      <c r="BG369" s="231"/>
      <c r="BH369" s="231"/>
      <c r="BI369" s="231"/>
      <c r="BJ369" s="224"/>
      <c r="BK369" s="224"/>
    </row>
    <row r="370" spans="1:63" hidden="1" outlineLevel="1">
      <c r="A370" s="9"/>
      <c r="B370" s="44"/>
      <c r="C370" s="131" t="str">
        <f>Asset5</f>
        <v>SCADA/Network control</v>
      </c>
      <c r="D370" s="9"/>
      <c r="E370" s="9"/>
      <c r="F370" s="143"/>
      <c r="G370" s="204">
        <f>Input!O11</f>
        <v>0</v>
      </c>
      <c r="H370" s="119"/>
      <c r="I370" s="119"/>
      <c r="J370" s="119"/>
      <c r="K370" s="119"/>
      <c r="L370" s="119"/>
      <c r="M370" s="9"/>
      <c r="N370" s="115"/>
      <c r="O370" s="154"/>
      <c r="P370" s="154"/>
      <c r="Q370" s="154"/>
      <c r="R370" s="104"/>
      <c r="S370" s="104"/>
      <c r="T370" s="104"/>
      <c r="U370" s="104"/>
      <c r="V370" s="104"/>
      <c r="W370" s="104"/>
      <c r="X370" s="104"/>
      <c r="Y370" s="104"/>
      <c r="Z370" s="104"/>
      <c r="AA370" s="231"/>
      <c r="AB370" s="231"/>
      <c r="AC370" s="231"/>
      <c r="AD370" s="231"/>
      <c r="AE370" s="231"/>
      <c r="AF370" s="231"/>
      <c r="AG370" s="231"/>
      <c r="AH370" s="231"/>
      <c r="AI370" s="231"/>
      <c r="AJ370" s="231"/>
      <c r="AK370" s="231"/>
      <c r="AL370" s="231"/>
      <c r="AM370" s="231"/>
      <c r="AN370" s="231"/>
      <c r="AO370" s="231"/>
      <c r="AP370" s="231"/>
      <c r="AQ370" s="231"/>
      <c r="AR370" s="231"/>
      <c r="AS370" s="231"/>
      <c r="AT370" s="231"/>
      <c r="AU370" s="231"/>
      <c r="AV370" s="231"/>
      <c r="AW370" s="231"/>
      <c r="AX370" s="231"/>
      <c r="AY370" s="231"/>
      <c r="AZ370" s="231"/>
      <c r="BA370" s="231"/>
      <c r="BB370" s="231"/>
      <c r="BC370" s="231"/>
      <c r="BD370" s="231"/>
      <c r="BE370" s="231"/>
      <c r="BF370" s="231"/>
      <c r="BG370" s="231"/>
      <c r="BH370" s="231"/>
      <c r="BI370" s="231"/>
      <c r="BJ370" s="224"/>
      <c r="BK370" s="224"/>
    </row>
    <row r="371" spans="1:63" hidden="1" outlineLevel="1">
      <c r="A371" s="9"/>
      <c r="B371" s="44"/>
      <c r="C371" s="131" t="str">
        <f>Asset6</f>
        <v>Non-network general assets - IT</v>
      </c>
      <c r="D371" s="9"/>
      <c r="E371" s="9"/>
      <c r="F371" s="143"/>
      <c r="G371" s="204">
        <f>Input!O12</f>
        <v>0</v>
      </c>
      <c r="H371" s="119"/>
      <c r="I371" s="119"/>
      <c r="J371" s="119"/>
      <c r="K371" s="119"/>
      <c r="L371" s="119"/>
      <c r="M371" s="9"/>
      <c r="N371" s="115"/>
      <c r="O371" s="154"/>
      <c r="P371" s="154"/>
      <c r="Q371" s="154"/>
      <c r="R371" s="104"/>
      <c r="S371" s="104"/>
      <c r="T371" s="104"/>
      <c r="U371" s="104"/>
      <c r="V371" s="104"/>
      <c r="W371" s="104"/>
      <c r="X371" s="104"/>
      <c r="Y371" s="104"/>
      <c r="Z371" s="104"/>
      <c r="AA371" s="231"/>
      <c r="AB371" s="231"/>
      <c r="AC371" s="231"/>
      <c r="AD371" s="231"/>
      <c r="AE371" s="231"/>
      <c r="AF371" s="231"/>
      <c r="AG371" s="231"/>
      <c r="AH371" s="231"/>
      <c r="AI371" s="231"/>
      <c r="AJ371" s="231"/>
      <c r="AK371" s="231"/>
      <c r="AL371" s="231"/>
      <c r="AM371" s="231"/>
      <c r="AN371" s="231"/>
      <c r="AO371" s="231"/>
      <c r="AP371" s="231"/>
      <c r="AQ371" s="231"/>
      <c r="AR371" s="231"/>
      <c r="AS371" s="231"/>
      <c r="AT371" s="231"/>
      <c r="AU371" s="231"/>
      <c r="AV371" s="231"/>
      <c r="AW371" s="231"/>
      <c r="AX371" s="231"/>
      <c r="AY371" s="231"/>
      <c r="AZ371" s="231"/>
      <c r="BA371" s="231"/>
      <c r="BB371" s="231"/>
      <c r="BC371" s="231"/>
      <c r="BD371" s="231"/>
      <c r="BE371" s="231"/>
      <c r="BF371" s="231"/>
      <c r="BG371" s="231"/>
      <c r="BH371" s="231"/>
      <c r="BI371" s="231"/>
      <c r="BJ371" s="224"/>
      <c r="BK371" s="224"/>
    </row>
    <row r="372" spans="1:63" hidden="1" outlineLevel="1">
      <c r="A372" s="9"/>
      <c r="B372" s="44"/>
      <c r="C372" s="131" t="str">
        <f>Asset7</f>
        <v>Non-network general assets - Other</v>
      </c>
      <c r="D372" s="9"/>
      <c r="E372" s="9"/>
      <c r="F372" s="143"/>
      <c r="G372" s="204">
        <f>Input!O13</f>
        <v>0</v>
      </c>
      <c r="H372" s="119"/>
      <c r="I372" s="119"/>
      <c r="J372" s="119"/>
      <c r="K372" s="119"/>
      <c r="L372" s="119"/>
      <c r="M372" s="9"/>
      <c r="N372" s="115"/>
      <c r="O372" s="154"/>
      <c r="P372" s="154"/>
      <c r="Q372" s="154"/>
      <c r="R372" s="104"/>
      <c r="S372" s="104"/>
      <c r="T372" s="104"/>
      <c r="U372" s="104"/>
      <c r="V372" s="104"/>
      <c r="W372" s="104"/>
      <c r="X372" s="104"/>
      <c r="Y372" s="104"/>
      <c r="Z372" s="104"/>
      <c r="AA372" s="231"/>
      <c r="AB372" s="231"/>
      <c r="AC372" s="231"/>
      <c r="AD372" s="231"/>
      <c r="AE372" s="231"/>
      <c r="AF372" s="231"/>
      <c r="AG372" s="231"/>
      <c r="AH372" s="231"/>
      <c r="AI372" s="231"/>
      <c r="AJ372" s="231"/>
      <c r="AK372" s="231"/>
      <c r="AL372" s="231"/>
      <c r="AM372" s="231"/>
      <c r="AN372" s="231"/>
      <c r="AO372" s="231"/>
      <c r="AP372" s="231"/>
      <c r="AQ372" s="231"/>
      <c r="AR372" s="231"/>
      <c r="AS372" s="231"/>
      <c r="AT372" s="231"/>
      <c r="AU372" s="231"/>
      <c r="AV372" s="231"/>
      <c r="AW372" s="231"/>
      <c r="AX372" s="231"/>
      <c r="AY372" s="231"/>
      <c r="AZ372" s="231"/>
      <c r="BA372" s="231"/>
      <c r="BB372" s="231"/>
      <c r="BC372" s="231"/>
      <c r="BD372" s="231"/>
      <c r="BE372" s="231"/>
      <c r="BF372" s="231"/>
      <c r="BG372" s="231"/>
      <c r="BH372" s="231"/>
      <c r="BI372" s="231"/>
      <c r="BJ372" s="224"/>
      <c r="BK372" s="224"/>
    </row>
    <row r="373" spans="1:63" hidden="1" outlineLevel="1">
      <c r="A373" s="9"/>
      <c r="B373" s="44"/>
      <c r="C373" s="131" t="str">
        <f>Asset8</f>
        <v>Equity Raising Costs</v>
      </c>
      <c r="D373" s="9"/>
      <c r="E373" s="9"/>
      <c r="F373" s="143"/>
      <c r="G373" s="204">
        <f>Input!O14</f>
        <v>0</v>
      </c>
      <c r="H373" s="119"/>
      <c r="I373" s="119"/>
      <c r="J373" s="119"/>
      <c r="K373" s="119"/>
      <c r="L373" s="119"/>
      <c r="M373" s="9"/>
      <c r="N373" s="115"/>
      <c r="O373" s="154"/>
      <c r="P373" s="154"/>
      <c r="Q373" s="154"/>
      <c r="R373" s="104"/>
      <c r="S373" s="104"/>
      <c r="T373" s="104"/>
      <c r="U373" s="104"/>
      <c r="V373" s="104"/>
      <c r="W373" s="104"/>
      <c r="X373" s="104"/>
      <c r="Y373" s="104"/>
      <c r="Z373" s="104"/>
      <c r="AA373" s="231"/>
      <c r="AB373" s="231"/>
      <c r="AC373" s="231"/>
      <c r="AD373" s="231"/>
      <c r="AE373" s="231"/>
      <c r="AF373" s="231"/>
      <c r="AG373" s="231"/>
      <c r="AH373" s="231"/>
      <c r="AI373" s="231"/>
      <c r="AJ373" s="231"/>
      <c r="AK373" s="231"/>
      <c r="AL373" s="231"/>
      <c r="AM373" s="231"/>
      <c r="AN373" s="231"/>
      <c r="AO373" s="231"/>
      <c r="AP373" s="231"/>
      <c r="AQ373" s="231"/>
      <c r="AR373" s="231"/>
      <c r="AS373" s="231"/>
      <c r="AT373" s="231"/>
      <c r="AU373" s="231"/>
      <c r="AV373" s="231"/>
      <c r="AW373" s="231"/>
      <c r="AX373" s="231"/>
      <c r="AY373" s="231"/>
      <c r="AZ373" s="231"/>
      <c r="BA373" s="231"/>
      <c r="BB373" s="231"/>
      <c r="BC373" s="231"/>
      <c r="BD373" s="231"/>
      <c r="BE373" s="231"/>
      <c r="BF373" s="231"/>
      <c r="BG373" s="231"/>
      <c r="BH373" s="231"/>
      <c r="BI373" s="231"/>
      <c r="BJ373" s="224"/>
      <c r="BK373" s="224"/>
    </row>
    <row r="374" spans="1:63" hidden="1" outlineLevel="1">
      <c r="A374" s="9"/>
      <c r="B374" s="44"/>
      <c r="C374" s="131">
        <f>Asset9</f>
        <v>0</v>
      </c>
      <c r="D374" s="9"/>
      <c r="E374" s="9"/>
      <c r="F374" s="143"/>
      <c r="G374" s="204">
        <f>Input!O15</f>
        <v>0</v>
      </c>
      <c r="H374" s="119"/>
      <c r="I374" s="119"/>
      <c r="J374" s="119"/>
      <c r="K374" s="119"/>
      <c r="L374" s="119"/>
      <c r="M374" s="9"/>
      <c r="N374" s="115"/>
      <c r="O374" s="154"/>
      <c r="P374" s="154"/>
      <c r="Q374" s="154"/>
      <c r="R374" s="104"/>
      <c r="S374" s="104"/>
      <c r="T374" s="104"/>
      <c r="U374" s="104"/>
      <c r="V374" s="104"/>
      <c r="W374" s="104"/>
      <c r="X374" s="104"/>
      <c r="Y374" s="104"/>
      <c r="Z374" s="104"/>
      <c r="AA374" s="231"/>
      <c r="AB374" s="231"/>
      <c r="AC374" s="231"/>
      <c r="AD374" s="231"/>
      <c r="AE374" s="231"/>
      <c r="AF374" s="231"/>
      <c r="AG374" s="231"/>
      <c r="AH374" s="231"/>
      <c r="AI374" s="231"/>
      <c r="AJ374" s="231"/>
      <c r="AK374" s="231"/>
      <c r="AL374" s="231"/>
      <c r="AM374" s="231"/>
      <c r="AN374" s="231"/>
      <c r="AO374" s="231"/>
      <c r="AP374" s="231"/>
      <c r="AQ374" s="231"/>
      <c r="AR374" s="231"/>
      <c r="AS374" s="231"/>
      <c r="AT374" s="231"/>
      <c r="AU374" s="231"/>
      <c r="AV374" s="231"/>
      <c r="AW374" s="231"/>
      <c r="AX374" s="231"/>
      <c r="AY374" s="231"/>
      <c r="AZ374" s="231"/>
      <c r="BA374" s="231"/>
      <c r="BB374" s="231"/>
      <c r="BC374" s="231"/>
      <c r="BD374" s="231"/>
      <c r="BE374" s="231"/>
      <c r="BF374" s="231"/>
      <c r="BG374" s="231"/>
      <c r="BH374" s="231"/>
      <c r="BI374" s="231"/>
      <c r="BJ374" s="224"/>
      <c r="BK374" s="224"/>
    </row>
    <row r="375" spans="1:63" hidden="1" outlineLevel="1">
      <c r="A375" s="9"/>
      <c r="B375" s="44"/>
      <c r="C375" s="131">
        <f>Asset10</f>
        <v>0</v>
      </c>
      <c r="D375" s="9"/>
      <c r="E375" s="9"/>
      <c r="F375" s="143"/>
      <c r="G375" s="204">
        <f>Input!O16</f>
        <v>0</v>
      </c>
      <c r="H375" s="119"/>
      <c r="I375" s="119"/>
      <c r="J375" s="119"/>
      <c r="K375" s="119"/>
      <c r="L375" s="119"/>
      <c r="M375" s="9"/>
      <c r="N375" s="115"/>
      <c r="O375" s="154"/>
      <c r="P375" s="154"/>
      <c r="Q375" s="154"/>
      <c r="R375" s="104"/>
      <c r="S375" s="104"/>
      <c r="T375" s="104"/>
      <c r="U375" s="104"/>
      <c r="V375" s="104"/>
      <c r="W375" s="104"/>
      <c r="X375" s="104"/>
      <c r="Y375" s="104"/>
      <c r="Z375" s="104"/>
      <c r="AA375" s="231"/>
      <c r="AB375" s="231"/>
      <c r="AC375" s="231"/>
      <c r="AD375" s="231"/>
      <c r="AE375" s="231"/>
      <c r="AF375" s="231"/>
      <c r="AG375" s="231"/>
      <c r="AH375" s="231"/>
      <c r="AI375" s="231"/>
      <c r="AJ375" s="231"/>
      <c r="AK375" s="231"/>
      <c r="AL375" s="231"/>
      <c r="AM375" s="231"/>
      <c r="AN375" s="231"/>
      <c r="AO375" s="231"/>
      <c r="AP375" s="231"/>
      <c r="AQ375" s="231"/>
      <c r="AR375" s="231"/>
      <c r="AS375" s="231"/>
      <c r="AT375" s="231"/>
      <c r="AU375" s="231"/>
      <c r="AV375" s="231"/>
      <c r="AW375" s="231"/>
      <c r="AX375" s="231"/>
      <c r="AY375" s="231"/>
      <c r="AZ375" s="231"/>
      <c r="BA375" s="231"/>
      <c r="BB375" s="231"/>
      <c r="BC375" s="231"/>
      <c r="BD375" s="231"/>
      <c r="BE375" s="231"/>
      <c r="BF375" s="231"/>
      <c r="BG375" s="231"/>
      <c r="BH375" s="231"/>
      <c r="BI375" s="231"/>
      <c r="BJ375" s="224"/>
      <c r="BK375" s="224"/>
    </row>
    <row r="376" spans="1:63" hidden="1" outlineLevel="1">
      <c r="A376" s="9"/>
      <c r="B376" s="44"/>
      <c r="C376" s="131">
        <f>Asset11</f>
        <v>0</v>
      </c>
      <c r="D376" s="9"/>
      <c r="E376" s="9"/>
      <c r="F376" s="143"/>
      <c r="G376" s="204">
        <f>Input!O17</f>
        <v>0</v>
      </c>
      <c r="H376" s="119"/>
      <c r="I376" s="119"/>
      <c r="J376" s="119"/>
      <c r="K376" s="119"/>
      <c r="L376" s="119"/>
      <c r="M376" s="9"/>
      <c r="N376" s="115"/>
      <c r="O376" s="154"/>
      <c r="P376" s="154"/>
      <c r="Q376" s="154"/>
      <c r="R376" s="104"/>
      <c r="S376" s="104"/>
      <c r="T376" s="104"/>
      <c r="U376" s="104"/>
      <c r="V376" s="104"/>
      <c r="W376" s="104"/>
      <c r="X376" s="104"/>
      <c r="Y376" s="104"/>
      <c r="Z376" s="104"/>
      <c r="AA376" s="231"/>
      <c r="AB376" s="231"/>
      <c r="AC376" s="231"/>
      <c r="AD376" s="231"/>
      <c r="AE376" s="231"/>
      <c r="AF376" s="231"/>
      <c r="AG376" s="231"/>
      <c r="AH376" s="231"/>
      <c r="AI376" s="231"/>
      <c r="AJ376" s="231"/>
      <c r="AK376" s="231"/>
      <c r="AL376" s="231"/>
      <c r="AM376" s="231"/>
      <c r="AN376" s="231"/>
      <c r="AO376" s="231"/>
      <c r="AP376" s="231"/>
      <c r="AQ376" s="231"/>
      <c r="AR376" s="231"/>
      <c r="AS376" s="231"/>
      <c r="AT376" s="231"/>
      <c r="AU376" s="231"/>
      <c r="AV376" s="231"/>
      <c r="AW376" s="231"/>
      <c r="AX376" s="231"/>
      <c r="AY376" s="231"/>
      <c r="AZ376" s="231"/>
      <c r="BA376" s="231"/>
      <c r="BB376" s="231"/>
      <c r="BC376" s="231"/>
      <c r="BD376" s="231"/>
      <c r="BE376" s="231"/>
      <c r="BF376" s="231"/>
      <c r="BG376" s="231"/>
      <c r="BH376" s="231"/>
      <c r="BI376" s="231"/>
      <c r="BJ376" s="224"/>
      <c r="BK376" s="224"/>
    </row>
    <row r="377" spans="1:63" hidden="1" outlineLevel="1">
      <c r="A377" s="9"/>
      <c r="B377" s="44"/>
      <c r="C377" s="131">
        <f>Asset12</f>
        <v>0</v>
      </c>
      <c r="D377" s="9"/>
      <c r="E377" s="9"/>
      <c r="F377" s="143"/>
      <c r="G377" s="204">
        <f>Input!O18</f>
        <v>0</v>
      </c>
      <c r="H377" s="119"/>
      <c r="I377" s="119"/>
      <c r="J377" s="119"/>
      <c r="K377" s="119"/>
      <c r="L377" s="119"/>
      <c r="M377" s="9"/>
      <c r="N377" s="115"/>
      <c r="O377" s="154"/>
      <c r="P377" s="154"/>
      <c r="Q377" s="154"/>
      <c r="R377" s="104"/>
      <c r="S377" s="104"/>
      <c r="T377" s="104"/>
      <c r="U377" s="104"/>
      <c r="V377" s="104"/>
      <c r="W377" s="104"/>
      <c r="X377" s="104"/>
      <c r="Y377" s="104"/>
      <c r="Z377" s="104"/>
      <c r="AA377" s="231"/>
      <c r="AB377" s="231"/>
      <c r="AC377" s="231"/>
      <c r="AD377" s="231"/>
      <c r="AE377" s="231"/>
      <c r="AF377" s="231"/>
      <c r="AG377" s="231"/>
      <c r="AH377" s="231"/>
      <c r="AI377" s="231"/>
      <c r="AJ377" s="231"/>
      <c r="AK377" s="231"/>
      <c r="AL377" s="231"/>
      <c r="AM377" s="231"/>
      <c r="AN377" s="231"/>
      <c r="AO377" s="231"/>
      <c r="AP377" s="231"/>
      <c r="AQ377" s="231"/>
      <c r="AR377" s="231"/>
      <c r="AS377" s="231"/>
      <c r="AT377" s="231"/>
      <c r="AU377" s="231"/>
      <c r="AV377" s="231"/>
      <c r="AW377" s="231"/>
      <c r="AX377" s="231"/>
      <c r="AY377" s="231"/>
      <c r="AZ377" s="231"/>
      <c r="BA377" s="231"/>
      <c r="BB377" s="231"/>
      <c r="BC377" s="231"/>
      <c r="BD377" s="231"/>
      <c r="BE377" s="231"/>
      <c r="BF377" s="231"/>
      <c r="BG377" s="231"/>
      <c r="BH377" s="231"/>
      <c r="BI377" s="231"/>
      <c r="BJ377" s="224"/>
      <c r="BK377" s="224"/>
    </row>
    <row r="378" spans="1:63" hidden="1" outlineLevel="1">
      <c r="A378" s="9"/>
      <c r="B378" s="44"/>
      <c r="C378" s="131">
        <f>Asset13</f>
        <v>0</v>
      </c>
      <c r="D378" s="9"/>
      <c r="E378" s="9"/>
      <c r="F378" s="143"/>
      <c r="G378" s="204">
        <f>Input!O19</f>
        <v>0</v>
      </c>
      <c r="H378" s="119"/>
      <c r="I378" s="119"/>
      <c r="J378" s="119"/>
      <c r="K378" s="119"/>
      <c r="L378" s="119"/>
      <c r="M378" s="9"/>
      <c r="N378" s="115"/>
      <c r="O378" s="154"/>
      <c r="P378" s="154"/>
      <c r="Q378" s="154"/>
      <c r="R378" s="104"/>
      <c r="S378" s="104"/>
      <c r="T378" s="104"/>
      <c r="U378" s="104"/>
      <c r="V378" s="104"/>
      <c r="W378" s="104"/>
      <c r="X378" s="104"/>
      <c r="Y378" s="104"/>
      <c r="Z378" s="104"/>
      <c r="AA378" s="231"/>
      <c r="AB378" s="231"/>
      <c r="AC378" s="231"/>
      <c r="AD378" s="231"/>
      <c r="AE378" s="231"/>
      <c r="AF378" s="231"/>
      <c r="AG378" s="231"/>
      <c r="AH378" s="231"/>
      <c r="AI378" s="231"/>
      <c r="AJ378" s="231"/>
      <c r="AK378" s="231"/>
      <c r="AL378" s="231"/>
      <c r="AM378" s="231"/>
      <c r="AN378" s="231"/>
      <c r="AO378" s="231"/>
      <c r="AP378" s="231"/>
      <c r="AQ378" s="231"/>
      <c r="AR378" s="231"/>
      <c r="AS378" s="231"/>
      <c r="AT378" s="231"/>
      <c r="AU378" s="231"/>
      <c r="AV378" s="231"/>
      <c r="AW378" s="231"/>
      <c r="AX378" s="231"/>
      <c r="AY378" s="231"/>
      <c r="AZ378" s="231"/>
      <c r="BA378" s="231"/>
      <c r="BB378" s="231"/>
      <c r="BC378" s="231"/>
      <c r="BD378" s="231"/>
      <c r="BE378" s="231"/>
      <c r="BF378" s="231"/>
      <c r="BG378" s="231"/>
      <c r="BH378" s="231"/>
      <c r="BI378" s="231"/>
      <c r="BJ378" s="224"/>
      <c r="BK378" s="224"/>
    </row>
    <row r="379" spans="1:63" hidden="1" outlineLevel="1">
      <c r="A379" s="9"/>
      <c r="B379" s="44"/>
      <c r="C379" s="131">
        <f>Asset14</f>
        <v>0</v>
      </c>
      <c r="D379" s="9"/>
      <c r="E379" s="9"/>
      <c r="F379" s="143"/>
      <c r="G379" s="204">
        <f>Input!O20</f>
        <v>0</v>
      </c>
      <c r="H379" s="119"/>
      <c r="I379" s="119"/>
      <c r="J379" s="119"/>
      <c r="K379" s="119"/>
      <c r="L379" s="119"/>
      <c r="M379" s="9"/>
      <c r="N379" s="115"/>
      <c r="O379" s="154"/>
      <c r="P379" s="154"/>
      <c r="Q379" s="154"/>
      <c r="R379" s="104"/>
      <c r="S379" s="104"/>
      <c r="T379" s="104"/>
      <c r="U379" s="104"/>
      <c r="V379" s="104"/>
      <c r="W379" s="104"/>
      <c r="X379" s="104"/>
      <c r="Y379" s="104"/>
      <c r="Z379" s="104"/>
      <c r="AA379" s="231"/>
      <c r="AB379" s="231"/>
      <c r="AC379" s="231"/>
      <c r="AD379" s="231"/>
      <c r="AE379" s="231"/>
      <c r="AF379" s="231"/>
      <c r="AG379" s="231"/>
      <c r="AH379" s="231"/>
      <c r="AI379" s="231"/>
      <c r="AJ379" s="231"/>
      <c r="AK379" s="231"/>
      <c r="AL379" s="231"/>
      <c r="AM379" s="231"/>
      <c r="AN379" s="231"/>
      <c r="AO379" s="231"/>
      <c r="AP379" s="231"/>
      <c r="AQ379" s="231"/>
      <c r="AR379" s="231"/>
      <c r="AS379" s="231"/>
      <c r="AT379" s="231"/>
      <c r="AU379" s="231"/>
      <c r="AV379" s="231"/>
      <c r="AW379" s="231"/>
      <c r="AX379" s="231"/>
      <c r="AY379" s="231"/>
      <c r="AZ379" s="231"/>
      <c r="BA379" s="231"/>
      <c r="BB379" s="231"/>
      <c r="BC379" s="231"/>
      <c r="BD379" s="231"/>
      <c r="BE379" s="231"/>
      <c r="BF379" s="231"/>
      <c r="BG379" s="231"/>
      <c r="BH379" s="231"/>
      <c r="BI379" s="231"/>
      <c r="BJ379" s="224"/>
      <c r="BK379" s="224"/>
    </row>
    <row r="380" spans="1:63" hidden="1" outlineLevel="1">
      <c r="A380" s="9"/>
      <c r="B380" s="44"/>
      <c r="C380" s="131">
        <f>Asset15</f>
        <v>0</v>
      </c>
      <c r="D380" s="9"/>
      <c r="E380" s="9"/>
      <c r="F380" s="143"/>
      <c r="G380" s="204">
        <f>Input!O21</f>
        <v>0</v>
      </c>
      <c r="H380" s="119"/>
      <c r="I380" s="119"/>
      <c r="J380" s="119"/>
      <c r="K380" s="119"/>
      <c r="L380" s="119"/>
      <c r="M380" s="9"/>
      <c r="N380" s="115"/>
      <c r="O380" s="154"/>
      <c r="P380" s="154"/>
      <c r="Q380" s="154"/>
      <c r="R380" s="104"/>
      <c r="S380" s="104"/>
      <c r="T380" s="104"/>
      <c r="U380" s="104"/>
      <c r="V380" s="104"/>
      <c r="W380" s="104"/>
      <c r="X380" s="104"/>
      <c r="Y380" s="104"/>
      <c r="Z380" s="104"/>
      <c r="AA380" s="231"/>
      <c r="AB380" s="231"/>
      <c r="AC380" s="231"/>
      <c r="AD380" s="231"/>
      <c r="AE380" s="231"/>
      <c r="AF380" s="231"/>
      <c r="AG380" s="231"/>
      <c r="AH380" s="231"/>
      <c r="AI380" s="231"/>
      <c r="AJ380" s="231"/>
      <c r="AK380" s="231"/>
      <c r="AL380" s="231"/>
      <c r="AM380" s="231"/>
      <c r="AN380" s="231"/>
      <c r="AO380" s="231"/>
      <c r="AP380" s="231"/>
      <c r="AQ380" s="231"/>
      <c r="AR380" s="231"/>
      <c r="AS380" s="231"/>
      <c r="AT380" s="231"/>
      <c r="AU380" s="231"/>
      <c r="AV380" s="231"/>
      <c r="AW380" s="231"/>
      <c r="AX380" s="231"/>
      <c r="AY380" s="231"/>
      <c r="AZ380" s="231"/>
      <c r="BA380" s="231"/>
      <c r="BB380" s="231"/>
      <c r="BC380" s="231"/>
      <c r="BD380" s="231"/>
      <c r="BE380" s="231"/>
      <c r="BF380" s="231"/>
      <c r="BG380" s="231"/>
      <c r="BH380" s="231"/>
      <c r="BI380" s="231"/>
      <c r="BJ380" s="224"/>
      <c r="BK380" s="224"/>
    </row>
    <row r="381" spans="1:63" hidden="1" outlineLevel="1">
      <c r="A381" s="9"/>
      <c r="B381" s="44"/>
      <c r="C381" s="131">
        <f>Asset16</f>
        <v>0</v>
      </c>
      <c r="D381" s="9"/>
      <c r="E381" s="9"/>
      <c r="F381" s="143"/>
      <c r="G381" s="204">
        <f>Input!O22</f>
        <v>0</v>
      </c>
      <c r="H381" s="119"/>
      <c r="I381" s="119"/>
      <c r="J381" s="119"/>
      <c r="K381" s="119"/>
      <c r="L381" s="119"/>
      <c r="M381" s="9"/>
      <c r="N381" s="115"/>
      <c r="O381" s="154"/>
      <c r="P381" s="154"/>
      <c r="Q381" s="154"/>
      <c r="R381" s="104"/>
      <c r="S381" s="104"/>
      <c r="T381" s="104"/>
      <c r="U381" s="104"/>
      <c r="V381" s="104"/>
      <c r="W381" s="104"/>
      <c r="X381" s="104"/>
      <c r="Y381" s="104"/>
      <c r="Z381" s="104"/>
      <c r="AA381" s="231"/>
      <c r="AB381" s="231"/>
      <c r="AC381" s="231"/>
      <c r="AD381" s="231"/>
      <c r="AE381" s="231"/>
      <c r="AF381" s="231"/>
      <c r="AG381" s="231"/>
      <c r="AH381" s="231"/>
      <c r="AI381" s="231"/>
      <c r="AJ381" s="231"/>
      <c r="AK381" s="231"/>
      <c r="AL381" s="231"/>
      <c r="AM381" s="231"/>
      <c r="AN381" s="231"/>
      <c r="AO381" s="231"/>
      <c r="AP381" s="231"/>
      <c r="AQ381" s="231"/>
      <c r="AR381" s="231"/>
      <c r="AS381" s="231"/>
      <c r="AT381" s="231"/>
      <c r="AU381" s="231"/>
      <c r="AV381" s="231"/>
      <c r="AW381" s="231"/>
      <c r="AX381" s="231"/>
      <c r="AY381" s="231"/>
      <c r="AZ381" s="231"/>
      <c r="BA381" s="231"/>
      <c r="BB381" s="231"/>
      <c r="BC381" s="231"/>
      <c r="BD381" s="231"/>
      <c r="BE381" s="231"/>
      <c r="BF381" s="231"/>
      <c r="BG381" s="231"/>
      <c r="BH381" s="231"/>
      <c r="BI381" s="231"/>
      <c r="BJ381" s="224"/>
      <c r="BK381" s="224"/>
    </row>
    <row r="382" spans="1:63" hidden="1" outlineLevel="1">
      <c r="A382" s="9"/>
      <c r="B382" s="44"/>
      <c r="C382" s="131">
        <f>Asset17</f>
        <v>0</v>
      </c>
      <c r="D382" s="9"/>
      <c r="E382" s="9"/>
      <c r="F382" s="143"/>
      <c r="G382" s="204">
        <f>Input!O23</f>
        <v>0</v>
      </c>
      <c r="H382" s="119"/>
      <c r="I382" s="119"/>
      <c r="J382" s="119"/>
      <c r="K382" s="119"/>
      <c r="L382" s="119"/>
      <c r="M382" s="9"/>
      <c r="N382" s="115"/>
      <c r="O382" s="154"/>
      <c r="P382" s="154"/>
      <c r="Q382" s="154"/>
      <c r="R382" s="104"/>
      <c r="S382" s="104"/>
      <c r="T382" s="104"/>
      <c r="U382" s="104"/>
      <c r="V382" s="104"/>
      <c r="W382" s="104"/>
      <c r="X382" s="104"/>
      <c r="Y382" s="104"/>
      <c r="Z382" s="104"/>
      <c r="AA382" s="231"/>
      <c r="AB382" s="231"/>
      <c r="AC382" s="231"/>
      <c r="AD382" s="231"/>
      <c r="AE382" s="231"/>
      <c r="AF382" s="231"/>
      <c r="AG382" s="231"/>
      <c r="AH382" s="231"/>
      <c r="AI382" s="231"/>
      <c r="AJ382" s="231"/>
      <c r="AK382" s="231"/>
      <c r="AL382" s="231"/>
      <c r="AM382" s="231"/>
      <c r="AN382" s="231"/>
      <c r="AO382" s="231"/>
      <c r="AP382" s="231"/>
      <c r="AQ382" s="231"/>
      <c r="AR382" s="231"/>
      <c r="AS382" s="231"/>
      <c r="AT382" s="231"/>
      <c r="AU382" s="231"/>
      <c r="AV382" s="231"/>
      <c r="AW382" s="231"/>
      <c r="AX382" s="231"/>
      <c r="AY382" s="231"/>
      <c r="AZ382" s="231"/>
      <c r="BA382" s="231"/>
      <c r="BB382" s="231"/>
      <c r="BC382" s="231"/>
      <c r="BD382" s="231"/>
      <c r="BE382" s="231"/>
      <c r="BF382" s="231"/>
      <c r="BG382" s="231"/>
      <c r="BH382" s="231"/>
      <c r="BI382" s="231"/>
      <c r="BJ382" s="224"/>
      <c r="BK382" s="224"/>
    </row>
    <row r="383" spans="1:63" hidden="1" outlineLevel="1">
      <c r="A383" s="9"/>
      <c r="B383" s="44"/>
      <c r="C383" s="131">
        <f>Asset18</f>
        <v>0</v>
      </c>
      <c r="D383" s="9"/>
      <c r="E383" s="9"/>
      <c r="F383" s="143"/>
      <c r="G383" s="204">
        <f>Input!O24</f>
        <v>0</v>
      </c>
      <c r="H383" s="119"/>
      <c r="I383" s="119"/>
      <c r="J383" s="119"/>
      <c r="K383" s="119"/>
      <c r="L383" s="119"/>
      <c r="M383" s="9"/>
      <c r="N383" s="115"/>
      <c r="O383" s="154"/>
      <c r="P383" s="154"/>
      <c r="Q383" s="154"/>
      <c r="R383" s="104"/>
      <c r="S383" s="104"/>
      <c r="T383" s="104"/>
      <c r="U383" s="104"/>
      <c r="V383" s="104"/>
      <c r="W383" s="104"/>
      <c r="X383" s="104"/>
      <c r="Y383" s="104"/>
      <c r="Z383" s="104"/>
      <c r="AA383" s="231"/>
      <c r="AB383" s="231"/>
      <c r="AC383" s="231"/>
      <c r="AD383" s="231"/>
      <c r="AE383" s="231"/>
      <c r="AF383" s="231"/>
      <c r="AG383" s="231"/>
      <c r="AH383" s="231"/>
      <c r="AI383" s="231"/>
      <c r="AJ383" s="231"/>
      <c r="AK383" s="231"/>
      <c r="AL383" s="231"/>
      <c r="AM383" s="231"/>
      <c r="AN383" s="231"/>
      <c r="AO383" s="231"/>
      <c r="AP383" s="231"/>
      <c r="AQ383" s="231"/>
      <c r="AR383" s="231"/>
      <c r="AS383" s="231"/>
      <c r="AT383" s="231"/>
      <c r="AU383" s="231"/>
      <c r="AV383" s="231"/>
      <c r="AW383" s="231"/>
      <c r="AX383" s="231"/>
      <c r="AY383" s="231"/>
      <c r="AZ383" s="231"/>
      <c r="BA383" s="231"/>
      <c r="BB383" s="231"/>
      <c r="BC383" s="231"/>
      <c r="BD383" s="231"/>
      <c r="BE383" s="231"/>
      <c r="BF383" s="231"/>
      <c r="BG383" s="231"/>
      <c r="BH383" s="231"/>
      <c r="BI383" s="231"/>
      <c r="BJ383" s="224"/>
      <c r="BK383" s="224"/>
    </row>
    <row r="384" spans="1:63" hidden="1" outlineLevel="1">
      <c r="A384" s="9"/>
      <c r="B384" s="44"/>
      <c r="C384" s="131">
        <f>Asset19</f>
        <v>0</v>
      </c>
      <c r="D384" s="9"/>
      <c r="E384" s="9"/>
      <c r="F384" s="143"/>
      <c r="G384" s="204">
        <f>Input!O25</f>
        <v>0</v>
      </c>
      <c r="H384" s="119"/>
      <c r="I384" s="119"/>
      <c r="J384" s="119"/>
      <c r="K384" s="119"/>
      <c r="L384" s="119"/>
      <c r="M384" s="9"/>
      <c r="N384" s="115"/>
      <c r="O384" s="154"/>
      <c r="P384" s="154"/>
      <c r="Q384" s="154"/>
      <c r="R384" s="104"/>
      <c r="S384" s="104"/>
      <c r="T384" s="104"/>
      <c r="U384" s="104"/>
      <c r="V384" s="104"/>
      <c r="W384" s="104"/>
      <c r="X384" s="104"/>
      <c r="Y384" s="104"/>
      <c r="Z384" s="104"/>
      <c r="AA384" s="231"/>
      <c r="AB384" s="231"/>
      <c r="AC384" s="231"/>
      <c r="AD384" s="231"/>
      <c r="AE384" s="231"/>
      <c r="AF384" s="231"/>
      <c r="AG384" s="231"/>
      <c r="AH384" s="231"/>
      <c r="AI384" s="231"/>
      <c r="AJ384" s="231"/>
      <c r="AK384" s="231"/>
      <c r="AL384" s="231"/>
      <c r="AM384" s="231"/>
      <c r="AN384" s="231"/>
      <c r="AO384" s="231"/>
      <c r="AP384" s="231"/>
      <c r="AQ384" s="231"/>
      <c r="AR384" s="231"/>
      <c r="AS384" s="231"/>
      <c r="AT384" s="231"/>
      <c r="AU384" s="231"/>
      <c r="AV384" s="231"/>
      <c r="AW384" s="231"/>
      <c r="AX384" s="231"/>
      <c r="AY384" s="231"/>
      <c r="AZ384" s="231"/>
      <c r="BA384" s="231"/>
      <c r="BB384" s="231"/>
      <c r="BC384" s="231"/>
      <c r="BD384" s="231"/>
      <c r="BE384" s="231"/>
      <c r="BF384" s="231"/>
      <c r="BG384" s="231"/>
      <c r="BH384" s="231"/>
      <c r="BI384" s="231"/>
      <c r="BJ384" s="224"/>
      <c r="BK384" s="224"/>
    </row>
    <row r="385" spans="1:63" hidden="1" outlineLevel="1">
      <c r="A385" s="9"/>
      <c r="B385" s="44"/>
      <c r="C385" s="131">
        <f>Asset20</f>
        <v>0</v>
      </c>
      <c r="D385" s="9"/>
      <c r="E385" s="9"/>
      <c r="F385" s="143"/>
      <c r="G385" s="204">
        <f>Input!O26</f>
        <v>0</v>
      </c>
      <c r="H385" s="119"/>
      <c r="I385" s="119"/>
      <c r="J385" s="119"/>
      <c r="K385" s="119"/>
      <c r="L385" s="119"/>
      <c r="M385" s="9"/>
      <c r="N385" s="115"/>
      <c r="O385" s="154"/>
      <c r="P385" s="154"/>
      <c r="Q385" s="154"/>
      <c r="R385" s="104"/>
      <c r="S385" s="104"/>
      <c r="T385" s="104"/>
      <c r="U385" s="104"/>
      <c r="V385" s="104"/>
      <c r="W385" s="104"/>
      <c r="X385" s="104"/>
      <c r="Y385" s="104"/>
      <c r="Z385" s="104"/>
      <c r="AA385" s="231"/>
      <c r="AB385" s="231"/>
      <c r="AC385" s="231"/>
      <c r="AD385" s="231"/>
      <c r="AE385" s="231"/>
      <c r="AF385" s="231"/>
      <c r="AG385" s="231"/>
      <c r="AH385" s="231"/>
      <c r="AI385" s="231"/>
      <c r="AJ385" s="231"/>
      <c r="AK385" s="231"/>
      <c r="AL385" s="231"/>
      <c r="AM385" s="231"/>
      <c r="AN385" s="231"/>
      <c r="AO385" s="231"/>
      <c r="AP385" s="231"/>
      <c r="AQ385" s="231"/>
      <c r="AR385" s="231"/>
      <c r="AS385" s="231"/>
      <c r="AT385" s="231"/>
      <c r="AU385" s="231"/>
      <c r="AV385" s="231"/>
      <c r="AW385" s="231"/>
      <c r="AX385" s="231"/>
      <c r="AY385" s="231"/>
      <c r="AZ385" s="231"/>
      <c r="BA385" s="231"/>
      <c r="BB385" s="231"/>
      <c r="BC385" s="231"/>
      <c r="BD385" s="231"/>
      <c r="BE385" s="231"/>
      <c r="BF385" s="231"/>
      <c r="BG385" s="231"/>
      <c r="BH385" s="231"/>
      <c r="BI385" s="231"/>
      <c r="BJ385" s="224"/>
      <c r="BK385" s="224"/>
    </row>
    <row r="386" spans="1:63" hidden="1" outlineLevel="1">
      <c r="A386" s="9"/>
      <c r="B386" s="44"/>
      <c r="C386" s="131">
        <f>Asset21</f>
        <v>0</v>
      </c>
      <c r="D386" s="9"/>
      <c r="E386" s="9"/>
      <c r="F386" s="143"/>
      <c r="G386" s="204">
        <f>Input!O27</f>
        <v>0</v>
      </c>
      <c r="H386" s="119"/>
      <c r="I386" s="119"/>
      <c r="J386" s="119"/>
      <c r="K386" s="119"/>
      <c r="L386" s="119"/>
      <c r="M386" s="9"/>
      <c r="N386" s="115"/>
      <c r="O386" s="154"/>
      <c r="P386" s="154"/>
      <c r="Q386" s="154"/>
      <c r="R386" s="104"/>
      <c r="S386" s="104"/>
      <c r="T386" s="104"/>
      <c r="U386" s="104"/>
      <c r="V386" s="104"/>
      <c r="W386" s="104"/>
      <c r="X386" s="104"/>
      <c r="Y386" s="104"/>
      <c r="Z386" s="104"/>
      <c r="AA386" s="231"/>
      <c r="AB386" s="231"/>
      <c r="AC386" s="231"/>
      <c r="AD386" s="231"/>
      <c r="AE386" s="231"/>
      <c r="AF386" s="231"/>
      <c r="AG386" s="231"/>
      <c r="AH386" s="231"/>
      <c r="AI386" s="231"/>
      <c r="AJ386" s="231"/>
      <c r="AK386" s="231"/>
      <c r="AL386" s="231"/>
      <c r="AM386" s="231"/>
      <c r="AN386" s="231"/>
      <c r="AO386" s="231"/>
      <c r="AP386" s="231"/>
      <c r="AQ386" s="231"/>
      <c r="AR386" s="231"/>
      <c r="AS386" s="231"/>
      <c r="AT386" s="231"/>
      <c r="AU386" s="231"/>
      <c r="AV386" s="231"/>
      <c r="AW386" s="231"/>
      <c r="AX386" s="231"/>
      <c r="AY386" s="231"/>
      <c r="AZ386" s="231"/>
      <c r="BA386" s="231"/>
      <c r="BB386" s="231"/>
      <c r="BC386" s="231"/>
      <c r="BD386" s="231"/>
      <c r="BE386" s="231"/>
      <c r="BF386" s="231"/>
      <c r="BG386" s="231"/>
      <c r="BH386" s="231"/>
      <c r="BI386" s="231"/>
      <c r="BJ386" s="224"/>
      <c r="BK386" s="224"/>
    </row>
    <row r="387" spans="1:63" hidden="1" outlineLevel="1">
      <c r="A387" s="9"/>
      <c r="B387" s="44"/>
      <c r="C387" s="131">
        <f>Asset22</f>
        <v>0</v>
      </c>
      <c r="D387" s="9"/>
      <c r="E387" s="9"/>
      <c r="F387" s="143"/>
      <c r="G387" s="204">
        <f>Input!O28</f>
        <v>0</v>
      </c>
      <c r="H387" s="119"/>
      <c r="I387" s="119"/>
      <c r="J387" s="119"/>
      <c r="K387" s="119"/>
      <c r="L387" s="119"/>
      <c r="M387" s="9"/>
      <c r="N387" s="115"/>
      <c r="O387" s="154"/>
      <c r="P387" s="154"/>
      <c r="Q387" s="154"/>
      <c r="R387" s="104"/>
      <c r="S387" s="104"/>
      <c r="T387" s="104"/>
      <c r="U387" s="104"/>
      <c r="V387" s="104"/>
      <c r="W387" s="104"/>
      <c r="X387" s="104"/>
      <c r="Y387" s="104"/>
      <c r="Z387" s="104"/>
      <c r="AA387" s="231"/>
      <c r="AB387" s="231"/>
      <c r="AC387" s="231"/>
      <c r="AD387" s="231"/>
      <c r="AE387" s="231"/>
      <c r="AF387" s="231"/>
      <c r="AG387" s="231"/>
      <c r="AH387" s="231"/>
      <c r="AI387" s="231"/>
      <c r="AJ387" s="231"/>
      <c r="AK387" s="231"/>
      <c r="AL387" s="231"/>
      <c r="AM387" s="231"/>
      <c r="AN387" s="231"/>
      <c r="AO387" s="231"/>
      <c r="AP387" s="231"/>
      <c r="AQ387" s="231"/>
      <c r="AR387" s="231"/>
      <c r="AS387" s="231"/>
      <c r="AT387" s="231"/>
      <c r="AU387" s="231"/>
      <c r="AV387" s="231"/>
      <c r="AW387" s="231"/>
      <c r="AX387" s="231"/>
      <c r="AY387" s="231"/>
      <c r="AZ387" s="231"/>
      <c r="BA387" s="231"/>
      <c r="BB387" s="231"/>
      <c r="BC387" s="231"/>
      <c r="BD387" s="231"/>
      <c r="BE387" s="231"/>
      <c r="BF387" s="231"/>
      <c r="BG387" s="231"/>
      <c r="BH387" s="231"/>
      <c r="BI387" s="231"/>
      <c r="BJ387" s="224"/>
      <c r="BK387" s="224"/>
    </row>
    <row r="388" spans="1:63" hidden="1" outlineLevel="1">
      <c r="A388" s="9"/>
      <c r="B388" s="44"/>
      <c r="C388" s="131">
        <f>Asset23</f>
        <v>0</v>
      </c>
      <c r="D388" s="9"/>
      <c r="E388" s="9"/>
      <c r="F388" s="143"/>
      <c r="G388" s="204">
        <f>Input!O29</f>
        <v>0</v>
      </c>
      <c r="H388" s="119"/>
      <c r="I388" s="119"/>
      <c r="J388" s="119"/>
      <c r="K388" s="119"/>
      <c r="L388" s="119"/>
      <c r="M388" s="9"/>
      <c r="N388" s="115"/>
      <c r="O388" s="154"/>
      <c r="P388" s="154"/>
      <c r="Q388" s="154"/>
      <c r="R388" s="104"/>
      <c r="S388" s="104"/>
      <c r="T388" s="104"/>
      <c r="U388" s="104"/>
      <c r="V388" s="104"/>
      <c r="W388" s="104"/>
      <c r="X388" s="104"/>
      <c r="Y388" s="104"/>
      <c r="Z388" s="104"/>
      <c r="AA388" s="231"/>
      <c r="AB388" s="231"/>
      <c r="AC388" s="231"/>
      <c r="AD388" s="231"/>
      <c r="AE388" s="231"/>
      <c r="AF388" s="231"/>
      <c r="AG388" s="231"/>
      <c r="AH388" s="231"/>
      <c r="AI388" s="231"/>
      <c r="AJ388" s="231"/>
      <c r="AK388" s="231"/>
      <c r="AL388" s="231"/>
      <c r="AM388" s="231"/>
      <c r="AN388" s="231"/>
      <c r="AO388" s="231"/>
      <c r="AP388" s="231"/>
      <c r="AQ388" s="231"/>
      <c r="AR388" s="231"/>
      <c r="AS388" s="231"/>
      <c r="AT388" s="231"/>
      <c r="AU388" s="231"/>
      <c r="AV388" s="231"/>
      <c r="AW388" s="231"/>
      <c r="AX388" s="231"/>
      <c r="AY388" s="231"/>
      <c r="AZ388" s="231"/>
      <c r="BA388" s="231"/>
      <c r="BB388" s="231"/>
      <c r="BC388" s="231"/>
      <c r="BD388" s="231"/>
      <c r="BE388" s="231"/>
      <c r="BF388" s="231"/>
      <c r="BG388" s="231"/>
      <c r="BH388" s="231"/>
      <c r="BI388" s="231"/>
      <c r="BJ388" s="224"/>
      <c r="BK388" s="224"/>
    </row>
    <row r="389" spans="1:63" hidden="1" outlineLevel="1">
      <c r="A389" s="9"/>
      <c r="B389" s="44"/>
      <c r="C389" s="131">
        <f>Asset24</f>
        <v>0</v>
      </c>
      <c r="D389" s="9"/>
      <c r="E389" s="9"/>
      <c r="F389" s="143"/>
      <c r="G389" s="204">
        <f>Input!O30</f>
        <v>0</v>
      </c>
      <c r="H389" s="119"/>
      <c r="I389" s="119"/>
      <c r="J389" s="119"/>
      <c r="K389" s="119"/>
      <c r="L389" s="119"/>
      <c r="M389" s="9"/>
      <c r="N389" s="115"/>
      <c r="O389" s="154"/>
      <c r="P389" s="154"/>
      <c r="Q389" s="154"/>
      <c r="R389" s="104"/>
      <c r="S389" s="104"/>
      <c r="T389" s="104"/>
      <c r="U389" s="104"/>
      <c r="V389" s="104"/>
      <c r="W389" s="104"/>
      <c r="X389" s="104"/>
      <c r="Y389" s="104"/>
      <c r="Z389" s="104"/>
      <c r="AA389" s="231"/>
      <c r="AB389" s="231"/>
      <c r="AC389" s="231"/>
      <c r="AD389" s="231"/>
      <c r="AE389" s="231"/>
      <c r="AF389" s="231"/>
      <c r="AG389" s="231"/>
      <c r="AH389" s="231"/>
      <c r="AI389" s="231"/>
      <c r="AJ389" s="231"/>
      <c r="AK389" s="231"/>
      <c r="AL389" s="231"/>
      <c r="AM389" s="231"/>
      <c r="AN389" s="231"/>
      <c r="AO389" s="231"/>
      <c r="AP389" s="231"/>
      <c r="AQ389" s="231"/>
      <c r="AR389" s="231"/>
      <c r="AS389" s="231"/>
      <c r="AT389" s="231"/>
      <c r="AU389" s="231"/>
      <c r="AV389" s="231"/>
      <c r="AW389" s="231"/>
      <c r="AX389" s="231"/>
      <c r="AY389" s="231"/>
      <c r="AZ389" s="231"/>
      <c r="BA389" s="231"/>
      <c r="BB389" s="231"/>
      <c r="BC389" s="231"/>
      <c r="BD389" s="231"/>
      <c r="BE389" s="231"/>
      <c r="BF389" s="231"/>
      <c r="BG389" s="231"/>
      <c r="BH389" s="231"/>
      <c r="BI389" s="231"/>
      <c r="BJ389" s="224"/>
      <c r="BK389" s="224"/>
    </row>
    <row r="390" spans="1:63" hidden="1" outlineLevel="1">
      <c r="A390" s="9"/>
      <c r="B390" s="44"/>
      <c r="C390" s="131">
        <f>Asset25</f>
        <v>0</v>
      </c>
      <c r="D390" s="9"/>
      <c r="E390" s="9"/>
      <c r="F390" s="143"/>
      <c r="G390" s="204">
        <f>Input!O31</f>
        <v>0</v>
      </c>
      <c r="H390" s="119"/>
      <c r="I390" s="119"/>
      <c r="J390" s="119"/>
      <c r="K390" s="119"/>
      <c r="L390" s="119"/>
      <c r="M390" s="9"/>
      <c r="N390" s="115"/>
      <c r="O390" s="154"/>
      <c r="P390" s="154"/>
      <c r="Q390" s="154"/>
      <c r="R390" s="104"/>
      <c r="S390" s="104"/>
      <c r="T390" s="104"/>
      <c r="U390" s="104"/>
      <c r="V390" s="104"/>
      <c r="W390" s="104"/>
      <c r="X390" s="104"/>
      <c r="Y390" s="104"/>
      <c r="Z390" s="104"/>
      <c r="AA390" s="231"/>
      <c r="AB390" s="231"/>
      <c r="AC390" s="231"/>
      <c r="AD390" s="231"/>
      <c r="AE390" s="231"/>
      <c r="AF390" s="231"/>
      <c r="AG390" s="231"/>
      <c r="AH390" s="231"/>
      <c r="AI390" s="231"/>
      <c r="AJ390" s="231"/>
      <c r="AK390" s="231"/>
      <c r="AL390" s="231"/>
      <c r="AM390" s="231"/>
      <c r="AN390" s="231"/>
      <c r="AO390" s="231"/>
      <c r="AP390" s="231"/>
      <c r="AQ390" s="231"/>
      <c r="AR390" s="231"/>
      <c r="AS390" s="231"/>
      <c r="AT390" s="231"/>
      <c r="AU390" s="231"/>
      <c r="AV390" s="231"/>
      <c r="AW390" s="231"/>
      <c r="AX390" s="231"/>
      <c r="AY390" s="231"/>
      <c r="AZ390" s="231"/>
      <c r="BA390" s="231"/>
      <c r="BB390" s="231"/>
      <c r="BC390" s="231"/>
      <c r="BD390" s="231"/>
      <c r="BE390" s="231"/>
      <c r="BF390" s="231"/>
      <c r="BG390" s="231"/>
      <c r="BH390" s="231"/>
      <c r="BI390" s="231"/>
      <c r="BJ390" s="224"/>
      <c r="BK390" s="224"/>
    </row>
    <row r="391" spans="1:63" hidden="1" outlineLevel="1">
      <c r="A391" s="9"/>
      <c r="B391" s="44"/>
      <c r="C391" s="131">
        <f>Asset26</f>
        <v>0</v>
      </c>
      <c r="D391" s="9"/>
      <c r="E391" s="9"/>
      <c r="F391" s="143"/>
      <c r="G391" s="204">
        <f>Input!O32</f>
        <v>0</v>
      </c>
      <c r="H391" s="119"/>
      <c r="I391" s="119"/>
      <c r="J391" s="119"/>
      <c r="K391" s="119"/>
      <c r="L391" s="119"/>
      <c r="M391" s="9"/>
      <c r="N391" s="115"/>
      <c r="O391" s="154"/>
      <c r="P391" s="154"/>
      <c r="Q391" s="154"/>
      <c r="R391" s="104"/>
      <c r="S391" s="104"/>
      <c r="T391" s="104"/>
      <c r="U391" s="104"/>
      <c r="V391" s="104"/>
      <c r="W391" s="104"/>
      <c r="X391" s="104"/>
      <c r="Y391" s="104"/>
      <c r="Z391" s="104"/>
      <c r="AA391" s="231"/>
      <c r="AB391" s="231"/>
      <c r="AC391" s="231"/>
      <c r="AD391" s="231"/>
      <c r="AE391" s="231"/>
      <c r="AF391" s="231"/>
      <c r="AG391" s="231"/>
      <c r="AH391" s="231"/>
      <c r="AI391" s="231"/>
      <c r="AJ391" s="231"/>
      <c r="AK391" s="231"/>
      <c r="AL391" s="231"/>
      <c r="AM391" s="231"/>
      <c r="AN391" s="231"/>
      <c r="AO391" s="231"/>
      <c r="AP391" s="231"/>
      <c r="AQ391" s="231"/>
      <c r="AR391" s="231"/>
      <c r="AS391" s="231"/>
      <c r="AT391" s="231"/>
      <c r="AU391" s="231"/>
      <c r="AV391" s="231"/>
      <c r="AW391" s="231"/>
      <c r="AX391" s="231"/>
      <c r="AY391" s="231"/>
      <c r="AZ391" s="231"/>
      <c r="BA391" s="231"/>
      <c r="BB391" s="231"/>
      <c r="BC391" s="231"/>
      <c r="BD391" s="231"/>
      <c r="BE391" s="231"/>
      <c r="BF391" s="231"/>
      <c r="BG391" s="231"/>
      <c r="BH391" s="231"/>
      <c r="BI391" s="231"/>
      <c r="BJ391" s="224"/>
      <c r="BK391" s="224"/>
    </row>
    <row r="392" spans="1:63" hidden="1" outlineLevel="1">
      <c r="A392" s="9"/>
      <c r="B392" s="44"/>
      <c r="C392" s="131">
        <f>Asset27</f>
        <v>0</v>
      </c>
      <c r="D392" s="9"/>
      <c r="E392" s="9"/>
      <c r="F392" s="143"/>
      <c r="G392" s="204">
        <f>Input!O33</f>
        <v>0</v>
      </c>
      <c r="H392" s="119"/>
      <c r="I392" s="119"/>
      <c r="J392" s="119"/>
      <c r="K392" s="119"/>
      <c r="L392" s="119"/>
      <c r="M392" s="9"/>
      <c r="N392" s="115"/>
      <c r="O392" s="154"/>
      <c r="P392" s="154"/>
      <c r="Q392" s="154"/>
      <c r="R392" s="104"/>
      <c r="S392" s="104"/>
      <c r="T392" s="104"/>
      <c r="U392" s="104"/>
      <c r="V392" s="104"/>
      <c r="W392" s="104"/>
      <c r="X392" s="104"/>
      <c r="Y392" s="104"/>
      <c r="Z392" s="104"/>
      <c r="AA392" s="231"/>
      <c r="AB392" s="231"/>
      <c r="AC392" s="231"/>
      <c r="AD392" s="231"/>
      <c r="AE392" s="231"/>
      <c r="AF392" s="231"/>
      <c r="AG392" s="231"/>
      <c r="AH392" s="231"/>
      <c r="AI392" s="231"/>
      <c r="AJ392" s="231"/>
      <c r="AK392" s="231"/>
      <c r="AL392" s="231"/>
      <c r="AM392" s="231"/>
      <c r="AN392" s="231"/>
      <c r="AO392" s="231"/>
      <c r="AP392" s="231"/>
      <c r="AQ392" s="231"/>
      <c r="AR392" s="231"/>
      <c r="AS392" s="231"/>
      <c r="AT392" s="231"/>
      <c r="AU392" s="231"/>
      <c r="AV392" s="231"/>
      <c r="AW392" s="231"/>
      <c r="AX392" s="231"/>
      <c r="AY392" s="231"/>
      <c r="AZ392" s="231"/>
      <c r="BA392" s="231"/>
      <c r="BB392" s="231"/>
      <c r="BC392" s="231"/>
      <c r="BD392" s="231"/>
      <c r="BE392" s="231"/>
      <c r="BF392" s="231"/>
      <c r="BG392" s="231"/>
      <c r="BH392" s="231"/>
      <c r="BI392" s="231"/>
      <c r="BJ392" s="224"/>
      <c r="BK392" s="224"/>
    </row>
    <row r="393" spans="1:63" hidden="1" outlineLevel="1">
      <c r="A393" s="9"/>
      <c r="B393" s="44"/>
      <c r="C393" s="131">
        <f>Asset28</f>
        <v>0</v>
      </c>
      <c r="D393" s="9"/>
      <c r="E393" s="9"/>
      <c r="F393" s="143"/>
      <c r="G393" s="204">
        <f>Input!O34</f>
        <v>0</v>
      </c>
      <c r="H393" s="119"/>
      <c r="I393" s="119"/>
      <c r="J393" s="119"/>
      <c r="K393" s="119"/>
      <c r="L393" s="119"/>
      <c r="M393" s="9"/>
      <c r="N393" s="115"/>
      <c r="O393" s="154"/>
      <c r="P393" s="154"/>
      <c r="Q393" s="154"/>
      <c r="R393" s="104"/>
      <c r="S393" s="104"/>
      <c r="T393" s="104"/>
      <c r="U393" s="104"/>
      <c r="V393" s="104"/>
      <c r="W393" s="104"/>
      <c r="X393" s="104"/>
      <c r="Y393" s="104"/>
      <c r="Z393" s="104"/>
      <c r="AA393" s="231"/>
      <c r="AB393" s="231"/>
      <c r="AC393" s="231"/>
      <c r="AD393" s="231"/>
      <c r="AE393" s="231"/>
      <c r="AF393" s="231"/>
      <c r="AG393" s="231"/>
      <c r="AH393" s="231"/>
      <c r="AI393" s="231"/>
      <c r="AJ393" s="231"/>
      <c r="AK393" s="231"/>
      <c r="AL393" s="231"/>
      <c r="AM393" s="231"/>
      <c r="AN393" s="231"/>
      <c r="AO393" s="231"/>
      <c r="AP393" s="231"/>
      <c r="AQ393" s="231"/>
      <c r="AR393" s="231"/>
      <c r="AS393" s="231"/>
      <c r="AT393" s="231"/>
      <c r="AU393" s="231"/>
      <c r="AV393" s="231"/>
      <c r="AW393" s="231"/>
      <c r="AX393" s="231"/>
      <c r="AY393" s="231"/>
      <c r="AZ393" s="231"/>
      <c r="BA393" s="231"/>
      <c r="BB393" s="231"/>
      <c r="BC393" s="231"/>
      <c r="BD393" s="231"/>
      <c r="BE393" s="231"/>
      <c r="BF393" s="231"/>
      <c r="BG393" s="231"/>
      <c r="BH393" s="231"/>
      <c r="BI393" s="231"/>
      <c r="BJ393" s="224"/>
      <c r="BK393" s="224"/>
    </row>
    <row r="394" spans="1:63" hidden="1" outlineLevel="1">
      <c r="A394" s="9"/>
      <c r="B394" s="44"/>
      <c r="C394" s="131">
        <f>Asset29</f>
        <v>0</v>
      </c>
      <c r="D394" s="9"/>
      <c r="E394" s="9"/>
      <c r="F394" s="143"/>
      <c r="G394" s="204">
        <f>Input!O35</f>
        <v>0</v>
      </c>
      <c r="H394" s="119"/>
      <c r="I394" s="119"/>
      <c r="J394" s="119"/>
      <c r="K394" s="119"/>
      <c r="L394" s="119"/>
      <c r="M394" s="9"/>
      <c r="N394" s="115"/>
      <c r="O394" s="154"/>
      <c r="P394" s="154"/>
      <c r="Q394" s="154"/>
      <c r="R394" s="104"/>
      <c r="S394" s="104"/>
      <c r="T394" s="104"/>
      <c r="U394" s="104"/>
      <c r="V394" s="104"/>
      <c r="W394" s="104"/>
      <c r="X394" s="104"/>
      <c r="Y394" s="104"/>
      <c r="Z394" s="104"/>
      <c r="AA394" s="231"/>
      <c r="AB394" s="231"/>
      <c r="AC394" s="231"/>
      <c r="AD394" s="231"/>
      <c r="AE394" s="231"/>
      <c r="AF394" s="231"/>
      <c r="AG394" s="231"/>
      <c r="AH394" s="231"/>
      <c r="AI394" s="231"/>
      <c r="AJ394" s="231"/>
      <c r="AK394" s="231"/>
      <c r="AL394" s="231"/>
      <c r="AM394" s="231"/>
      <c r="AN394" s="231"/>
      <c r="AO394" s="231"/>
      <c r="AP394" s="231"/>
      <c r="AQ394" s="231"/>
      <c r="AR394" s="231"/>
      <c r="AS394" s="231"/>
      <c r="AT394" s="231"/>
      <c r="AU394" s="231"/>
      <c r="AV394" s="231"/>
      <c r="AW394" s="231"/>
      <c r="AX394" s="231"/>
      <c r="AY394" s="231"/>
      <c r="AZ394" s="231"/>
      <c r="BA394" s="231"/>
      <c r="BB394" s="231"/>
      <c r="BC394" s="231"/>
      <c r="BD394" s="231"/>
      <c r="BE394" s="231"/>
      <c r="BF394" s="231"/>
      <c r="BG394" s="231"/>
      <c r="BH394" s="231"/>
      <c r="BI394" s="231"/>
      <c r="BJ394" s="224"/>
      <c r="BK394" s="224"/>
    </row>
    <row r="395" spans="1:63" hidden="1" outlineLevel="1">
      <c r="A395" s="9"/>
      <c r="B395" s="44"/>
      <c r="C395" s="131">
        <f>Asset30</f>
        <v>0</v>
      </c>
      <c r="D395" s="9"/>
      <c r="E395" s="9"/>
      <c r="F395" s="143"/>
      <c r="G395" s="204">
        <f>Input!O36</f>
        <v>0</v>
      </c>
      <c r="H395" s="119"/>
      <c r="I395" s="119"/>
      <c r="J395" s="119"/>
      <c r="K395" s="119"/>
      <c r="L395" s="119"/>
      <c r="M395" s="9"/>
      <c r="N395" s="115"/>
      <c r="O395" s="154"/>
      <c r="P395" s="154"/>
      <c r="Q395" s="154"/>
      <c r="R395" s="104"/>
      <c r="S395" s="104"/>
      <c r="T395" s="104"/>
      <c r="U395" s="104"/>
      <c r="V395" s="104"/>
      <c r="W395" s="104"/>
      <c r="X395" s="104"/>
      <c r="Y395" s="104"/>
      <c r="Z395" s="104"/>
      <c r="AA395" s="231"/>
      <c r="AB395" s="231"/>
      <c r="AC395" s="231"/>
      <c r="AD395" s="231"/>
      <c r="AE395" s="231"/>
      <c r="AF395" s="231"/>
      <c r="AG395" s="231"/>
      <c r="AH395" s="231"/>
      <c r="AI395" s="231"/>
      <c r="AJ395" s="231"/>
      <c r="AK395" s="231"/>
      <c r="AL395" s="231"/>
      <c r="AM395" s="231"/>
      <c r="AN395" s="231"/>
      <c r="AO395" s="231"/>
      <c r="AP395" s="231"/>
      <c r="AQ395" s="231"/>
      <c r="AR395" s="231"/>
      <c r="AS395" s="231"/>
      <c r="AT395" s="231"/>
      <c r="AU395" s="231"/>
      <c r="AV395" s="231"/>
      <c r="AW395" s="231"/>
      <c r="AX395" s="231"/>
      <c r="AY395" s="231"/>
      <c r="AZ395" s="231"/>
      <c r="BA395" s="231"/>
      <c r="BB395" s="231"/>
      <c r="BC395" s="231"/>
      <c r="BD395" s="231"/>
      <c r="BE395" s="231"/>
      <c r="BF395" s="231"/>
      <c r="BG395" s="231"/>
      <c r="BH395" s="231"/>
      <c r="BI395" s="231"/>
      <c r="BJ395" s="224"/>
      <c r="BK395" s="224"/>
    </row>
    <row r="396" spans="1:63" collapsed="1">
      <c r="A396" s="9"/>
      <c r="B396" s="155"/>
      <c r="C396" s="26"/>
      <c r="D396" s="9"/>
      <c r="E396" s="9"/>
      <c r="F396" s="143"/>
      <c r="G396" s="206"/>
      <c r="H396" s="119"/>
      <c r="I396" s="119"/>
      <c r="J396" s="119"/>
      <c r="K396" s="119"/>
      <c r="L396" s="119"/>
      <c r="M396" s="9"/>
      <c r="N396" s="115"/>
      <c r="O396" s="154"/>
      <c r="P396" s="154"/>
      <c r="Q396" s="154"/>
      <c r="R396" s="104"/>
      <c r="S396" s="104"/>
      <c r="T396" s="104"/>
      <c r="U396" s="104"/>
      <c r="V396" s="104"/>
      <c r="W396" s="104"/>
      <c r="X396" s="104"/>
      <c r="Y396" s="104"/>
      <c r="Z396" s="104"/>
      <c r="AA396" s="231"/>
      <c r="AB396" s="231"/>
      <c r="AC396" s="231"/>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24"/>
      <c r="BK396" s="224"/>
    </row>
    <row r="397" spans="1:63">
      <c r="A397" s="9"/>
      <c r="B397" s="335" t="s">
        <v>106</v>
      </c>
      <c r="C397" s="26"/>
      <c r="D397" s="9"/>
      <c r="E397" s="9"/>
      <c r="F397" s="143"/>
      <c r="G397" s="206">
        <f>SUM(G398:G417)</f>
        <v>0</v>
      </c>
      <c r="H397" s="119"/>
      <c r="I397" s="119"/>
      <c r="J397" s="119"/>
      <c r="K397" s="119"/>
      <c r="L397" s="119"/>
      <c r="M397" s="9"/>
      <c r="N397" s="115"/>
      <c r="O397" s="154"/>
      <c r="P397" s="154"/>
      <c r="Q397" s="154"/>
      <c r="R397" s="104"/>
      <c r="S397" s="104"/>
      <c r="T397" s="104"/>
      <c r="U397" s="104"/>
      <c r="V397" s="104"/>
      <c r="W397" s="104"/>
      <c r="X397" s="104"/>
      <c r="Y397" s="104"/>
      <c r="Z397" s="104"/>
      <c r="AA397" s="231"/>
      <c r="AB397" s="231"/>
      <c r="AC397" s="231"/>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24"/>
      <c r="BK397" s="224"/>
    </row>
    <row r="398" spans="1:63" hidden="1" outlineLevel="1">
      <c r="A398" s="9"/>
      <c r="B398" s="9"/>
      <c r="C398" s="131" t="str">
        <f>Asset1</f>
        <v>Subtransmission</v>
      </c>
      <c r="D398" s="9"/>
      <c r="E398" s="9"/>
      <c r="F398" s="143"/>
      <c r="G398" s="204">
        <f t="shared" ref="G398:G417" si="4">G366-G334</f>
        <v>0</v>
      </c>
      <c r="H398" s="119"/>
      <c r="I398" s="119"/>
      <c r="J398" s="119"/>
      <c r="K398" s="119"/>
      <c r="L398" s="119"/>
      <c r="M398" s="9"/>
      <c r="N398" s="115"/>
      <c r="O398" s="154"/>
      <c r="P398" s="154"/>
      <c r="Q398" s="154"/>
      <c r="R398" s="104"/>
      <c r="S398" s="104"/>
      <c r="T398" s="104"/>
      <c r="U398" s="104"/>
      <c r="V398" s="104"/>
      <c r="W398" s="104"/>
      <c r="X398" s="104"/>
      <c r="Y398" s="104"/>
      <c r="Z398" s="104"/>
      <c r="AA398" s="231"/>
      <c r="AB398" s="231"/>
      <c r="AC398" s="231"/>
      <c r="AD398" s="231"/>
      <c r="AE398" s="231"/>
      <c r="AF398" s="231"/>
      <c r="AG398" s="231"/>
      <c r="AH398" s="231"/>
      <c r="AI398" s="231"/>
      <c r="AJ398" s="231"/>
      <c r="AK398" s="231"/>
      <c r="AL398" s="231"/>
      <c r="AM398" s="231"/>
      <c r="AN398" s="231"/>
      <c r="AO398" s="231"/>
      <c r="AP398" s="231"/>
      <c r="AQ398" s="231"/>
      <c r="AR398" s="231"/>
      <c r="AS398" s="231"/>
      <c r="AT398" s="231"/>
      <c r="AU398" s="231"/>
      <c r="AV398" s="231"/>
      <c r="AW398" s="231"/>
      <c r="AX398" s="231"/>
      <c r="AY398" s="231"/>
      <c r="AZ398" s="231"/>
      <c r="BA398" s="231"/>
      <c r="BB398" s="231"/>
      <c r="BC398" s="231"/>
      <c r="BD398" s="231"/>
      <c r="BE398" s="231"/>
      <c r="BF398" s="231"/>
      <c r="BG398" s="231"/>
      <c r="BH398" s="231"/>
      <c r="BI398" s="231"/>
      <c r="BJ398" s="224"/>
      <c r="BK398" s="224"/>
    </row>
    <row r="399" spans="1:63" hidden="1" outlineLevel="1">
      <c r="A399" s="9"/>
      <c r="B399" s="44"/>
      <c r="C399" s="131" t="str">
        <f>Asset2</f>
        <v>Distribution system assets</v>
      </c>
      <c r="D399" s="9"/>
      <c r="E399" s="9"/>
      <c r="F399" s="143"/>
      <c r="G399" s="204">
        <f t="shared" si="4"/>
        <v>0</v>
      </c>
      <c r="H399" s="119"/>
      <c r="I399" s="119"/>
      <c r="J399" s="119"/>
      <c r="K399" s="119"/>
      <c r="L399" s="119"/>
      <c r="M399" s="9"/>
      <c r="N399" s="115"/>
      <c r="O399" s="154"/>
      <c r="P399" s="154"/>
      <c r="Q399" s="154"/>
      <c r="R399" s="104"/>
      <c r="S399" s="104"/>
      <c r="T399" s="104"/>
      <c r="U399" s="104"/>
      <c r="V399" s="104"/>
      <c r="W399" s="104"/>
      <c r="X399" s="104"/>
      <c r="Y399" s="104"/>
      <c r="Z399" s="104"/>
      <c r="AA399" s="231"/>
      <c r="AB399" s="231"/>
      <c r="AC399" s="231"/>
      <c r="AD399" s="231"/>
      <c r="AE399" s="231"/>
      <c r="AF399" s="231"/>
      <c r="AG399" s="231"/>
      <c r="AH399" s="231"/>
      <c r="AI399" s="231"/>
      <c r="AJ399" s="231"/>
      <c r="AK399" s="231"/>
      <c r="AL399" s="231"/>
      <c r="AM399" s="231"/>
      <c r="AN399" s="231"/>
      <c r="AO399" s="231"/>
      <c r="AP399" s="231"/>
      <c r="AQ399" s="231"/>
      <c r="AR399" s="231"/>
      <c r="AS399" s="231"/>
      <c r="AT399" s="231"/>
      <c r="AU399" s="231"/>
      <c r="AV399" s="231"/>
      <c r="AW399" s="231"/>
      <c r="AX399" s="231"/>
      <c r="AY399" s="231"/>
      <c r="AZ399" s="231"/>
      <c r="BA399" s="231"/>
      <c r="BB399" s="231"/>
      <c r="BC399" s="231"/>
      <c r="BD399" s="231"/>
      <c r="BE399" s="231"/>
      <c r="BF399" s="231"/>
      <c r="BG399" s="231"/>
      <c r="BH399" s="231"/>
      <c r="BI399" s="231"/>
      <c r="BJ399" s="224"/>
      <c r="BK399" s="224"/>
    </row>
    <row r="400" spans="1:63" hidden="1" outlineLevel="1">
      <c r="A400" s="9"/>
      <c r="B400" s="44"/>
      <c r="C400" s="131" t="str">
        <f>Asset3</f>
        <v>Standard metering</v>
      </c>
      <c r="D400" s="9"/>
      <c r="E400" s="9"/>
      <c r="F400" s="143"/>
      <c r="G400" s="204">
        <f t="shared" si="4"/>
        <v>0</v>
      </c>
      <c r="H400" s="119"/>
      <c r="I400" s="119"/>
      <c r="J400" s="119"/>
      <c r="K400" s="119"/>
      <c r="L400" s="119"/>
      <c r="M400" s="9"/>
      <c r="N400" s="115"/>
      <c r="O400" s="154"/>
      <c r="P400" s="154"/>
      <c r="Q400" s="154"/>
      <c r="R400" s="104"/>
      <c r="S400" s="104"/>
      <c r="T400" s="104"/>
      <c r="U400" s="104"/>
      <c r="V400" s="104"/>
      <c r="W400" s="104"/>
      <c r="X400" s="104"/>
      <c r="Y400" s="104"/>
      <c r="Z400" s="104"/>
      <c r="AA400" s="231"/>
      <c r="AB400" s="231"/>
      <c r="AC400" s="231"/>
      <c r="AD400" s="231"/>
      <c r="AE400" s="231"/>
      <c r="AF400" s="231"/>
      <c r="AG400" s="231"/>
      <c r="AH400" s="231"/>
      <c r="AI400" s="231"/>
      <c r="AJ400" s="231"/>
      <c r="AK400" s="231"/>
      <c r="AL400" s="231"/>
      <c r="AM400" s="231"/>
      <c r="AN400" s="231"/>
      <c r="AO400" s="231"/>
      <c r="AP400" s="231"/>
      <c r="AQ400" s="231"/>
      <c r="AR400" s="231"/>
      <c r="AS400" s="231"/>
      <c r="AT400" s="231"/>
      <c r="AU400" s="231"/>
      <c r="AV400" s="231"/>
      <c r="AW400" s="231"/>
      <c r="AX400" s="231"/>
      <c r="AY400" s="231"/>
      <c r="AZ400" s="231"/>
      <c r="BA400" s="231"/>
      <c r="BB400" s="231"/>
      <c r="BC400" s="231"/>
      <c r="BD400" s="231"/>
      <c r="BE400" s="231"/>
      <c r="BF400" s="231"/>
      <c r="BG400" s="231"/>
      <c r="BH400" s="231"/>
      <c r="BI400" s="231"/>
      <c r="BJ400" s="224"/>
      <c r="BK400" s="224"/>
    </row>
    <row r="401" spans="1:63" hidden="1" outlineLevel="1">
      <c r="A401" s="9"/>
      <c r="B401" s="44"/>
      <c r="C401" s="131" t="str">
        <f>Asset4</f>
        <v>Public lighting</v>
      </c>
      <c r="D401" s="9"/>
      <c r="E401" s="9"/>
      <c r="F401" s="143"/>
      <c r="G401" s="204">
        <f t="shared" si="4"/>
        <v>0</v>
      </c>
      <c r="H401" s="119"/>
      <c r="I401" s="119"/>
      <c r="J401" s="119"/>
      <c r="K401" s="119"/>
      <c r="L401" s="119"/>
      <c r="M401" s="9"/>
      <c r="N401" s="115"/>
      <c r="O401" s="154"/>
      <c r="P401" s="154"/>
      <c r="Q401" s="154"/>
      <c r="R401" s="104"/>
      <c r="S401" s="104"/>
      <c r="T401" s="104"/>
      <c r="U401" s="104"/>
      <c r="V401" s="104"/>
      <c r="W401" s="104"/>
      <c r="X401" s="104"/>
      <c r="Y401" s="104"/>
      <c r="Z401" s="104"/>
      <c r="AA401" s="231"/>
      <c r="AB401" s="231"/>
      <c r="AC401" s="231"/>
      <c r="AD401" s="231"/>
      <c r="AE401" s="231"/>
      <c r="AF401" s="231"/>
      <c r="AG401" s="231"/>
      <c r="AH401" s="231"/>
      <c r="AI401" s="231"/>
      <c r="AJ401" s="231"/>
      <c r="AK401" s="231"/>
      <c r="AL401" s="231"/>
      <c r="AM401" s="231"/>
      <c r="AN401" s="231"/>
      <c r="AO401" s="231"/>
      <c r="AP401" s="231"/>
      <c r="AQ401" s="231"/>
      <c r="AR401" s="231"/>
      <c r="AS401" s="231"/>
      <c r="AT401" s="231"/>
      <c r="AU401" s="231"/>
      <c r="AV401" s="231"/>
      <c r="AW401" s="231"/>
      <c r="AX401" s="231"/>
      <c r="AY401" s="231"/>
      <c r="AZ401" s="231"/>
      <c r="BA401" s="231"/>
      <c r="BB401" s="231"/>
      <c r="BC401" s="231"/>
      <c r="BD401" s="231"/>
      <c r="BE401" s="231"/>
      <c r="BF401" s="231"/>
      <c r="BG401" s="231"/>
      <c r="BH401" s="231"/>
      <c r="BI401" s="231"/>
      <c r="BJ401" s="224"/>
      <c r="BK401" s="224"/>
    </row>
    <row r="402" spans="1:63" hidden="1" outlineLevel="1">
      <c r="A402" s="9"/>
      <c r="B402" s="44"/>
      <c r="C402" s="131" t="str">
        <f>Asset5</f>
        <v>SCADA/Network control</v>
      </c>
      <c r="D402" s="9"/>
      <c r="E402" s="9"/>
      <c r="F402" s="143"/>
      <c r="G402" s="204">
        <f t="shared" si="4"/>
        <v>0</v>
      </c>
      <c r="H402" s="119"/>
      <c r="I402" s="119"/>
      <c r="J402" s="119"/>
      <c r="K402" s="119"/>
      <c r="L402" s="119"/>
      <c r="M402" s="9"/>
      <c r="N402" s="115"/>
      <c r="O402" s="154"/>
      <c r="P402" s="154"/>
      <c r="Q402" s="154"/>
      <c r="R402" s="104"/>
      <c r="S402" s="104"/>
      <c r="T402" s="104"/>
      <c r="U402" s="104"/>
      <c r="V402" s="104"/>
      <c r="W402" s="104"/>
      <c r="X402" s="104"/>
      <c r="Y402" s="104"/>
      <c r="Z402" s="104"/>
      <c r="AA402" s="231"/>
      <c r="AB402" s="231"/>
      <c r="AC402" s="231"/>
      <c r="AD402" s="231"/>
      <c r="AE402" s="231"/>
      <c r="AF402" s="231"/>
      <c r="AG402" s="231"/>
      <c r="AH402" s="231"/>
      <c r="AI402" s="231"/>
      <c r="AJ402" s="231"/>
      <c r="AK402" s="231"/>
      <c r="AL402" s="231"/>
      <c r="AM402" s="231"/>
      <c r="AN402" s="231"/>
      <c r="AO402" s="231"/>
      <c r="AP402" s="231"/>
      <c r="AQ402" s="231"/>
      <c r="AR402" s="231"/>
      <c r="AS402" s="231"/>
      <c r="AT402" s="231"/>
      <c r="AU402" s="231"/>
      <c r="AV402" s="231"/>
      <c r="AW402" s="231"/>
      <c r="AX402" s="231"/>
      <c r="AY402" s="231"/>
      <c r="AZ402" s="231"/>
      <c r="BA402" s="231"/>
      <c r="BB402" s="231"/>
      <c r="BC402" s="231"/>
      <c r="BD402" s="231"/>
      <c r="BE402" s="231"/>
      <c r="BF402" s="231"/>
      <c r="BG402" s="231"/>
      <c r="BH402" s="231"/>
      <c r="BI402" s="231"/>
      <c r="BJ402" s="224"/>
      <c r="BK402" s="224"/>
    </row>
    <row r="403" spans="1:63" hidden="1" outlineLevel="1">
      <c r="A403" s="9"/>
      <c r="B403" s="44"/>
      <c r="C403" s="131" t="str">
        <f>Asset6</f>
        <v>Non-network general assets - IT</v>
      </c>
      <c r="D403" s="9"/>
      <c r="E403" s="9"/>
      <c r="F403" s="143"/>
      <c r="G403" s="204">
        <f t="shared" si="4"/>
        <v>0</v>
      </c>
      <c r="H403" s="119"/>
      <c r="I403" s="119"/>
      <c r="J403" s="119"/>
      <c r="K403" s="119"/>
      <c r="L403" s="119"/>
      <c r="M403" s="9"/>
      <c r="N403" s="115"/>
      <c r="O403" s="154"/>
      <c r="P403" s="154"/>
      <c r="Q403" s="154"/>
      <c r="R403" s="104"/>
      <c r="S403" s="104"/>
      <c r="T403" s="104"/>
      <c r="U403" s="104"/>
      <c r="V403" s="104"/>
      <c r="W403" s="104"/>
      <c r="X403" s="104"/>
      <c r="Y403" s="104"/>
      <c r="Z403" s="104"/>
      <c r="AA403" s="231"/>
      <c r="AB403" s="231"/>
      <c r="AC403" s="231"/>
      <c r="AD403" s="231"/>
      <c r="AE403" s="231"/>
      <c r="AF403" s="231"/>
      <c r="AG403" s="231"/>
      <c r="AH403" s="231"/>
      <c r="AI403" s="231"/>
      <c r="AJ403" s="231"/>
      <c r="AK403" s="231"/>
      <c r="AL403" s="231"/>
      <c r="AM403" s="231"/>
      <c r="AN403" s="231"/>
      <c r="AO403" s="231"/>
      <c r="AP403" s="231"/>
      <c r="AQ403" s="231"/>
      <c r="AR403" s="231"/>
      <c r="AS403" s="231"/>
      <c r="AT403" s="231"/>
      <c r="AU403" s="231"/>
      <c r="AV403" s="231"/>
      <c r="AW403" s="231"/>
      <c r="AX403" s="231"/>
      <c r="AY403" s="231"/>
      <c r="AZ403" s="231"/>
      <c r="BA403" s="231"/>
      <c r="BB403" s="231"/>
      <c r="BC403" s="231"/>
      <c r="BD403" s="231"/>
      <c r="BE403" s="231"/>
      <c r="BF403" s="231"/>
      <c r="BG403" s="231"/>
      <c r="BH403" s="231"/>
      <c r="BI403" s="231"/>
      <c r="BJ403" s="224"/>
      <c r="BK403" s="224"/>
    </row>
    <row r="404" spans="1:63" hidden="1" outlineLevel="1">
      <c r="A404" s="9"/>
      <c r="B404" s="44"/>
      <c r="C404" s="131" t="str">
        <f>Asset7</f>
        <v>Non-network general assets - Other</v>
      </c>
      <c r="D404" s="9"/>
      <c r="E404" s="9"/>
      <c r="F404" s="143"/>
      <c r="G404" s="204">
        <f t="shared" si="4"/>
        <v>0</v>
      </c>
      <c r="H404" s="119"/>
      <c r="I404" s="119"/>
      <c r="J404" s="119"/>
      <c r="K404" s="119"/>
      <c r="L404" s="119"/>
      <c r="M404" s="9"/>
      <c r="N404" s="115"/>
      <c r="O404" s="154"/>
      <c r="P404" s="154"/>
      <c r="Q404" s="154"/>
      <c r="R404" s="104"/>
      <c r="S404" s="104"/>
      <c r="T404" s="104"/>
      <c r="U404" s="104"/>
      <c r="V404" s="104"/>
      <c r="W404" s="104"/>
      <c r="X404" s="104"/>
      <c r="Y404" s="104"/>
      <c r="Z404" s="104"/>
      <c r="AA404" s="231"/>
      <c r="AB404" s="231"/>
      <c r="AC404" s="231"/>
      <c r="AD404" s="231"/>
      <c r="AE404" s="231"/>
      <c r="AF404" s="231"/>
      <c r="AG404" s="231"/>
      <c r="AH404" s="231"/>
      <c r="AI404" s="231"/>
      <c r="AJ404" s="231"/>
      <c r="AK404" s="231"/>
      <c r="AL404" s="231"/>
      <c r="AM404" s="231"/>
      <c r="AN404" s="231"/>
      <c r="AO404" s="231"/>
      <c r="AP404" s="231"/>
      <c r="AQ404" s="231"/>
      <c r="AR404" s="231"/>
      <c r="AS404" s="231"/>
      <c r="AT404" s="231"/>
      <c r="AU404" s="231"/>
      <c r="AV404" s="231"/>
      <c r="AW404" s="231"/>
      <c r="AX404" s="231"/>
      <c r="AY404" s="231"/>
      <c r="AZ404" s="231"/>
      <c r="BA404" s="231"/>
      <c r="BB404" s="231"/>
      <c r="BC404" s="231"/>
      <c r="BD404" s="231"/>
      <c r="BE404" s="231"/>
      <c r="BF404" s="231"/>
      <c r="BG404" s="231"/>
      <c r="BH404" s="231"/>
      <c r="BI404" s="231"/>
      <c r="BJ404" s="224"/>
      <c r="BK404" s="224"/>
    </row>
    <row r="405" spans="1:63" hidden="1" outlineLevel="1">
      <c r="A405" s="9"/>
      <c r="B405" s="44"/>
      <c r="C405" s="131" t="str">
        <f>Asset8</f>
        <v>Equity Raising Costs</v>
      </c>
      <c r="D405" s="9"/>
      <c r="E405" s="9"/>
      <c r="F405" s="143"/>
      <c r="G405" s="204">
        <f t="shared" si="4"/>
        <v>0</v>
      </c>
      <c r="H405" s="119"/>
      <c r="I405" s="119"/>
      <c r="J405" s="119"/>
      <c r="K405" s="119"/>
      <c r="L405" s="119"/>
      <c r="M405" s="9"/>
      <c r="N405" s="115"/>
      <c r="O405" s="154"/>
      <c r="P405" s="154"/>
      <c r="Q405" s="154"/>
      <c r="R405" s="104"/>
      <c r="S405" s="104"/>
      <c r="T405" s="104"/>
      <c r="U405" s="104"/>
      <c r="V405" s="104"/>
      <c r="W405" s="104"/>
      <c r="X405" s="104"/>
      <c r="Y405" s="104"/>
      <c r="Z405" s="104"/>
      <c r="AA405" s="231"/>
      <c r="AB405" s="231"/>
      <c r="AC405" s="231"/>
      <c r="AD405" s="231"/>
      <c r="AE405" s="231"/>
      <c r="AF405" s="23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c r="BF405" s="231"/>
      <c r="BG405" s="231"/>
      <c r="BH405" s="231"/>
      <c r="BI405" s="231"/>
      <c r="BJ405" s="224"/>
      <c r="BK405" s="224"/>
    </row>
    <row r="406" spans="1:63" hidden="1" outlineLevel="1">
      <c r="A406" s="9"/>
      <c r="B406" s="44"/>
      <c r="C406" s="131">
        <f>Asset9</f>
        <v>0</v>
      </c>
      <c r="D406" s="9"/>
      <c r="E406" s="9"/>
      <c r="F406" s="143"/>
      <c r="G406" s="204">
        <f t="shared" si="4"/>
        <v>0</v>
      </c>
      <c r="H406" s="119"/>
      <c r="I406" s="119"/>
      <c r="J406" s="119"/>
      <c r="K406" s="119"/>
      <c r="L406" s="119"/>
      <c r="M406" s="9"/>
      <c r="N406" s="115"/>
      <c r="O406" s="154"/>
      <c r="P406" s="154"/>
      <c r="Q406" s="154"/>
      <c r="R406" s="104"/>
      <c r="S406" s="104"/>
      <c r="T406" s="104"/>
      <c r="U406" s="104"/>
      <c r="V406" s="104"/>
      <c r="W406" s="104"/>
      <c r="X406" s="104"/>
      <c r="Y406" s="104"/>
      <c r="Z406" s="104"/>
      <c r="AA406" s="231"/>
      <c r="AB406" s="231"/>
      <c r="AC406" s="231"/>
      <c r="AD406" s="231"/>
      <c r="AE406" s="231"/>
      <c r="AF406" s="231"/>
      <c r="AG406" s="231"/>
      <c r="AH406" s="231"/>
      <c r="AI406" s="231"/>
      <c r="AJ406" s="231"/>
      <c r="AK406" s="231"/>
      <c r="AL406" s="231"/>
      <c r="AM406" s="231"/>
      <c r="AN406" s="231"/>
      <c r="AO406" s="231"/>
      <c r="AP406" s="231"/>
      <c r="AQ406" s="231"/>
      <c r="AR406" s="231"/>
      <c r="AS406" s="231"/>
      <c r="AT406" s="231"/>
      <c r="AU406" s="231"/>
      <c r="AV406" s="231"/>
      <c r="AW406" s="231"/>
      <c r="AX406" s="231"/>
      <c r="AY406" s="231"/>
      <c r="AZ406" s="231"/>
      <c r="BA406" s="231"/>
      <c r="BB406" s="231"/>
      <c r="BC406" s="231"/>
      <c r="BD406" s="231"/>
      <c r="BE406" s="231"/>
      <c r="BF406" s="231"/>
      <c r="BG406" s="231"/>
      <c r="BH406" s="231"/>
      <c r="BI406" s="231"/>
      <c r="BJ406" s="224"/>
      <c r="BK406" s="224"/>
    </row>
    <row r="407" spans="1:63" hidden="1" outlineLevel="1">
      <c r="A407" s="9"/>
      <c r="B407" s="44"/>
      <c r="C407" s="131">
        <f>Asset10</f>
        <v>0</v>
      </c>
      <c r="D407" s="9"/>
      <c r="E407" s="9"/>
      <c r="F407" s="143"/>
      <c r="G407" s="204">
        <f t="shared" si="4"/>
        <v>0</v>
      </c>
      <c r="H407" s="119"/>
      <c r="I407" s="119"/>
      <c r="J407" s="119"/>
      <c r="K407" s="119"/>
      <c r="L407" s="119"/>
      <c r="M407" s="9"/>
      <c r="N407" s="115"/>
      <c r="O407" s="154"/>
      <c r="P407" s="154"/>
      <c r="Q407" s="154"/>
      <c r="R407" s="104"/>
      <c r="S407" s="104"/>
      <c r="T407" s="104"/>
      <c r="U407" s="104"/>
      <c r="V407" s="104"/>
      <c r="W407" s="104"/>
      <c r="X407" s="104"/>
      <c r="Y407" s="104"/>
      <c r="Z407" s="104"/>
      <c r="AA407" s="231"/>
      <c r="AB407" s="231"/>
      <c r="AC407" s="231"/>
      <c r="AD407" s="231"/>
      <c r="AE407" s="231"/>
      <c r="AF407" s="231"/>
      <c r="AG407" s="231"/>
      <c r="AH407" s="231"/>
      <c r="AI407" s="231"/>
      <c r="AJ407" s="231"/>
      <c r="AK407" s="231"/>
      <c r="AL407" s="231"/>
      <c r="AM407" s="231"/>
      <c r="AN407" s="231"/>
      <c r="AO407" s="231"/>
      <c r="AP407" s="231"/>
      <c r="AQ407" s="231"/>
      <c r="AR407" s="231"/>
      <c r="AS407" s="231"/>
      <c r="AT407" s="231"/>
      <c r="AU407" s="231"/>
      <c r="AV407" s="231"/>
      <c r="AW407" s="231"/>
      <c r="AX407" s="231"/>
      <c r="AY407" s="231"/>
      <c r="AZ407" s="231"/>
      <c r="BA407" s="231"/>
      <c r="BB407" s="231"/>
      <c r="BC407" s="231"/>
      <c r="BD407" s="231"/>
      <c r="BE407" s="231"/>
      <c r="BF407" s="231"/>
      <c r="BG407" s="231"/>
      <c r="BH407" s="231"/>
      <c r="BI407" s="231"/>
      <c r="BJ407" s="224"/>
      <c r="BK407" s="224"/>
    </row>
    <row r="408" spans="1:63" hidden="1" outlineLevel="1">
      <c r="A408" s="9"/>
      <c r="B408" s="44"/>
      <c r="C408" s="131">
        <f>Asset11</f>
        <v>0</v>
      </c>
      <c r="D408" s="9"/>
      <c r="E408" s="9"/>
      <c r="F408" s="143"/>
      <c r="G408" s="204">
        <f t="shared" si="4"/>
        <v>0</v>
      </c>
      <c r="H408" s="119"/>
      <c r="I408" s="119"/>
      <c r="J408" s="119"/>
      <c r="K408" s="119"/>
      <c r="L408" s="119"/>
      <c r="M408" s="9"/>
      <c r="N408" s="115"/>
      <c r="O408" s="154"/>
      <c r="P408" s="154"/>
      <c r="Q408" s="154"/>
      <c r="R408" s="104"/>
      <c r="S408" s="104"/>
      <c r="T408" s="104"/>
      <c r="U408" s="104"/>
      <c r="V408" s="104"/>
      <c r="W408" s="104"/>
      <c r="X408" s="104"/>
      <c r="Y408" s="104"/>
      <c r="Z408" s="104"/>
      <c r="AA408" s="231"/>
      <c r="AB408" s="231"/>
      <c r="AC408" s="231"/>
      <c r="AD408" s="231"/>
      <c r="AE408" s="231"/>
      <c r="AF408" s="231"/>
      <c r="AG408" s="231"/>
      <c r="AH408" s="231"/>
      <c r="AI408" s="231"/>
      <c r="AJ408" s="231"/>
      <c r="AK408" s="231"/>
      <c r="AL408" s="231"/>
      <c r="AM408" s="231"/>
      <c r="AN408" s="231"/>
      <c r="AO408" s="231"/>
      <c r="AP408" s="231"/>
      <c r="AQ408" s="231"/>
      <c r="AR408" s="231"/>
      <c r="AS408" s="231"/>
      <c r="AT408" s="231"/>
      <c r="AU408" s="231"/>
      <c r="AV408" s="231"/>
      <c r="AW408" s="231"/>
      <c r="AX408" s="231"/>
      <c r="AY408" s="231"/>
      <c r="AZ408" s="231"/>
      <c r="BA408" s="231"/>
      <c r="BB408" s="231"/>
      <c r="BC408" s="231"/>
      <c r="BD408" s="231"/>
      <c r="BE408" s="231"/>
      <c r="BF408" s="231"/>
      <c r="BG408" s="231"/>
      <c r="BH408" s="231"/>
      <c r="BI408" s="231"/>
      <c r="BJ408" s="224"/>
      <c r="BK408" s="224"/>
    </row>
    <row r="409" spans="1:63" hidden="1" outlineLevel="1">
      <c r="A409" s="9"/>
      <c r="B409" s="44"/>
      <c r="C409" s="131">
        <f>Asset12</f>
        <v>0</v>
      </c>
      <c r="D409" s="9"/>
      <c r="E409" s="9"/>
      <c r="F409" s="143"/>
      <c r="G409" s="204">
        <f t="shared" si="4"/>
        <v>0</v>
      </c>
      <c r="H409" s="119"/>
      <c r="I409" s="119"/>
      <c r="J409" s="119"/>
      <c r="K409" s="119"/>
      <c r="L409" s="119"/>
      <c r="M409" s="9"/>
      <c r="N409" s="115"/>
      <c r="O409" s="154"/>
      <c r="P409" s="154"/>
      <c r="Q409" s="154"/>
      <c r="R409" s="104"/>
      <c r="S409" s="104"/>
      <c r="T409" s="104"/>
      <c r="U409" s="104"/>
      <c r="V409" s="104"/>
      <c r="W409" s="104"/>
      <c r="X409" s="104"/>
      <c r="Y409" s="104"/>
      <c r="Z409" s="104"/>
      <c r="AA409" s="231"/>
      <c r="AB409" s="231"/>
      <c r="AC409" s="231"/>
      <c r="AD409" s="231"/>
      <c r="AE409" s="231"/>
      <c r="AF409" s="231"/>
      <c r="AG409" s="231"/>
      <c r="AH409" s="231"/>
      <c r="AI409" s="231"/>
      <c r="AJ409" s="231"/>
      <c r="AK409" s="231"/>
      <c r="AL409" s="231"/>
      <c r="AM409" s="231"/>
      <c r="AN409" s="231"/>
      <c r="AO409" s="231"/>
      <c r="AP409" s="231"/>
      <c r="AQ409" s="231"/>
      <c r="AR409" s="231"/>
      <c r="AS409" s="231"/>
      <c r="AT409" s="231"/>
      <c r="AU409" s="231"/>
      <c r="AV409" s="231"/>
      <c r="AW409" s="231"/>
      <c r="AX409" s="231"/>
      <c r="AY409" s="231"/>
      <c r="AZ409" s="231"/>
      <c r="BA409" s="231"/>
      <c r="BB409" s="231"/>
      <c r="BC409" s="231"/>
      <c r="BD409" s="231"/>
      <c r="BE409" s="231"/>
      <c r="BF409" s="231"/>
      <c r="BG409" s="231"/>
      <c r="BH409" s="231"/>
      <c r="BI409" s="231"/>
      <c r="BJ409" s="224"/>
      <c r="BK409" s="224"/>
    </row>
    <row r="410" spans="1:63" hidden="1" outlineLevel="1">
      <c r="A410" s="9"/>
      <c r="B410" s="44"/>
      <c r="C410" s="131">
        <f>Asset13</f>
        <v>0</v>
      </c>
      <c r="D410" s="9"/>
      <c r="E410" s="9"/>
      <c r="F410" s="143"/>
      <c r="G410" s="204">
        <f t="shared" si="4"/>
        <v>0</v>
      </c>
      <c r="H410" s="119"/>
      <c r="I410" s="119"/>
      <c r="J410" s="119"/>
      <c r="K410" s="119"/>
      <c r="L410" s="119"/>
      <c r="M410" s="9"/>
      <c r="N410" s="115"/>
      <c r="O410" s="154"/>
      <c r="P410" s="154"/>
      <c r="Q410" s="154"/>
      <c r="R410" s="104"/>
      <c r="S410" s="104"/>
      <c r="T410" s="104"/>
      <c r="U410" s="104"/>
      <c r="V410" s="104"/>
      <c r="W410" s="104"/>
      <c r="X410" s="104"/>
      <c r="Y410" s="104"/>
      <c r="Z410" s="104"/>
      <c r="AA410" s="231"/>
      <c r="AB410" s="231"/>
      <c r="AC410" s="231"/>
      <c r="AD410" s="231"/>
      <c r="AE410" s="231"/>
      <c r="AF410" s="231"/>
      <c r="AG410" s="231"/>
      <c r="AH410" s="231"/>
      <c r="AI410" s="231"/>
      <c r="AJ410" s="231"/>
      <c r="AK410" s="231"/>
      <c r="AL410" s="231"/>
      <c r="AM410" s="231"/>
      <c r="AN410" s="231"/>
      <c r="AO410" s="231"/>
      <c r="AP410" s="231"/>
      <c r="AQ410" s="231"/>
      <c r="AR410" s="231"/>
      <c r="AS410" s="231"/>
      <c r="AT410" s="231"/>
      <c r="AU410" s="231"/>
      <c r="AV410" s="231"/>
      <c r="AW410" s="231"/>
      <c r="AX410" s="231"/>
      <c r="AY410" s="231"/>
      <c r="AZ410" s="231"/>
      <c r="BA410" s="231"/>
      <c r="BB410" s="231"/>
      <c r="BC410" s="231"/>
      <c r="BD410" s="231"/>
      <c r="BE410" s="231"/>
      <c r="BF410" s="231"/>
      <c r="BG410" s="231"/>
      <c r="BH410" s="231"/>
      <c r="BI410" s="231"/>
      <c r="BJ410" s="224"/>
      <c r="BK410" s="224"/>
    </row>
    <row r="411" spans="1:63" hidden="1" outlineLevel="1">
      <c r="A411" s="9"/>
      <c r="B411" s="44"/>
      <c r="C411" s="131">
        <f>Asset14</f>
        <v>0</v>
      </c>
      <c r="D411" s="9"/>
      <c r="E411" s="9"/>
      <c r="F411" s="143"/>
      <c r="G411" s="204">
        <f t="shared" si="4"/>
        <v>0</v>
      </c>
      <c r="H411" s="119"/>
      <c r="I411" s="119"/>
      <c r="J411" s="119"/>
      <c r="K411" s="119"/>
      <c r="L411" s="119"/>
      <c r="M411" s="9"/>
      <c r="N411" s="115"/>
      <c r="O411" s="154"/>
      <c r="P411" s="154"/>
      <c r="Q411" s="154"/>
      <c r="R411" s="104"/>
      <c r="S411" s="104"/>
      <c r="T411" s="104"/>
      <c r="U411" s="104"/>
      <c r="V411" s="104"/>
      <c r="W411" s="104"/>
      <c r="X411" s="104"/>
      <c r="Y411" s="104"/>
      <c r="Z411" s="104"/>
      <c r="AA411" s="231"/>
      <c r="AB411" s="231"/>
      <c r="AC411" s="231"/>
      <c r="AD411" s="231"/>
      <c r="AE411" s="231"/>
      <c r="AF411" s="231"/>
      <c r="AG411" s="231"/>
      <c r="AH411" s="231"/>
      <c r="AI411" s="231"/>
      <c r="AJ411" s="231"/>
      <c r="AK411" s="231"/>
      <c r="AL411" s="231"/>
      <c r="AM411" s="231"/>
      <c r="AN411" s="231"/>
      <c r="AO411" s="231"/>
      <c r="AP411" s="231"/>
      <c r="AQ411" s="231"/>
      <c r="AR411" s="231"/>
      <c r="AS411" s="231"/>
      <c r="AT411" s="231"/>
      <c r="AU411" s="231"/>
      <c r="AV411" s="231"/>
      <c r="AW411" s="231"/>
      <c r="AX411" s="231"/>
      <c r="AY411" s="231"/>
      <c r="AZ411" s="231"/>
      <c r="BA411" s="231"/>
      <c r="BB411" s="231"/>
      <c r="BC411" s="231"/>
      <c r="BD411" s="231"/>
      <c r="BE411" s="231"/>
      <c r="BF411" s="231"/>
      <c r="BG411" s="231"/>
      <c r="BH411" s="231"/>
      <c r="BI411" s="231"/>
      <c r="BJ411" s="224"/>
      <c r="BK411" s="224"/>
    </row>
    <row r="412" spans="1:63" hidden="1" outlineLevel="1">
      <c r="A412" s="9"/>
      <c r="B412" s="44"/>
      <c r="C412" s="131">
        <f>Asset15</f>
        <v>0</v>
      </c>
      <c r="D412" s="9"/>
      <c r="E412" s="9"/>
      <c r="F412" s="143"/>
      <c r="G412" s="204">
        <f t="shared" si="4"/>
        <v>0</v>
      </c>
      <c r="H412" s="119"/>
      <c r="I412" s="119"/>
      <c r="J412" s="119"/>
      <c r="K412" s="119"/>
      <c r="L412" s="119"/>
      <c r="M412" s="9"/>
      <c r="N412" s="115"/>
      <c r="O412" s="154"/>
      <c r="P412" s="154"/>
      <c r="Q412" s="154"/>
      <c r="R412" s="104"/>
      <c r="S412" s="104"/>
      <c r="T412" s="104"/>
      <c r="U412" s="104"/>
      <c r="V412" s="104"/>
      <c r="W412" s="104"/>
      <c r="X412" s="104"/>
      <c r="Y412" s="104"/>
      <c r="Z412" s="104"/>
      <c r="AA412" s="231"/>
      <c r="AB412" s="231"/>
      <c r="AC412" s="231"/>
      <c r="AD412" s="231"/>
      <c r="AE412" s="231"/>
      <c r="AF412" s="231"/>
      <c r="AG412" s="231"/>
      <c r="AH412" s="231"/>
      <c r="AI412" s="231"/>
      <c r="AJ412" s="231"/>
      <c r="AK412" s="231"/>
      <c r="AL412" s="231"/>
      <c r="AM412" s="231"/>
      <c r="AN412" s="231"/>
      <c r="AO412" s="231"/>
      <c r="AP412" s="231"/>
      <c r="AQ412" s="231"/>
      <c r="AR412" s="231"/>
      <c r="AS412" s="231"/>
      <c r="AT412" s="231"/>
      <c r="AU412" s="231"/>
      <c r="AV412" s="231"/>
      <c r="AW412" s="231"/>
      <c r="AX412" s="231"/>
      <c r="AY412" s="231"/>
      <c r="AZ412" s="231"/>
      <c r="BA412" s="231"/>
      <c r="BB412" s="231"/>
      <c r="BC412" s="231"/>
      <c r="BD412" s="231"/>
      <c r="BE412" s="231"/>
      <c r="BF412" s="231"/>
      <c r="BG412" s="231"/>
      <c r="BH412" s="231"/>
      <c r="BI412" s="231"/>
      <c r="BJ412" s="224"/>
      <c r="BK412" s="224"/>
    </row>
    <row r="413" spans="1:63" hidden="1" outlineLevel="1">
      <c r="A413" s="9"/>
      <c r="B413" s="44"/>
      <c r="C413" s="131">
        <f>Asset16</f>
        <v>0</v>
      </c>
      <c r="D413" s="9"/>
      <c r="E413" s="9"/>
      <c r="F413" s="143"/>
      <c r="G413" s="204">
        <f t="shared" si="4"/>
        <v>0</v>
      </c>
      <c r="H413" s="119"/>
      <c r="I413" s="119"/>
      <c r="J413" s="119"/>
      <c r="K413" s="119"/>
      <c r="L413" s="119"/>
      <c r="M413" s="9"/>
      <c r="N413" s="115"/>
      <c r="O413" s="154"/>
      <c r="P413" s="154"/>
      <c r="Q413" s="154"/>
      <c r="R413" s="104"/>
      <c r="S413" s="104"/>
      <c r="T413" s="104"/>
      <c r="U413" s="104"/>
      <c r="V413" s="104"/>
      <c r="W413" s="104"/>
      <c r="X413" s="104"/>
      <c r="Y413" s="104"/>
      <c r="Z413" s="104"/>
      <c r="AA413" s="231"/>
      <c r="AB413" s="231"/>
      <c r="AC413" s="231"/>
      <c r="AD413" s="231"/>
      <c r="AE413" s="231"/>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c r="BF413" s="231"/>
      <c r="BG413" s="231"/>
      <c r="BH413" s="231"/>
      <c r="BI413" s="231"/>
      <c r="BJ413" s="224"/>
      <c r="BK413" s="224"/>
    </row>
    <row r="414" spans="1:63" hidden="1" outlineLevel="1">
      <c r="A414" s="9"/>
      <c r="B414" s="44"/>
      <c r="C414" s="131">
        <f>Asset17</f>
        <v>0</v>
      </c>
      <c r="D414" s="9"/>
      <c r="E414" s="9"/>
      <c r="F414" s="143"/>
      <c r="G414" s="204">
        <f t="shared" si="4"/>
        <v>0</v>
      </c>
      <c r="H414" s="119"/>
      <c r="I414" s="119"/>
      <c r="J414" s="119"/>
      <c r="K414" s="119"/>
      <c r="L414" s="119"/>
      <c r="M414" s="9"/>
      <c r="N414" s="115"/>
      <c r="O414" s="154"/>
      <c r="P414" s="154"/>
      <c r="Q414" s="154"/>
      <c r="R414" s="104"/>
      <c r="S414" s="104"/>
      <c r="T414" s="104"/>
      <c r="U414" s="104"/>
      <c r="V414" s="104"/>
      <c r="W414" s="104"/>
      <c r="X414" s="104"/>
      <c r="Y414" s="104"/>
      <c r="Z414" s="104"/>
      <c r="AA414" s="231"/>
      <c r="AB414" s="231"/>
      <c r="AC414" s="231"/>
      <c r="AD414" s="231"/>
      <c r="AE414" s="231"/>
      <c r="AF414" s="231"/>
      <c r="AG414" s="231"/>
      <c r="AH414" s="231"/>
      <c r="AI414" s="231"/>
      <c r="AJ414" s="231"/>
      <c r="AK414" s="231"/>
      <c r="AL414" s="231"/>
      <c r="AM414" s="231"/>
      <c r="AN414" s="231"/>
      <c r="AO414" s="231"/>
      <c r="AP414" s="231"/>
      <c r="AQ414" s="231"/>
      <c r="AR414" s="231"/>
      <c r="AS414" s="231"/>
      <c r="AT414" s="231"/>
      <c r="AU414" s="231"/>
      <c r="AV414" s="231"/>
      <c r="AW414" s="231"/>
      <c r="AX414" s="231"/>
      <c r="AY414" s="231"/>
      <c r="AZ414" s="231"/>
      <c r="BA414" s="231"/>
      <c r="BB414" s="231"/>
      <c r="BC414" s="231"/>
      <c r="BD414" s="231"/>
      <c r="BE414" s="231"/>
      <c r="BF414" s="231"/>
      <c r="BG414" s="231"/>
      <c r="BH414" s="231"/>
      <c r="BI414" s="231"/>
      <c r="BJ414" s="224"/>
      <c r="BK414" s="224"/>
    </row>
    <row r="415" spans="1:63" hidden="1" outlineLevel="1">
      <c r="A415" s="9"/>
      <c r="B415" s="44"/>
      <c r="C415" s="131">
        <f>Asset18</f>
        <v>0</v>
      </c>
      <c r="D415" s="9"/>
      <c r="E415" s="9"/>
      <c r="F415" s="143"/>
      <c r="G415" s="204">
        <f t="shared" si="4"/>
        <v>0</v>
      </c>
      <c r="H415" s="119"/>
      <c r="I415" s="119"/>
      <c r="J415" s="119"/>
      <c r="K415" s="119"/>
      <c r="L415" s="119"/>
      <c r="M415" s="9"/>
      <c r="N415" s="115"/>
      <c r="O415" s="154"/>
      <c r="P415" s="154"/>
      <c r="Q415" s="154"/>
      <c r="R415" s="104"/>
      <c r="S415" s="104"/>
      <c r="T415" s="104"/>
      <c r="U415" s="104"/>
      <c r="V415" s="104"/>
      <c r="W415" s="104"/>
      <c r="X415" s="104"/>
      <c r="Y415" s="104"/>
      <c r="Z415" s="104"/>
      <c r="AA415" s="231"/>
      <c r="AB415" s="231"/>
      <c r="AC415" s="231"/>
      <c r="AD415" s="231"/>
      <c r="AE415" s="231"/>
      <c r="AF415" s="231"/>
      <c r="AG415" s="231"/>
      <c r="AH415" s="231"/>
      <c r="AI415" s="231"/>
      <c r="AJ415" s="231"/>
      <c r="AK415" s="231"/>
      <c r="AL415" s="231"/>
      <c r="AM415" s="231"/>
      <c r="AN415" s="231"/>
      <c r="AO415" s="231"/>
      <c r="AP415" s="231"/>
      <c r="AQ415" s="231"/>
      <c r="AR415" s="231"/>
      <c r="AS415" s="231"/>
      <c r="AT415" s="231"/>
      <c r="AU415" s="231"/>
      <c r="AV415" s="231"/>
      <c r="AW415" s="231"/>
      <c r="AX415" s="231"/>
      <c r="AY415" s="231"/>
      <c r="AZ415" s="231"/>
      <c r="BA415" s="231"/>
      <c r="BB415" s="231"/>
      <c r="BC415" s="231"/>
      <c r="BD415" s="231"/>
      <c r="BE415" s="231"/>
      <c r="BF415" s="231"/>
      <c r="BG415" s="231"/>
      <c r="BH415" s="231"/>
      <c r="BI415" s="231"/>
      <c r="BJ415" s="224"/>
      <c r="BK415" s="224"/>
    </row>
    <row r="416" spans="1:63" hidden="1" outlineLevel="1">
      <c r="A416" s="9"/>
      <c r="B416" s="44"/>
      <c r="C416" s="131">
        <f>Asset19</f>
        <v>0</v>
      </c>
      <c r="D416" s="9"/>
      <c r="E416" s="9"/>
      <c r="F416" s="143"/>
      <c r="G416" s="204">
        <f t="shared" si="4"/>
        <v>0</v>
      </c>
      <c r="H416" s="119"/>
      <c r="I416" s="119"/>
      <c r="J416" s="119"/>
      <c r="K416" s="119"/>
      <c r="L416" s="119"/>
      <c r="M416" s="9"/>
      <c r="N416" s="115"/>
      <c r="O416" s="154"/>
      <c r="P416" s="154"/>
      <c r="Q416" s="154"/>
      <c r="R416" s="104"/>
      <c r="S416" s="104"/>
      <c r="T416" s="104"/>
      <c r="U416" s="104"/>
      <c r="V416" s="104"/>
      <c r="W416" s="104"/>
      <c r="X416" s="104"/>
      <c r="Y416" s="104"/>
      <c r="Z416" s="104"/>
      <c r="AA416" s="231"/>
      <c r="AB416" s="231"/>
      <c r="AC416" s="231"/>
      <c r="AD416" s="231"/>
      <c r="AE416" s="231"/>
      <c r="AF416" s="231"/>
      <c r="AG416" s="231"/>
      <c r="AH416" s="231"/>
      <c r="AI416" s="231"/>
      <c r="AJ416" s="231"/>
      <c r="AK416" s="231"/>
      <c r="AL416" s="231"/>
      <c r="AM416" s="231"/>
      <c r="AN416" s="231"/>
      <c r="AO416" s="231"/>
      <c r="AP416" s="231"/>
      <c r="AQ416" s="231"/>
      <c r="AR416" s="231"/>
      <c r="AS416" s="231"/>
      <c r="AT416" s="231"/>
      <c r="AU416" s="231"/>
      <c r="AV416" s="231"/>
      <c r="AW416" s="231"/>
      <c r="AX416" s="231"/>
      <c r="AY416" s="231"/>
      <c r="AZ416" s="231"/>
      <c r="BA416" s="231"/>
      <c r="BB416" s="231"/>
      <c r="BC416" s="231"/>
      <c r="BD416" s="231"/>
      <c r="BE416" s="231"/>
      <c r="BF416" s="231"/>
      <c r="BG416" s="231"/>
      <c r="BH416" s="231"/>
      <c r="BI416" s="231"/>
      <c r="BJ416" s="224"/>
      <c r="BK416" s="224"/>
    </row>
    <row r="417" spans="1:63" hidden="1" outlineLevel="1">
      <c r="A417" s="9"/>
      <c r="B417" s="44"/>
      <c r="C417" s="131">
        <f>Asset20</f>
        <v>0</v>
      </c>
      <c r="D417" s="9"/>
      <c r="E417" s="9"/>
      <c r="F417" s="143"/>
      <c r="G417" s="204">
        <f t="shared" si="4"/>
        <v>0</v>
      </c>
      <c r="H417" s="119"/>
      <c r="I417" s="119"/>
      <c r="J417" s="119"/>
      <c r="K417" s="119"/>
      <c r="L417" s="119"/>
      <c r="M417" s="9"/>
      <c r="N417" s="115"/>
      <c r="O417" s="154"/>
      <c r="P417" s="154"/>
      <c r="Q417" s="154"/>
      <c r="R417" s="104"/>
      <c r="S417" s="104"/>
      <c r="T417" s="104"/>
      <c r="U417" s="104"/>
      <c r="V417" s="104"/>
      <c r="W417" s="104"/>
      <c r="X417" s="104"/>
      <c r="Y417" s="104"/>
      <c r="Z417" s="104"/>
      <c r="AA417" s="231"/>
      <c r="AB417" s="231"/>
      <c r="AC417" s="231"/>
      <c r="AD417" s="231"/>
      <c r="AE417" s="231"/>
      <c r="AF417" s="231"/>
      <c r="AG417" s="231"/>
      <c r="AH417" s="231"/>
      <c r="AI417" s="231"/>
      <c r="AJ417" s="231"/>
      <c r="AK417" s="231"/>
      <c r="AL417" s="231"/>
      <c r="AM417" s="231"/>
      <c r="AN417" s="231"/>
      <c r="AO417" s="231"/>
      <c r="AP417" s="231"/>
      <c r="AQ417" s="231"/>
      <c r="AR417" s="231"/>
      <c r="AS417" s="231"/>
      <c r="AT417" s="231"/>
      <c r="AU417" s="231"/>
      <c r="AV417" s="231"/>
      <c r="AW417" s="231"/>
      <c r="AX417" s="231"/>
      <c r="AY417" s="231"/>
      <c r="AZ417" s="231"/>
      <c r="BA417" s="231"/>
      <c r="BB417" s="231"/>
      <c r="BC417" s="231"/>
      <c r="BD417" s="231"/>
      <c r="BE417" s="231"/>
      <c r="BF417" s="231"/>
      <c r="BG417" s="231"/>
      <c r="BH417" s="231"/>
      <c r="BI417" s="231"/>
      <c r="BJ417" s="224"/>
      <c r="BK417" s="224"/>
    </row>
    <row r="418" spans="1:63" hidden="1" outlineLevel="1">
      <c r="A418" s="9"/>
      <c r="B418" s="44"/>
      <c r="C418" s="131">
        <f>Asset21</f>
        <v>0</v>
      </c>
      <c r="D418" s="9"/>
      <c r="E418" s="9"/>
      <c r="F418" s="143"/>
      <c r="G418" s="204">
        <f t="shared" ref="G418:G427" si="5">G386-G354</f>
        <v>0</v>
      </c>
      <c r="H418" s="119"/>
      <c r="I418" s="119"/>
      <c r="J418" s="119"/>
      <c r="K418" s="119"/>
      <c r="L418" s="119"/>
      <c r="M418" s="9"/>
      <c r="N418" s="115"/>
      <c r="O418" s="154"/>
      <c r="P418" s="154"/>
      <c r="Q418" s="154"/>
      <c r="R418" s="104"/>
      <c r="S418" s="104"/>
      <c r="T418" s="104"/>
      <c r="U418" s="104"/>
      <c r="V418" s="104"/>
      <c r="W418" s="104"/>
      <c r="X418" s="104"/>
      <c r="Y418" s="104"/>
      <c r="Z418" s="104"/>
      <c r="AA418" s="231"/>
      <c r="AB418" s="231"/>
      <c r="AC418" s="231"/>
      <c r="AD418" s="231"/>
      <c r="AE418" s="231"/>
      <c r="AF418" s="231"/>
      <c r="AG418" s="231"/>
      <c r="AH418" s="231"/>
      <c r="AI418" s="231"/>
      <c r="AJ418" s="231"/>
      <c r="AK418" s="231"/>
      <c r="AL418" s="231"/>
      <c r="AM418" s="231"/>
      <c r="AN418" s="231"/>
      <c r="AO418" s="231"/>
      <c r="AP418" s="231"/>
      <c r="AQ418" s="231"/>
      <c r="AR418" s="231"/>
      <c r="AS418" s="231"/>
      <c r="AT418" s="231"/>
      <c r="AU418" s="231"/>
      <c r="AV418" s="231"/>
      <c r="AW418" s="231"/>
      <c r="AX418" s="231"/>
      <c r="AY418" s="231"/>
      <c r="AZ418" s="231"/>
      <c r="BA418" s="231"/>
      <c r="BB418" s="231"/>
      <c r="BC418" s="231"/>
      <c r="BD418" s="231"/>
      <c r="BE418" s="231"/>
      <c r="BF418" s="231"/>
      <c r="BG418" s="231"/>
      <c r="BH418" s="231"/>
      <c r="BI418" s="231"/>
      <c r="BJ418" s="224"/>
      <c r="BK418" s="224"/>
    </row>
    <row r="419" spans="1:63" hidden="1" outlineLevel="1">
      <c r="A419" s="9"/>
      <c r="B419" s="44"/>
      <c r="C419" s="131">
        <f>Asset22</f>
        <v>0</v>
      </c>
      <c r="D419" s="9"/>
      <c r="E419" s="9"/>
      <c r="F419" s="143"/>
      <c r="G419" s="204">
        <f t="shared" si="5"/>
        <v>0</v>
      </c>
      <c r="H419" s="119"/>
      <c r="I419" s="119"/>
      <c r="J419" s="119"/>
      <c r="K419" s="119"/>
      <c r="L419" s="119"/>
      <c r="M419" s="9"/>
      <c r="N419" s="115"/>
      <c r="O419" s="154"/>
      <c r="P419" s="154"/>
      <c r="Q419" s="154"/>
      <c r="R419" s="104"/>
      <c r="S419" s="104"/>
      <c r="T419" s="104"/>
      <c r="U419" s="104"/>
      <c r="V419" s="104"/>
      <c r="W419" s="104"/>
      <c r="X419" s="104"/>
      <c r="Y419" s="104"/>
      <c r="Z419" s="104"/>
      <c r="AA419" s="231"/>
      <c r="AB419" s="231"/>
      <c r="AC419" s="231"/>
      <c r="AD419" s="231"/>
      <c r="AE419" s="231"/>
      <c r="AF419" s="231"/>
      <c r="AG419" s="231"/>
      <c r="AH419" s="231"/>
      <c r="AI419" s="231"/>
      <c r="AJ419" s="231"/>
      <c r="AK419" s="231"/>
      <c r="AL419" s="231"/>
      <c r="AM419" s="231"/>
      <c r="AN419" s="231"/>
      <c r="AO419" s="231"/>
      <c r="AP419" s="231"/>
      <c r="AQ419" s="231"/>
      <c r="AR419" s="231"/>
      <c r="AS419" s="231"/>
      <c r="AT419" s="231"/>
      <c r="AU419" s="231"/>
      <c r="AV419" s="231"/>
      <c r="AW419" s="231"/>
      <c r="AX419" s="231"/>
      <c r="AY419" s="231"/>
      <c r="AZ419" s="231"/>
      <c r="BA419" s="231"/>
      <c r="BB419" s="231"/>
      <c r="BC419" s="231"/>
      <c r="BD419" s="231"/>
      <c r="BE419" s="231"/>
      <c r="BF419" s="231"/>
      <c r="BG419" s="231"/>
      <c r="BH419" s="231"/>
      <c r="BI419" s="231"/>
      <c r="BJ419" s="224"/>
      <c r="BK419" s="224"/>
    </row>
    <row r="420" spans="1:63" hidden="1" outlineLevel="1">
      <c r="A420" s="9"/>
      <c r="B420" s="44"/>
      <c r="C420" s="131">
        <f>Asset23</f>
        <v>0</v>
      </c>
      <c r="D420" s="9"/>
      <c r="E420" s="9"/>
      <c r="F420" s="143"/>
      <c r="G420" s="204">
        <f t="shared" si="5"/>
        <v>0</v>
      </c>
      <c r="H420" s="119"/>
      <c r="I420" s="119"/>
      <c r="J420" s="119"/>
      <c r="K420" s="119"/>
      <c r="L420" s="119"/>
      <c r="M420" s="9"/>
      <c r="N420" s="115"/>
      <c r="O420" s="154"/>
      <c r="P420" s="154"/>
      <c r="Q420" s="154"/>
      <c r="R420" s="104"/>
      <c r="S420" s="104"/>
      <c r="T420" s="104"/>
      <c r="U420" s="104"/>
      <c r="V420" s="104"/>
      <c r="W420" s="104"/>
      <c r="X420" s="104"/>
      <c r="Y420" s="104"/>
      <c r="Z420" s="104"/>
      <c r="AA420" s="231"/>
      <c r="AB420" s="231"/>
      <c r="AC420" s="231"/>
      <c r="AD420" s="231"/>
      <c r="AE420" s="231"/>
      <c r="AF420" s="231"/>
      <c r="AG420" s="231"/>
      <c r="AH420" s="231"/>
      <c r="AI420" s="231"/>
      <c r="AJ420" s="231"/>
      <c r="AK420" s="231"/>
      <c r="AL420" s="231"/>
      <c r="AM420" s="231"/>
      <c r="AN420" s="231"/>
      <c r="AO420" s="231"/>
      <c r="AP420" s="231"/>
      <c r="AQ420" s="231"/>
      <c r="AR420" s="231"/>
      <c r="AS420" s="231"/>
      <c r="AT420" s="231"/>
      <c r="AU420" s="231"/>
      <c r="AV420" s="231"/>
      <c r="AW420" s="231"/>
      <c r="AX420" s="231"/>
      <c r="AY420" s="231"/>
      <c r="AZ420" s="231"/>
      <c r="BA420" s="231"/>
      <c r="BB420" s="231"/>
      <c r="BC420" s="231"/>
      <c r="BD420" s="231"/>
      <c r="BE420" s="231"/>
      <c r="BF420" s="231"/>
      <c r="BG420" s="231"/>
      <c r="BH420" s="231"/>
      <c r="BI420" s="231"/>
      <c r="BJ420" s="224"/>
      <c r="BK420" s="224"/>
    </row>
    <row r="421" spans="1:63" hidden="1" outlineLevel="1">
      <c r="A421" s="9"/>
      <c r="B421" s="44"/>
      <c r="C421" s="131">
        <f>Asset24</f>
        <v>0</v>
      </c>
      <c r="D421" s="9"/>
      <c r="E421" s="9"/>
      <c r="F421" s="143"/>
      <c r="G421" s="204">
        <f t="shared" si="5"/>
        <v>0</v>
      </c>
      <c r="H421" s="119"/>
      <c r="I421" s="119"/>
      <c r="J421" s="119"/>
      <c r="K421" s="119"/>
      <c r="L421" s="119"/>
      <c r="M421" s="9"/>
      <c r="N421" s="115"/>
      <c r="O421" s="154"/>
      <c r="P421" s="154"/>
      <c r="Q421" s="154"/>
      <c r="R421" s="104"/>
      <c r="S421" s="104"/>
      <c r="T421" s="104"/>
      <c r="U421" s="104"/>
      <c r="V421" s="104"/>
      <c r="W421" s="104"/>
      <c r="X421" s="104"/>
      <c r="Y421" s="104"/>
      <c r="Z421" s="104"/>
      <c r="AA421" s="231"/>
      <c r="AB421" s="231"/>
      <c r="AC421" s="231"/>
      <c r="AD421" s="231"/>
      <c r="AE421" s="231"/>
      <c r="AF421" s="231"/>
      <c r="AG421" s="231"/>
      <c r="AH421" s="231"/>
      <c r="AI421" s="231"/>
      <c r="AJ421" s="231"/>
      <c r="AK421" s="231"/>
      <c r="AL421" s="231"/>
      <c r="AM421" s="231"/>
      <c r="AN421" s="231"/>
      <c r="AO421" s="231"/>
      <c r="AP421" s="231"/>
      <c r="AQ421" s="231"/>
      <c r="AR421" s="231"/>
      <c r="AS421" s="231"/>
      <c r="AT421" s="231"/>
      <c r="AU421" s="231"/>
      <c r="AV421" s="231"/>
      <c r="AW421" s="231"/>
      <c r="AX421" s="231"/>
      <c r="AY421" s="231"/>
      <c r="AZ421" s="231"/>
      <c r="BA421" s="231"/>
      <c r="BB421" s="231"/>
      <c r="BC421" s="231"/>
      <c r="BD421" s="231"/>
      <c r="BE421" s="231"/>
      <c r="BF421" s="231"/>
      <c r="BG421" s="231"/>
      <c r="BH421" s="231"/>
      <c r="BI421" s="231"/>
      <c r="BJ421" s="224"/>
      <c r="BK421" s="224"/>
    </row>
    <row r="422" spans="1:63" hidden="1" outlineLevel="1">
      <c r="A422" s="9"/>
      <c r="B422" s="44"/>
      <c r="C422" s="131">
        <f>Asset25</f>
        <v>0</v>
      </c>
      <c r="D422" s="9"/>
      <c r="E422" s="9"/>
      <c r="F422" s="143"/>
      <c r="G422" s="204">
        <f t="shared" si="5"/>
        <v>0</v>
      </c>
      <c r="H422" s="119"/>
      <c r="I422" s="119"/>
      <c r="J422" s="119"/>
      <c r="K422" s="119"/>
      <c r="L422" s="119"/>
      <c r="M422" s="9"/>
      <c r="N422" s="115"/>
      <c r="O422" s="154"/>
      <c r="P422" s="154"/>
      <c r="Q422" s="154"/>
      <c r="R422" s="104"/>
      <c r="S422" s="104"/>
      <c r="T422" s="104"/>
      <c r="U422" s="104"/>
      <c r="V422" s="104"/>
      <c r="W422" s="104"/>
      <c r="X422" s="104"/>
      <c r="Y422" s="104"/>
      <c r="Z422" s="104"/>
      <c r="AA422" s="231"/>
      <c r="AB422" s="231"/>
      <c r="AC422" s="231"/>
      <c r="AD422" s="231"/>
      <c r="AE422" s="231"/>
      <c r="AF422" s="231"/>
      <c r="AG422" s="231"/>
      <c r="AH422" s="231"/>
      <c r="AI422" s="231"/>
      <c r="AJ422" s="231"/>
      <c r="AK422" s="231"/>
      <c r="AL422" s="231"/>
      <c r="AM422" s="231"/>
      <c r="AN422" s="231"/>
      <c r="AO422" s="231"/>
      <c r="AP422" s="231"/>
      <c r="AQ422" s="231"/>
      <c r="AR422" s="231"/>
      <c r="AS422" s="231"/>
      <c r="AT422" s="231"/>
      <c r="AU422" s="231"/>
      <c r="AV422" s="231"/>
      <c r="AW422" s="231"/>
      <c r="AX422" s="231"/>
      <c r="AY422" s="231"/>
      <c r="AZ422" s="231"/>
      <c r="BA422" s="231"/>
      <c r="BB422" s="231"/>
      <c r="BC422" s="231"/>
      <c r="BD422" s="231"/>
      <c r="BE422" s="231"/>
      <c r="BF422" s="231"/>
      <c r="BG422" s="231"/>
      <c r="BH422" s="231"/>
      <c r="BI422" s="231"/>
      <c r="BJ422" s="224"/>
      <c r="BK422" s="224"/>
    </row>
    <row r="423" spans="1:63" hidden="1" outlineLevel="1">
      <c r="A423" s="9"/>
      <c r="B423" s="44"/>
      <c r="C423" s="131">
        <f>Asset26</f>
        <v>0</v>
      </c>
      <c r="D423" s="9"/>
      <c r="E423" s="9"/>
      <c r="F423" s="143"/>
      <c r="G423" s="204">
        <f t="shared" si="5"/>
        <v>0</v>
      </c>
      <c r="H423" s="119"/>
      <c r="I423" s="119"/>
      <c r="J423" s="119"/>
      <c r="K423" s="119"/>
      <c r="L423" s="119"/>
      <c r="M423" s="9"/>
      <c r="N423" s="115"/>
      <c r="O423" s="154"/>
      <c r="P423" s="154"/>
      <c r="Q423" s="154"/>
      <c r="R423" s="104"/>
      <c r="S423" s="104"/>
      <c r="T423" s="104"/>
      <c r="U423" s="104"/>
      <c r="V423" s="104"/>
      <c r="W423" s="104"/>
      <c r="X423" s="104"/>
      <c r="Y423" s="104"/>
      <c r="Z423" s="104"/>
      <c r="AA423" s="231"/>
      <c r="AB423" s="231"/>
      <c r="AC423" s="231"/>
      <c r="AD423" s="231"/>
      <c r="AE423" s="231"/>
      <c r="AF423" s="231"/>
      <c r="AG423" s="231"/>
      <c r="AH423" s="231"/>
      <c r="AI423" s="231"/>
      <c r="AJ423" s="231"/>
      <c r="AK423" s="231"/>
      <c r="AL423" s="231"/>
      <c r="AM423" s="231"/>
      <c r="AN423" s="231"/>
      <c r="AO423" s="231"/>
      <c r="AP423" s="231"/>
      <c r="AQ423" s="231"/>
      <c r="AR423" s="231"/>
      <c r="AS423" s="231"/>
      <c r="AT423" s="231"/>
      <c r="AU423" s="231"/>
      <c r="AV423" s="231"/>
      <c r="AW423" s="231"/>
      <c r="AX423" s="231"/>
      <c r="AY423" s="231"/>
      <c r="AZ423" s="231"/>
      <c r="BA423" s="231"/>
      <c r="BB423" s="231"/>
      <c r="BC423" s="231"/>
      <c r="BD423" s="231"/>
      <c r="BE423" s="231"/>
      <c r="BF423" s="231"/>
      <c r="BG423" s="231"/>
      <c r="BH423" s="231"/>
      <c r="BI423" s="231"/>
      <c r="BJ423" s="224"/>
      <c r="BK423" s="224"/>
    </row>
    <row r="424" spans="1:63" hidden="1" outlineLevel="1">
      <c r="A424" s="9"/>
      <c r="B424" s="44"/>
      <c r="C424" s="131">
        <f>Asset27</f>
        <v>0</v>
      </c>
      <c r="D424" s="9"/>
      <c r="E424" s="9"/>
      <c r="F424" s="143"/>
      <c r="G424" s="204">
        <f t="shared" si="5"/>
        <v>0</v>
      </c>
      <c r="H424" s="119"/>
      <c r="I424" s="119"/>
      <c r="J424" s="119"/>
      <c r="K424" s="119"/>
      <c r="L424" s="119"/>
      <c r="M424" s="9"/>
      <c r="N424" s="115"/>
      <c r="O424" s="154"/>
      <c r="P424" s="154"/>
      <c r="Q424" s="154"/>
      <c r="R424" s="104"/>
      <c r="S424" s="104"/>
      <c r="T424" s="104"/>
      <c r="U424" s="104"/>
      <c r="V424" s="104"/>
      <c r="W424" s="104"/>
      <c r="X424" s="104"/>
      <c r="Y424" s="104"/>
      <c r="Z424" s="104"/>
      <c r="AA424" s="231"/>
      <c r="AB424" s="231"/>
      <c r="AC424" s="231"/>
      <c r="AD424" s="231"/>
      <c r="AE424" s="231"/>
      <c r="AF424" s="231"/>
      <c r="AG424" s="231"/>
      <c r="AH424" s="231"/>
      <c r="AI424" s="231"/>
      <c r="AJ424" s="231"/>
      <c r="AK424" s="231"/>
      <c r="AL424" s="231"/>
      <c r="AM424" s="231"/>
      <c r="AN424" s="231"/>
      <c r="AO424" s="231"/>
      <c r="AP424" s="231"/>
      <c r="AQ424" s="231"/>
      <c r="AR424" s="231"/>
      <c r="AS424" s="231"/>
      <c r="AT424" s="231"/>
      <c r="AU424" s="231"/>
      <c r="AV424" s="231"/>
      <c r="AW424" s="231"/>
      <c r="AX424" s="231"/>
      <c r="AY424" s="231"/>
      <c r="AZ424" s="231"/>
      <c r="BA424" s="231"/>
      <c r="BB424" s="231"/>
      <c r="BC424" s="231"/>
      <c r="BD424" s="231"/>
      <c r="BE424" s="231"/>
      <c r="BF424" s="231"/>
      <c r="BG424" s="231"/>
      <c r="BH424" s="231"/>
      <c r="BI424" s="231"/>
      <c r="BJ424" s="224"/>
      <c r="BK424" s="224"/>
    </row>
    <row r="425" spans="1:63" hidden="1" outlineLevel="1">
      <c r="A425" s="9"/>
      <c r="B425" s="44"/>
      <c r="C425" s="131">
        <f>Asset28</f>
        <v>0</v>
      </c>
      <c r="D425" s="9"/>
      <c r="E425" s="9"/>
      <c r="F425" s="143"/>
      <c r="G425" s="204">
        <f t="shared" si="5"/>
        <v>0</v>
      </c>
      <c r="H425" s="119"/>
      <c r="I425" s="119"/>
      <c r="J425" s="119"/>
      <c r="K425" s="119"/>
      <c r="L425" s="119"/>
      <c r="M425" s="9"/>
      <c r="N425" s="115"/>
      <c r="O425" s="154"/>
      <c r="P425" s="154"/>
      <c r="Q425" s="154"/>
      <c r="R425" s="104"/>
      <c r="S425" s="104"/>
      <c r="T425" s="104"/>
      <c r="U425" s="104"/>
      <c r="V425" s="104"/>
      <c r="W425" s="104"/>
      <c r="X425" s="104"/>
      <c r="Y425" s="104"/>
      <c r="Z425" s="104"/>
      <c r="AA425" s="231"/>
      <c r="AB425" s="231"/>
      <c r="AC425" s="231"/>
      <c r="AD425" s="231"/>
      <c r="AE425" s="231"/>
      <c r="AF425" s="231"/>
      <c r="AG425" s="231"/>
      <c r="AH425" s="231"/>
      <c r="AI425" s="231"/>
      <c r="AJ425" s="231"/>
      <c r="AK425" s="231"/>
      <c r="AL425" s="231"/>
      <c r="AM425" s="231"/>
      <c r="AN425" s="231"/>
      <c r="AO425" s="231"/>
      <c r="AP425" s="231"/>
      <c r="AQ425" s="231"/>
      <c r="AR425" s="231"/>
      <c r="AS425" s="231"/>
      <c r="AT425" s="231"/>
      <c r="AU425" s="231"/>
      <c r="AV425" s="231"/>
      <c r="AW425" s="231"/>
      <c r="AX425" s="231"/>
      <c r="AY425" s="231"/>
      <c r="AZ425" s="231"/>
      <c r="BA425" s="231"/>
      <c r="BB425" s="231"/>
      <c r="BC425" s="231"/>
      <c r="BD425" s="231"/>
      <c r="BE425" s="231"/>
      <c r="BF425" s="231"/>
      <c r="BG425" s="231"/>
      <c r="BH425" s="231"/>
      <c r="BI425" s="231"/>
      <c r="BJ425" s="224"/>
      <c r="BK425" s="224"/>
    </row>
    <row r="426" spans="1:63" hidden="1" outlineLevel="1">
      <c r="A426" s="9"/>
      <c r="B426" s="44"/>
      <c r="C426" s="131">
        <f>Asset29</f>
        <v>0</v>
      </c>
      <c r="D426" s="9"/>
      <c r="E426" s="9"/>
      <c r="F426" s="143"/>
      <c r="G426" s="204">
        <f t="shared" si="5"/>
        <v>0</v>
      </c>
      <c r="H426" s="119"/>
      <c r="I426" s="119"/>
      <c r="J426" s="119"/>
      <c r="K426" s="119"/>
      <c r="L426" s="119"/>
      <c r="M426" s="9"/>
      <c r="N426" s="115"/>
      <c r="O426" s="154"/>
      <c r="P426" s="154"/>
      <c r="Q426" s="154"/>
      <c r="R426" s="104"/>
      <c r="S426" s="104"/>
      <c r="T426" s="104"/>
      <c r="U426" s="104"/>
      <c r="V426" s="104"/>
      <c r="W426" s="104"/>
      <c r="X426" s="104"/>
      <c r="Y426" s="104"/>
      <c r="Z426" s="104"/>
      <c r="AA426" s="231"/>
      <c r="AB426" s="231"/>
      <c r="AC426" s="231"/>
      <c r="AD426" s="231"/>
      <c r="AE426" s="231"/>
      <c r="AF426" s="231"/>
      <c r="AG426" s="231"/>
      <c r="AH426" s="231"/>
      <c r="AI426" s="231"/>
      <c r="AJ426" s="231"/>
      <c r="AK426" s="231"/>
      <c r="AL426" s="231"/>
      <c r="AM426" s="231"/>
      <c r="AN426" s="231"/>
      <c r="AO426" s="231"/>
      <c r="AP426" s="231"/>
      <c r="AQ426" s="231"/>
      <c r="AR426" s="231"/>
      <c r="AS426" s="231"/>
      <c r="AT426" s="231"/>
      <c r="AU426" s="231"/>
      <c r="AV426" s="231"/>
      <c r="AW426" s="231"/>
      <c r="AX426" s="231"/>
      <c r="AY426" s="231"/>
      <c r="AZ426" s="231"/>
      <c r="BA426" s="231"/>
      <c r="BB426" s="231"/>
      <c r="BC426" s="231"/>
      <c r="BD426" s="231"/>
      <c r="BE426" s="231"/>
      <c r="BF426" s="231"/>
      <c r="BG426" s="231"/>
      <c r="BH426" s="231"/>
      <c r="BI426" s="231"/>
      <c r="BJ426" s="224"/>
      <c r="BK426" s="224"/>
    </row>
    <row r="427" spans="1:63" hidden="1" outlineLevel="1">
      <c r="A427" s="9"/>
      <c r="B427" s="44"/>
      <c r="C427" s="131">
        <f>Asset30</f>
        <v>0</v>
      </c>
      <c r="D427" s="9"/>
      <c r="E427" s="9"/>
      <c r="F427" s="143"/>
      <c r="G427" s="204">
        <f t="shared" si="5"/>
        <v>0</v>
      </c>
      <c r="H427" s="119"/>
      <c r="I427" s="119"/>
      <c r="J427" s="119"/>
      <c r="K427" s="119"/>
      <c r="L427" s="119"/>
      <c r="M427" s="9"/>
      <c r="N427" s="115"/>
      <c r="O427" s="154"/>
      <c r="P427" s="154"/>
      <c r="Q427" s="154"/>
      <c r="R427" s="104"/>
      <c r="S427" s="104"/>
      <c r="T427" s="104"/>
      <c r="U427" s="104"/>
      <c r="V427" s="104"/>
      <c r="W427" s="104"/>
      <c r="X427" s="104"/>
      <c r="Y427" s="104"/>
      <c r="Z427" s="104"/>
      <c r="AA427" s="231"/>
      <c r="AB427" s="231"/>
      <c r="AC427" s="231"/>
      <c r="AD427" s="231"/>
      <c r="AE427" s="231"/>
      <c r="AF427" s="231"/>
      <c r="AG427" s="231"/>
      <c r="AH427" s="231"/>
      <c r="AI427" s="231"/>
      <c r="AJ427" s="231"/>
      <c r="AK427" s="231"/>
      <c r="AL427" s="231"/>
      <c r="AM427" s="231"/>
      <c r="AN427" s="231"/>
      <c r="AO427" s="231"/>
      <c r="AP427" s="231"/>
      <c r="AQ427" s="231"/>
      <c r="AR427" s="231"/>
      <c r="AS427" s="231"/>
      <c r="AT427" s="231"/>
      <c r="AU427" s="231"/>
      <c r="AV427" s="231"/>
      <c r="AW427" s="231"/>
      <c r="AX427" s="231"/>
      <c r="AY427" s="231"/>
      <c r="AZ427" s="231"/>
      <c r="BA427" s="231"/>
      <c r="BB427" s="231"/>
      <c r="BC427" s="231"/>
      <c r="BD427" s="231"/>
      <c r="BE427" s="231"/>
      <c r="BF427" s="231"/>
      <c r="BG427" s="231"/>
      <c r="BH427" s="231"/>
      <c r="BI427" s="231"/>
      <c r="BJ427" s="224"/>
      <c r="BK427" s="224"/>
    </row>
    <row r="428" spans="1:63" collapsed="1">
      <c r="A428" s="9"/>
      <c r="B428" s="155"/>
      <c r="C428" s="26"/>
      <c r="D428" s="9"/>
      <c r="E428" s="9"/>
      <c r="F428" s="143"/>
      <c r="G428" s="206"/>
      <c r="H428" s="119"/>
      <c r="I428" s="119"/>
      <c r="J428" s="119"/>
      <c r="K428" s="119"/>
      <c r="L428" s="119"/>
      <c r="M428" s="9"/>
      <c r="N428" s="115"/>
      <c r="O428" s="154"/>
      <c r="P428" s="154"/>
      <c r="Q428" s="154"/>
      <c r="R428" s="104"/>
      <c r="S428" s="104"/>
      <c r="T428" s="104"/>
      <c r="U428" s="104"/>
      <c r="V428" s="104"/>
      <c r="W428" s="104"/>
      <c r="X428" s="104"/>
      <c r="Y428" s="104"/>
      <c r="Z428" s="104"/>
      <c r="AA428" s="231"/>
      <c r="AB428" s="231"/>
      <c r="AC428" s="231"/>
      <c r="AD428" s="231"/>
      <c r="AE428" s="231"/>
      <c r="AF428" s="231"/>
      <c r="AG428" s="231"/>
      <c r="AH428" s="231"/>
      <c r="AI428" s="231"/>
      <c r="AJ428" s="231"/>
      <c r="AK428" s="231"/>
      <c r="AL428" s="231"/>
      <c r="AM428" s="231"/>
      <c r="AN428" s="231"/>
      <c r="AO428" s="231"/>
      <c r="AP428" s="231"/>
      <c r="AQ428" s="231"/>
      <c r="AR428" s="231"/>
      <c r="AS428" s="231"/>
      <c r="AT428" s="231"/>
      <c r="AU428" s="231"/>
      <c r="AV428" s="231"/>
      <c r="AW428" s="231"/>
      <c r="AX428" s="231"/>
      <c r="AY428" s="231"/>
      <c r="AZ428" s="231"/>
      <c r="BA428" s="231"/>
      <c r="BB428" s="231"/>
      <c r="BC428" s="231"/>
      <c r="BD428" s="231"/>
      <c r="BE428" s="231"/>
      <c r="BF428" s="231"/>
      <c r="BG428" s="231"/>
      <c r="BH428" s="231"/>
      <c r="BI428" s="231"/>
      <c r="BJ428" s="224"/>
      <c r="BK428" s="224"/>
    </row>
    <row r="429" spans="1:63">
      <c r="A429" s="9"/>
      <c r="B429" s="335" t="s">
        <v>107</v>
      </c>
      <c r="C429" s="26"/>
      <c r="D429" s="9"/>
      <c r="E429" s="9"/>
      <c r="F429" s="143"/>
      <c r="G429" s="206"/>
      <c r="H429" s="119">
        <f t="shared" ref="H429:K429" si="6">SUM(H430,H432,H434,H436,H438,H440,H442,H444,H446,H448,H450,H452,H454,H456,H458,H460,H462,H464,H466,H468,H470,H472,H474,H476,H478,H480,H482,H484,H486,H488)</f>
        <v>0</v>
      </c>
      <c r="I429" s="119">
        <f t="shared" si="6"/>
        <v>0</v>
      </c>
      <c r="J429" s="119">
        <f t="shared" si="6"/>
        <v>0</v>
      </c>
      <c r="K429" s="119">
        <f t="shared" si="6"/>
        <v>0</v>
      </c>
      <c r="L429" s="119">
        <f>SUM(L430,L432,L434,L436,L438,L440,L442,L444,L446,L448,L450,L452,L454,L456,L458,L460,L462,L464,L466,L468,L470,L472,L474,L476,L478,L480,L482,L484,L486,L488)</f>
        <v>0</v>
      </c>
      <c r="M429" s="119">
        <f t="shared" ref="M429:Q429" si="7">SUM(M430,M432,M434,M436,M438,M440,M442,M444,M446,M448,M450,M452,M454,M456,M458,M460,M462,M464,M466,M468,M470,M472,M474,M476,M478,M480,M482,M484,M486,M488)</f>
        <v>0</v>
      </c>
      <c r="N429" s="119">
        <f t="shared" si="7"/>
        <v>0</v>
      </c>
      <c r="O429" s="119">
        <f t="shared" si="7"/>
        <v>0</v>
      </c>
      <c r="P429" s="119">
        <f t="shared" si="7"/>
        <v>0</v>
      </c>
      <c r="Q429" s="119">
        <f t="shared" si="7"/>
        <v>0</v>
      </c>
      <c r="R429" s="104"/>
      <c r="S429" s="104"/>
      <c r="T429" s="104"/>
      <c r="U429" s="104"/>
      <c r="V429" s="104"/>
      <c r="W429" s="104"/>
      <c r="X429" s="104"/>
      <c r="Y429" s="104"/>
      <c r="Z429" s="104"/>
      <c r="AA429" s="231"/>
      <c r="AB429" s="231"/>
      <c r="AC429" s="231"/>
      <c r="AD429" s="231"/>
      <c r="AE429" s="231"/>
      <c r="AF429" s="231"/>
      <c r="AG429" s="231"/>
      <c r="AH429" s="231"/>
      <c r="AI429" s="231"/>
      <c r="AJ429" s="231"/>
      <c r="AK429" s="231"/>
      <c r="AL429" s="231"/>
      <c r="AM429" s="231"/>
      <c r="AN429" s="231"/>
      <c r="AO429" s="231"/>
      <c r="AP429" s="231"/>
      <c r="AQ429" s="231"/>
      <c r="AR429" s="231"/>
      <c r="AS429" s="231"/>
      <c r="AT429" s="231"/>
      <c r="AU429" s="231"/>
      <c r="AV429" s="231"/>
      <c r="AW429" s="231"/>
      <c r="AX429" s="231"/>
      <c r="AY429" s="231"/>
      <c r="AZ429" s="231"/>
      <c r="BA429" s="231"/>
      <c r="BB429" s="231"/>
      <c r="BC429" s="231"/>
      <c r="BD429" s="231"/>
      <c r="BE429" s="231"/>
      <c r="BF429" s="231"/>
      <c r="BG429" s="231"/>
      <c r="BH429" s="231"/>
      <c r="BI429" s="231"/>
      <c r="BJ429" s="224"/>
      <c r="BK429" s="224"/>
    </row>
    <row r="430" spans="1:63" hidden="1" outlineLevel="1">
      <c r="A430" s="9"/>
      <c r="B430" s="44"/>
      <c r="C430" s="131" t="str">
        <f>Asset1</f>
        <v>Subtransmission</v>
      </c>
      <c r="D430" s="9"/>
      <c r="E430" s="9"/>
      <c r="F430" s="143"/>
      <c r="G430" s="206"/>
      <c r="H430" s="115">
        <f>($G398+(SUM($G430:G430)))*H$7</f>
        <v>0</v>
      </c>
      <c r="I430" s="115">
        <f>($G398+(SUM($G430:H430)))*I$7</f>
        <v>0</v>
      </c>
      <c r="J430" s="115">
        <f>($G398+(SUM($G430:I430)))*J$7</f>
        <v>0</v>
      </c>
      <c r="K430" s="115">
        <f>($G398+(SUM($G430:J430)))*K$7</f>
        <v>0</v>
      </c>
      <c r="L430" s="115">
        <f>($G398+(SUM($G430:K430)))*L$7</f>
        <v>0</v>
      </c>
      <c r="M430" s="115">
        <f>($G398+(SUM($G430:L430)))*M$7</f>
        <v>0</v>
      </c>
      <c r="N430" s="115">
        <f>($G398+(SUM($G430:M430)))*N$7</f>
        <v>0</v>
      </c>
      <c r="O430" s="115">
        <f>($G398+(SUM($G430:N430)))*O$7</f>
        <v>0</v>
      </c>
      <c r="P430" s="115">
        <f>($G398+(SUM($G430:O430)))*P$7</f>
        <v>0</v>
      </c>
      <c r="Q430" s="115">
        <f>($G398+(SUM($G430:P430)))*Q$7</f>
        <v>0</v>
      </c>
      <c r="R430" s="104"/>
      <c r="S430" s="104"/>
      <c r="T430" s="104"/>
      <c r="U430" s="104"/>
      <c r="V430" s="104"/>
      <c r="W430" s="104"/>
      <c r="X430" s="104"/>
      <c r="Y430" s="104"/>
      <c r="Z430" s="104"/>
      <c r="AA430" s="231"/>
      <c r="AB430" s="231"/>
      <c r="AC430" s="231"/>
      <c r="AD430" s="231"/>
      <c r="AE430" s="231"/>
      <c r="AF430" s="231"/>
      <c r="AG430" s="231"/>
      <c r="AH430" s="231"/>
      <c r="AI430" s="231"/>
      <c r="AJ430" s="231"/>
      <c r="AK430" s="231"/>
      <c r="AL430" s="231"/>
      <c r="AM430" s="231"/>
      <c r="AN430" s="231"/>
      <c r="AO430" s="231"/>
      <c r="AP430" s="231"/>
      <c r="AQ430" s="231"/>
      <c r="AR430" s="231"/>
      <c r="AS430" s="231"/>
      <c r="AT430" s="231"/>
      <c r="AU430" s="231"/>
      <c r="AV430" s="231"/>
      <c r="AW430" s="231"/>
      <c r="AX430" s="231"/>
      <c r="AY430" s="231"/>
      <c r="AZ430" s="231"/>
      <c r="BA430" s="231"/>
      <c r="BB430" s="231"/>
      <c r="BC430" s="231"/>
      <c r="BD430" s="231"/>
      <c r="BE430" s="231"/>
      <c r="BF430" s="231"/>
      <c r="BG430" s="231"/>
      <c r="BH430" s="231"/>
      <c r="BI430" s="231"/>
      <c r="BJ430" s="224"/>
      <c r="BK430" s="224"/>
    </row>
    <row r="431" spans="1:63" hidden="1" outlineLevel="1">
      <c r="A431" s="9"/>
      <c r="B431" s="44"/>
      <c r="C431" s="328" t="s">
        <v>6</v>
      </c>
      <c r="D431" s="9"/>
      <c r="E431" s="9"/>
      <c r="F431" s="143"/>
      <c r="G431" s="206"/>
      <c r="H431" s="115"/>
      <c r="I431" s="115"/>
      <c r="J431" s="115"/>
      <c r="K431" s="115"/>
      <c r="L431" s="115">
        <f>IF(M430=0, SUM($G430:L430), 0)</f>
        <v>0</v>
      </c>
      <c r="M431" s="115">
        <f>IF(N430=0, IF(M430=0, 0, SUM($G430:M430)), 0)</f>
        <v>0</v>
      </c>
      <c r="N431" s="115">
        <f>IF(O430=0, IF(N430=0, 0, SUM($G430:N430)), 0)</f>
        <v>0</v>
      </c>
      <c r="O431" s="115">
        <f>IF(P430=0, IF(O430=0, 0, SUM($G430:O430)), 0)</f>
        <v>0</v>
      </c>
      <c r="P431" s="115">
        <f>IF(Q430=0, IF(P430=0, 0, SUM($G430:P430)), 0)</f>
        <v>0</v>
      </c>
      <c r="Q431" s="115">
        <f>IF(R430=0, IF(Q430=0, 0, SUM($G430:Q430)), 0)</f>
        <v>0</v>
      </c>
      <c r="R431" s="104"/>
      <c r="S431" s="104"/>
      <c r="T431" s="104"/>
      <c r="U431" s="104"/>
      <c r="V431" s="104"/>
      <c r="W431" s="104"/>
      <c r="X431" s="104"/>
      <c r="Y431" s="104"/>
      <c r="Z431" s="104"/>
      <c r="AA431" s="231"/>
      <c r="AB431" s="231"/>
      <c r="AC431" s="231"/>
      <c r="AD431" s="231"/>
      <c r="AE431" s="231"/>
      <c r="AF431" s="231"/>
      <c r="AG431" s="231"/>
      <c r="AH431" s="231"/>
      <c r="AI431" s="231"/>
      <c r="AJ431" s="231"/>
      <c r="AK431" s="231"/>
      <c r="AL431" s="231"/>
      <c r="AM431" s="231"/>
      <c r="AN431" s="231"/>
      <c r="AO431" s="231"/>
      <c r="AP431" s="231"/>
      <c r="AQ431" s="231"/>
      <c r="AR431" s="231"/>
      <c r="AS431" s="231"/>
      <c r="AT431" s="231"/>
      <c r="AU431" s="231"/>
      <c r="AV431" s="231"/>
      <c r="AW431" s="231"/>
      <c r="AX431" s="231"/>
      <c r="AY431" s="231"/>
      <c r="AZ431" s="231"/>
      <c r="BA431" s="231"/>
      <c r="BB431" s="231"/>
      <c r="BC431" s="231"/>
      <c r="BD431" s="231"/>
      <c r="BE431" s="231"/>
      <c r="BF431" s="231"/>
      <c r="BG431" s="231"/>
      <c r="BH431" s="231"/>
      <c r="BI431" s="231"/>
      <c r="BJ431" s="224"/>
      <c r="BK431" s="224"/>
    </row>
    <row r="432" spans="1:63" hidden="1" outlineLevel="1">
      <c r="A432" s="9"/>
      <c r="B432" s="44"/>
      <c r="C432" s="131" t="str">
        <f>Asset2</f>
        <v>Distribution system assets</v>
      </c>
      <c r="D432" s="9"/>
      <c r="E432" s="9"/>
      <c r="F432" s="143"/>
      <c r="G432" s="206"/>
      <c r="H432" s="115">
        <f>($G399+(SUM($G432:G432)))*H$7</f>
        <v>0</v>
      </c>
      <c r="I432" s="115">
        <f>($G399+(SUM($G432:H432)))*I$7</f>
        <v>0</v>
      </c>
      <c r="J432" s="115">
        <f>($G399+(SUM($G432:I432)))*J$7</f>
        <v>0</v>
      </c>
      <c r="K432" s="115">
        <f>($G399+(SUM($G432:J432)))*K$7</f>
        <v>0</v>
      </c>
      <c r="L432" s="115">
        <f>($G399+(SUM($G432:K432)))*L$7</f>
        <v>0</v>
      </c>
      <c r="M432" s="115">
        <f>($G399+(SUM($G432:L432)))*M$7</f>
        <v>0</v>
      </c>
      <c r="N432" s="115">
        <f>($G399+(SUM($G432:M432)))*N$7</f>
        <v>0</v>
      </c>
      <c r="O432" s="115">
        <f>($G399+(SUM($G432:N432)))*O$7</f>
        <v>0</v>
      </c>
      <c r="P432" s="115">
        <f>($G399+(SUM($G432:O432)))*P$7</f>
        <v>0</v>
      </c>
      <c r="Q432" s="115">
        <f>($G399+(SUM($G432:P432)))*Q$7</f>
        <v>0</v>
      </c>
      <c r="R432" s="104"/>
      <c r="S432" s="104"/>
      <c r="T432" s="104"/>
      <c r="U432" s="104"/>
      <c r="V432" s="104"/>
      <c r="W432" s="104"/>
      <c r="X432" s="104"/>
      <c r="Y432" s="104"/>
      <c r="Z432" s="104"/>
      <c r="AA432" s="231"/>
      <c r="AB432" s="231"/>
      <c r="AC432" s="231"/>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24"/>
      <c r="BK432" s="224"/>
    </row>
    <row r="433" spans="1:63" hidden="1" outlineLevel="1">
      <c r="A433" s="9"/>
      <c r="B433" s="44"/>
      <c r="C433" s="328" t="s">
        <v>6</v>
      </c>
      <c r="D433" s="9"/>
      <c r="E433" s="9"/>
      <c r="F433" s="143"/>
      <c r="G433" s="206"/>
      <c r="H433" s="115"/>
      <c r="I433" s="115"/>
      <c r="J433" s="115"/>
      <c r="K433" s="115"/>
      <c r="L433" s="115">
        <f>IF(M432=0, SUM($G432:L432), 0)</f>
        <v>0</v>
      </c>
      <c r="M433" s="115">
        <f>IF(N432=0, IF(M432=0, 0, SUM($G432:M432)), 0)</f>
        <v>0</v>
      </c>
      <c r="N433" s="115">
        <f>IF(O432=0, IF(N432=0, 0, SUM($G432:N432)), 0)</f>
        <v>0</v>
      </c>
      <c r="O433" s="115">
        <f>IF(P432=0, IF(O432=0, 0, SUM($G432:O432)), 0)</f>
        <v>0</v>
      </c>
      <c r="P433" s="115">
        <f>IF(Q432=0, IF(P432=0, 0, SUM($G432:P432)), 0)</f>
        <v>0</v>
      </c>
      <c r="Q433" s="115">
        <f>IF(R432=0, IF(Q432=0, 0, SUM($G432:Q432)), 0)</f>
        <v>0</v>
      </c>
      <c r="R433" s="104"/>
      <c r="S433" s="104"/>
      <c r="T433" s="104"/>
      <c r="U433" s="104"/>
      <c r="V433" s="104"/>
      <c r="W433" s="104"/>
      <c r="X433" s="104"/>
      <c r="Y433" s="104"/>
      <c r="Z433" s="104"/>
      <c r="AA433" s="231"/>
      <c r="AB433" s="231"/>
      <c r="AC433" s="231"/>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24"/>
      <c r="BK433" s="224"/>
    </row>
    <row r="434" spans="1:63" hidden="1" outlineLevel="1">
      <c r="A434" s="9"/>
      <c r="B434" s="44"/>
      <c r="C434" s="131" t="str">
        <f>Asset3</f>
        <v>Standard metering</v>
      </c>
      <c r="D434" s="9"/>
      <c r="E434" s="9"/>
      <c r="F434" s="143"/>
      <c r="G434" s="206"/>
      <c r="H434" s="115">
        <f>($G400+(SUM($G434:G434)))*H$7</f>
        <v>0</v>
      </c>
      <c r="I434" s="115">
        <f>($G400+(SUM($G434:H434)))*I$7</f>
        <v>0</v>
      </c>
      <c r="J434" s="115">
        <f>($G400+(SUM($G434:I434)))*J$7</f>
        <v>0</v>
      </c>
      <c r="K434" s="115">
        <f>($G400+(SUM($G434:J434)))*K$7</f>
        <v>0</v>
      </c>
      <c r="L434" s="115">
        <f>($G400+(SUM($G434:K434)))*L$7</f>
        <v>0</v>
      </c>
      <c r="M434" s="115">
        <f>($G400+(SUM($G434:L434)))*M$7</f>
        <v>0</v>
      </c>
      <c r="N434" s="115">
        <f>($G400+(SUM($G434:M434)))*N$7</f>
        <v>0</v>
      </c>
      <c r="O434" s="115">
        <f>($G400+(SUM($G434:N434)))*O$7</f>
        <v>0</v>
      </c>
      <c r="P434" s="115">
        <f>($G400+(SUM($G434:O434)))*P$7</f>
        <v>0</v>
      </c>
      <c r="Q434" s="115">
        <f>($G400+(SUM($G434:P434)))*Q$7</f>
        <v>0</v>
      </c>
      <c r="R434" s="104"/>
      <c r="S434" s="104"/>
      <c r="T434" s="104"/>
      <c r="U434" s="104"/>
      <c r="V434" s="104"/>
      <c r="W434" s="104"/>
      <c r="X434" s="104"/>
      <c r="Y434" s="104"/>
      <c r="Z434" s="104"/>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24"/>
      <c r="BK434" s="224"/>
    </row>
    <row r="435" spans="1:63" hidden="1" outlineLevel="1">
      <c r="A435" s="9"/>
      <c r="B435" s="44"/>
      <c r="C435" s="328" t="s">
        <v>6</v>
      </c>
      <c r="D435" s="9"/>
      <c r="E435" s="9"/>
      <c r="F435" s="143"/>
      <c r="G435" s="206"/>
      <c r="H435" s="115"/>
      <c r="I435" s="115"/>
      <c r="J435" s="115"/>
      <c r="K435" s="115"/>
      <c r="L435" s="115">
        <f>IF(M434=0, SUM($G434:L434), 0)</f>
        <v>0</v>
      </c>
      <c r="M435" s="115">
        <f>IF(N434=0, IF(M434=0, 0, SUM($G434:M434)), 0)</f>
        <v>0</v>
      </c>
      <c r="N435" s="115">
        <f>IF(O434=0, IF(N434=0, 0, SUM($G434:N434)), 0)</f>
        <v>0</v>
      </c>
      <c r="O435" s="115">
        <f>IF(P434=0, IF(O434=0, 0, SUM($G434:O434)), 0)</f>
        <v>0</v>
      </c>
      <c r="P435" s="115">
        <f>IF(Q434=0, IF(P434=0, 0, SUM($G434:P434)), 0)</f>
        <v>0</v>
      </c>
      <c r="Q435" s="115">
        <f>IF(R434=0, IF(Q434=0, 0, SUM($G434:Q434)), 0)</f>
        <v>0</v>
      </c>
      <c r="R435" s="104"/>
      <c r="S435" s="104"/>
      <c r="T435" s="104"/>
      <c r="U435" s="104"/>
      <c r="V435" s="104"/>
      <c r="W435" s="104"/>
      <c r="X435" s="104"/>
      <c r="Y435" s="104"/>
      <c r="Z435" s="104"/>
      <c r="AA435" s="231"/>
      <c r="AB435" s="231"/>
      <c r="AC435" s="231"/>
      <c r="AD435" s="231"/>
      <c r="AE435" s="231"/>
      <c r="AF435" s="231"/>
      <c r="AG435" s="231"/>
      <c r="AH435" s="231"/>
      <c r="AI435" s="231"/>
      <c r="AJ435" s="231"/>
      <c r="AK435" s="231"/>
      <c r="AL435" s="231"/>
      <c r="AM435" s="231"/>
      <c r="AN435" s="231"/>
      <c r="AO435" s="231"/>
      <c r="AP435" s="231"/>
      <c r="AQ435" s="231"/>
      <c r="AR435" s="231"/>
      <c r="AS435" s="231"/>
      <c r="AT435" s="231"/>
      <c r="AU435" s="231"/>
      <c r="AV435" s="231"/>
      <c r="AW435" s="231"/>
      <c r="AX435" s="231"/>
      <c r="AY435" s="231"/>
      <c r="AZ435" s="231"/>
      <c r="BA435" s="231"/>
      <c r="BB435" s="231"/>
      <c r="BC435" s="231"/>
      <c r="BD435" s="231"/>
      <c r="BE435" s="231"/>
      <c r="BF435" s="231"/>
      <c r="BG435" s="231"/>
      <c r="BH435" s="231"/>
      <c r="BI435" s="231"/>
      <c r="BJ435" s="224"/>
      <c r="BK435" s="224"/>
    </row>
    <row r="436" spans="1:63" hidden="1" outlineLevel="1">
      <c r="A436" s="9"/>
      <c r="B436" s="44"/>
      <c r="C436" s="131" t="str">
        <f>Asset4</f>
        <v>Public lighting</v>
      </c>
      <c r="D436" s="9"/>
      <c r="E436" s="9"/>
      <c r="F436" s="143"/>
      <c r="G436" s="206"/>
      <c r="H436" s="115">
        <f>($G401+(SUM($G436:G436)))*H$7</f>
        <v>0</v>
      </c>
      <c r="I436" s="115">
        <f>($G401+(SUM($G436:H436)))*I$7</f>
        <v>0</v>
      </c>
      <c r="J436" s="115">
        <f>($G401+(SUM($G436:I436)))*J$7</f>
        <v>0</v>
      </c>
      <c r="K436" s="115">
        <f>($G401+(SUM($G436:J436)))*K$7</f>
        <v>0</v>
      </c>
      <c r="L436" s="115">
        <f>($G401+(SUM($G436:K436)))*L$7</f>
        <v>0</v>
      </c>
      <c r="M436" s="115">
        <f>($G401+(SUM($G436:L436)))*M$7</f>
        <v>0</v>
      </c>
      <c r="N436" s="115">
        <f>($G401+(SUM($G436:M436)))*N$7</f>
        <v>0</v>
      </c>
      <c r="O436" s="115">
        <f>($G401+(SUM($G436:N436)))*O$7</f>
        <v>0</v>
      </c>
      <c r="P436" s="115">
        <f>($G401+(SUM($G436:O436)))*P$7</f>
        <v>0</v>
      </c>
      <c r="Q436" s="115">
        <f>($G401+(SUM($G436:P436)))*Q$7</f>
        <v>0</v>
      </c>
      <c r="R436" s="104"/>
      <c r="S436" s="104"/>
      <c r="T436" s="104"/>
      <c r="U436" s="104"/>
      <c r="V436" s="104"/>
      <c r="W436" s="104"/>
      <c r="X436" s="104"/>
      <c r="Y436" s="104"/>
      <c r="Z436" s="104"/>
      <c r="AA436" s="231"/>
      <c r="AB436" s="231"/>
      <c r="AC436" s="231"/>
      <c r="AD436" s="231"/>
      <c r="AE436" s="231"/>
      <c r="AF436" s="231"/>
      <c r="AG436" s="231"/>
      <c r="AH436" s="231"/>
      <c r="AI436" s="231"/>
      <c r="AJ436" s="231"/>
      <c r="AK436" s="231"/>
      <c r="AL436" s="231"/>
      <c r="AM436" s="231"/>
      <c r="AN436" s="231"/>
      <c r="AO436" s="231"/>
      <c r="AP436" s="231"/>
      <c r="AQ436" s="231"/>
      <c r="AR436" s="231"/>
      <c r="AS436" s="231"/>
      <c r="AT436" s="231"/>
      <c r="AU436" s="231"/>
      <c r="AV436" s="231"/>
      <c r="AW436" s="231"/>
      <c r="AX436" s="231"/>
      <c r="AY436" s="231"/>
      <c r="AZ436" s="231"/>
      <c r="BA436" s="231"/>
      <c r="BB436" s="231"/>
      <c r="BC436" s="231"/>
      <c r="BD436" s="231"/>
      <c r="BE436" s="231"/>
      <c r="BF436" s="231"/>
      <c r="BG436" s="231"/>
      <c r="BH436" s="231"/>
      <c r="BI436" s="231"/>
      <c r="BJ436" s="224"/>
      <c r="BK436" s="224"/>
    </row>
    <row r="437" spans="1:63" hidden="1" outlineLevel="1">
      <c r="A437" s="9"/>
      <c r="B437" s="44"/>
      <c r="C437" s="328" t="s">
        <v>6</v>
      </c>
      <c r="D437" s="9"/>
      <c r="E437" s="9"/>
      <c r="F437" s="143"/>
      <c r="G437" s="206"/>
      <c r="H437" s="115"/>
      <c r="I437" s="115"/>
      <c r="J437" s="115"/>
      <c r="K437" s="115"/>
      <c r="L437" s="115">
        <f>IF(M436=0, SUM($G436:L436), 0)</f>
        <v>0</v>
      </c>
      <c r="M437" s="115">
        <f>IF(N436=0, IF(M436=0, 0, SUM($G436:M436)), 0)</f>
        <v>0</v>
      </c>
      <c r="N437" s="115">
        <f>IF(O436=0, IF(N436=0, 0, SUM($G436:N436)), 0)</f>
        <v>0</v>
      </c>
      <c r="O437" s="115">
        <f>IF(P436=0, IF(O436=0, 0, SUM($G436:O436)), 0)</f>
        <v>0</v>
      </c>
      <c r="P437" s="115">
        <f>IF(Q436=0, IF(P436=0, 0, SUM($G436:P436)), 0)</f>
        <v>0</v>
      </c>
      <c r="Q437" s="115">
        <f>IF(R436=0, IF(Q436=0, 0, SUM($G436:Q436)), 0)</f>
        <v>0</v>
      </c>
      <c r="R437" s="104"/>
      <c r="S437" s="104"/>
      <c r="T437" s="104"/>
      <c r="U437" s="104"/>
      <c r="V437" s="104"/>
      <c r="W437" s="104"/>
      <c r="X437" s="104"/>
      <c r="Y437" s="104"/>
      <c r="Z437" s="104"/>
      <c r="AA437" s="231"/>
      <c r="AB437" s="231"/>
      <c r="AC437" s="231"/>
      <c r="AD437" s="231"/>
      <c r="AE437" s="231"/>
      <c r="AF437" s="231"/>
      <c r="AG437" s="231"/>
      <c r="AH437" s="231"/>
      <c r="AI437" s="231"/>
      <c r="AJ437" s="231"/>
      <c r="AK437" s="231"/>
      <c r="AL437" s="231"/>
      <c r="AM437" s="231"/>
      <c r="AN437" s="231"/>
      <c r="AO437" s="231"/>
      <c r="AP437" s="231"/>
      <c r="AQ437" s="231"/>
      <c r="AR437" s="231"/>
      <c r="AS437" s="231"/>
      <c r="AT437" s="231"/>
      <c r="AU437" s="231"/>
      <c r="AV437" s="231"/>
      <c r="AW437" s="231"/>
      <c r="AX437" s="231"/>
      <c r="AY437" s="231"/>
      <c r="AZ437" s="231"/>
      <c r="BA437" s="231"/>
      <c r="BB437" s="231"/>
      <c r="BC437" s="231"/>
      <c r="BD437" s="231"/>
      <c r="BE437" s="231"/>
      <c r="BF437" s="231"/>
      <c r="BG437" s="231"/>
      <c r="BH437" s="231"/>
      <c r="BI437" s="231"/>
      <c r="BJ437" s="224"/>
      <c r="BK437" s="224"/>
    </row>
    <row r="438" spans="1:63" hidden="1" outlineLevel="1">
      <c r="A438" s="9"/>
      <c r="B438" s="44"/>
      <c r="C438" s="131" t="str">
        <f>Asset5</f>
        <v>SCADA/Network control</v>
      </c>
      <c r="D438" s="9"/>
      <c r="E438" s="9"/>
      <c r="F438" s="143"/>
      <c r="G438" s="206"/>
      <c r="H438" s="115">
        <f>($G402+(SUM($G438:G438)))*H$7</f>
        <v>0</v>
      </c>
      <c r="I438" s="115">
        <f>($G402+(SUM($G438:H438)))*I$7</f>
        <v>0</v>
      </c>
      <c r="J438" s="115">
        <f>($G402+(SUM($G438:I438)))*J$7</f>
        <v>0</v>
      </c>
      <c r="K438" s="115">
        <f>($G402+(SUM($G438:J438)))*K$7</f>
        <v>0</v>
      </c>
      <c r="L438" s="115">
        <f>($G402+(SUM($G438:K438)))*L$7</f>
        <v>0</v>
      </c>
      <c r="M438" s="115">
        <f>($G402+(SUM($G438:L438)))*M$7</f>
        <v>0</v>
      </c>
      <c r="N438" s="115">
        <f>($G402+(SUM($G438:M438)))*N$7</f>
        <v>0</v>
      </c>
      <c r="O438" s="115">
        <f>($G402+(SUM($G438:N438)))*O$7</f>
        <v>0</v>
      </c>
      <c r="P438" s="115">
        <f>($G402+(SUM($G438:O438)))*P$7</f>
        <v>0</v>
      </c>
      <c r="Q438" s="115">
        <f>($G402+(SUM($G438:P438)))*Q$7</f>
        <v>0</v>
      </c>
      <c r="R438" s="104"/>
      <c r="S438" s="104"/>
      <c r="T438" s="104"/>
      <c r="U438" s="104"/>
      <c r="V438" s="104"/>
      <c r="W438" s="104"/>
      <c r="X438" s="104"/>
      <c r="Y438" s="104"/>
      <c r="Z438" s="104"/>
      <c r="AA438" s="231"/>
      <c r="AB438" s="231"/>
      <c r="AC438" s="231"/>
      <c r="AD438" s="231"/>
      <c r="AE438" s="231"/>
      <c r="AF438" s="231"/>
      <c r="AG438" s="231"/>
      <c r="AH438" s="231"/>
      <c r="AI438" s="231"/>
      <c r="AJ438" s="231"/>
      <c r="AK438" s="231"/>
      <c r="AL438" s="231"/>
      <c r="AM438" s="231"/>
      <c r="AN438" s="231"/>
      <c r="AO438" s="231"/>
      <c r="AP438" s="231"/>
      <c r="AQ438" s="231"/>
      <c r="AR438" s="231"/>
      <c r="AS438" s="231"/>
      <c r="AT438" s="231"/>
      <c r="AU438" s="231"/>
      <c r="AV438" s="231"/>
      <c r="AW438" s="231"/>
      <c r="AX438" s="231"/>
      <c r="AY438" s="231"/>
      <c r="AZ438" s="231"/>
      <c r="BA438" s="231"/>
      <c r="BB438" s="231"/>
      <c r="BC438" s="231"/>
      <c r="BD438" s="231"/>
      <c r="BE438" s="231"/>
      <c r="BF438" s="231"/>
      <c r="BG438" s="231"/>
      <c r="BH438" s="231"/>
      <c r="BI438" s="231"/>
      <c r="BJ438" s="224"/>
      <c r="BK438" s="224"/>
    </row>
    <row r="439" spans="1:63" hidden="1" outlineLevel="1">
      <c r="A439" s="9"/>
      <c r="B439" s="44"/>
      <c r="C439" s="328" t="s">
        <v>6</v>
      </c>
      <c r="D439" s="9"/>
      <c r="E439" s="9"/>
      <c r="F439" s="143"/>
      <c r="G439" s="206"/>
      <c r="H439" s="115"/>
      <c r="I439" s="115"/>
      <c r="J439" s="115"/>
      <c r="K439" s="115"/>
      <c r="L439" s="115">
        <f>IF(M438=0, SUM($G438:L438), 0)</f>
        <v>0</v>
      </c>
      <c r="M439" s="115">
        <f>IF(N438=0, IF(M438=0, 0, SUM($G438:M438)), 0)</f>
        <v>0</v>
      </c>
      <c r="N439" s="115">
        <f>IF(O438=0, IF(N438=0, 0, SUM($G438:N438)), 0)</f>
        <v>0</v>
      </c>
      <c r="O439" s="115">
        <f>IF(P438=0, IF(O438=0, 0, SUM($G438:O438)), 0)</f>
        <v>0</v>
      </c>
      <c r="P439" s="115">
        <f>IF(Q438=0, IF(P438=0, 0, SUM($G438:P438)), 0)</f>
        <v>0</v>
      </c>
      <c r="Q439" s="115">
        <f>IF(R438=0, IF(Q438=0, 0, SUM($G438:Q438)), 0)</f>
        <v>0</v>
      </c>
      <c r="R439" s="104"/>
      <c r="S439" s="104"/>
      <c r="T439" s="104"/>
      <c r="U439" s="104"/>
      <c r="V439" s="104"/>
      <c r="W439" s="104"/>
      <c r="X439" s="104"/>
      <c r="Y439" s="104"/>
      <c r="Z439" s="104"/>
      <c r="AA439" s="23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231"/>
      <c r="BE439" s="231"/>
      <c r="BF439" s="231"/>
      <c r="BG439" s="231"/>
      <c r="BH439" s="231"/>
      <c r="BI439" s="231"/>
      <c r="BJ439" s="224"/>
      <c r="BK439" s="224"/>
    </row>
    <row r="440" spans="1:63" hidden="1" outlineLevel="1">
      <c r="A440" s="9"/>
      <c r="B440" s="44"/>
      <c r="C440" s="131" t="str">
        <f>Asset6</f>
        <v>Non-network general assets - IT</v>
      </c>
      <c r="D440" s="9"/>
      <c r="E440" s="9"/>
      <c r="F440" s="143"/>
      <c r="G440" s="206"/>
      <c r="H440" s="115">
        <f>($G403+(SUM($G440:G440)))*H$7</f>
        <v>0</v>
      </c>
      <c r="I440" s="115">
        <f>($G403+(SUM($G440:H440)))*I$7</f>
        <v>0</v>
      </c>
      <c r="J440" s="115">
        <f>($G403+(SUM($G440:I440)))*J$7</f>
        <v>0</v>
      </c>
      <c r="K440" s="115">
        <f>($G403+(SUM($G440:J440)))*K$7</f>
        <v>0</v>
      </c>
      <c r="L440" s="115">
        <f>($G403+(SUM($G440:K440)))*L$7</f>
        <v>0</v>
      </c>
      <c r="M440" s="115">
        <f>($G403+(SUM($G440:L440)))*M$7</f>
        <v>0</v>
      </c>
      <c r="N440" s="115">
        <f>($G403+(SUM($G440:M440)))*N$7</f>
        <v>0</v>
      </c>
      <c r="O440" s="115">
        <f>($G403+(SUM($G440:N440)))*O$7</f>
        <v>0</v>
      </c>
      <c r="P440" s="115">
        <f>($G403+(SUM($G440:O440)))*P$7</f>
        <v>0</v>
      </c>
      <c r="Q440" s="115">
        <f>($G403+(SUM($G440:P440)))*Q$7</f>
        <v>0</v>
      </c>
      <c r="R440" s="104"/>
      <c r="S440" s="104"/>
      <c r="T440" s="104"/>
      <c r="U440" s="104"/>
      <c r="V440" s="104"/>
      <c r="W440" s="104"/>
      <c r="X440" s="104"/>
      <c r="Y440" s="104"/>
      <c r="Z440" s="104"/>
      <c r="AA440" s="23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231"/>
      <c r="BE440" s="231"/>
      <c r="BF440" s="231"/>
      <c r="BG440" s="231"/>
      <c r="BH440" s="231"/>
      <c r="BI440" s="231"/>
      <c r="BJ440" s="224"/>
      <c r="BK440" s="224"/>
    </row>
    <row r="441" spans="1:63" hidden="1" outlineLevel="1">
      <c r="A441" s="9"/>
      <c r="B441" s="44"/>
      <c r="C441" s="328" t="s">
        <v>6</v>
      </c>
      <c r="D441" s="9"/>
      <c r="E441" s="9"/>
      <c r="F441" s="143"/>
      <c r="G441" s="206"/>
      <c r="H441" s="115"/>
      <c r="I441" s="115"/>
      <c r="J441" s="115"/>
      <c r="K441" s="115"/>
      <c r="L441" s="115">
        <f>IF(M440=0, SUM($G440:L440), 0)</f>
        <v>0</v>
      </c>
      <c r="M441" s="115">
        <f>IF(N440=0, IF(M440=0, 0, SUM($G440:M440)), 0)</f>
        <v>0</v>
      </c>
      <c r="N441" s="115">
        <f>IF(O440=0, IF(N440=0, 0, SUM($G440:N440)), 0)</f>
        <v>0</v>
      </c>
      <c r="O441" s="115">
        <f>IF(P440=0, IF(O440=0, 0, SUM($G440:O440)), 0)</f>
        <v>0</v>
      </c>
      <c r="P441" s="115">
        <f>IF(Q440=0, IF(P440=0, 0, SUM($G440:P440)), 0)</f>
        <v>0</v>
      </c>
      <c r="Q441" s="115">
        <f>IF(R440=0, IF(Q440=0, 0, SUM($G440:Q440)), 0)</f>
        <v>0</v>
      </c>
      <c r="R441" s="104"/>
      <c r="S441" s="104"/>
      <c r="T441" s="104"/>
      <c r="U441" s="104"/>
      <c r="V441" s="104"/>
      <c r="W441" s="104"/>
      <c r="X441" s="104"/>
      <c r="Y441" s="104"/>
      <c r="Z441" s="104"/>
      <c r="AA441" s="23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231"/>
      <c r="BE441" s="231"/>
      <c r="BF441" s="231"/>
      <c r="BG441" s="231"/>
      <c r="BH441" s="231"/>
      <c r="BI441" s="231"/>
      <c r="BJ441" s="224"/>
      <c r="BK441" s="224"/>
    </row>
    <row r="442" spans="1:63" hidden="1" outlineLevel="1">
      <c r="A442" s="9"/>
      <c r="B442" s="44"/>
      <c r="C442" s="131" t="str">
        <f>Asset7</f>
        <v>Non-network general assets - Other</v>
      </c>
      <c r="D442" s="9"/>
      <c r="E442" s="9"/>
      <c r="F442" s="143"/>
      <c r="G442" s="206"/>
      <c r="H442" s="115">
        <f>($G404+(SUM($G442:G442)))*H$7</f>
        <v>0</v>
      </c>
      <c r="I442" s="115">
        <f>($G404+(SUM($G442:H442)))*I$7</f>
        <v>0</v>
      </c>
      <c r="J442" s="115">
        <f>($G404+(SUM($G442:I442)))*J$7</f>
        <v>0</v>
      </c>
      <c r="K442" s="115">
        <f>($G404+(SUM($G442:J442)))*K$7</f>
        <v>0</v>
      </c>
      <c r="L442" s="115">
        <f>($G404+(SUM($G442:K442)))*L$7</f>
        <v>0</v>
      </c>
      <c r="M442" s="115">
        <f>($G404+(SUM($G442:L442)))*M$7</f>
        <v>0</v>
      </c>
      <c r="N442" s="115">
        <f>($G404+(SUM($G442:M442)))*N$7</f>
        <v>0</v>
      </c>
      <c r="O442" s="115">
        <f>($G404+(SUM($G442:N442)))*O$7</f>
        <v>0</v>
      </c>
      <c r="P442" s="115">
        <f>($G404+(SUM($G442:O442)))*P$7</f>
        <v>0</v>
      </c>
      <c r="Q442" s="115">
        <f>($G404+(SUM($G442:P442)))*Q$7</f>
        <v>0</v>
      </c>
      <c r="R442" s="104"/>
      <c r="S442" s="104"/>
      <c r="T442" s="104"/>
      <c r="U442" s="104"/>
      <c r="V442" s="104"/>
      <c r="W442" s="104"/>
      <c r="X442" s="104"/>
      <c r="Y442" s="104"/>
      <c r="Z442" s="104"/>
      <c r="AA442" s="23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231"/>
      <c r="BE442" s="231"/>
      <c r="BF442" s="231"/>
      <c r="BG442" s="231"/>
      <c r="BH442" s="231"/>
      <c r="BI442" s="231"/>
      <c r="BJ442" s="224"/>
      <c r="BK442" s="224"/>
    </row>
    <row r="443" spans="1:63" hidden="1" outlineLevel="1">
      <c r="A443" s="9"/>
      <c r="B443" s="44"/>
      <c r="C443" s="328" t="s">
        <v>6</v>
      </c>
      <c r="D443" s="9"/>
      <c r="E443" s="9"/>
      <c r="F443" s="143"/>
      <c r="G443" s="206"/>
      <c r="H443" s="115"/>
      <c r="I443" s="115"/>
      <c r="J443" s="115"/>
      <c r="K443" s="115"/>
      <c r="L443" s="115">
        <f>IF(M442=0, SUM($G442:L442), 0)</f>
        <v>0</v>
      </c>
      <c r="M443" s="115">
        <f>IF(N442=0, IF(M442=0, 0, SUM($G442:M442)), 0)</f>
        <v>0</v>
      </c>
      <c r="N443" s="115">
        <f>IF(O442=0, IF(N442=0, 0, SUM($G442:N442)), 0)</f>
        <v>0</v>
      </c>
      <c r="O443" s="115">
        <f>IF(P442=0, IF(O442=0, 0, SUM($G442:O442)), 0)</f>
        <v>0</v>
      </c>
      <c r="P443" s="115">
        <f>IF(Q442=0, IF(P442=0, 0, SUM($G442:P442)), 0)</f>
        <v>0</v>
      </c>
      <c r="Q443" s="115">
        <f>IF(R442=0, IF(Q442=0, 0, SUM($G442:Q442)), 0)</f>
        <v>0</v>
      </c>
      <c r="R443" s="104"/>
      <c r="S443" s="104"/>
      <c r="T443" s="104"/>
      <c r="U443" s="104"/>
      <c r="V443" s="104"/>
      <c r="W443" s="104"/>
      <c r="X443" s="104"/>
      <c r="Y443" s="104"/>
      <c r="Z443" s="104"/>
      <c r="AA443" s="231"/>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231"/>
      <c r="BE443" s="231"/>
      <c r="BF443" s="231"/>
      <c r="BG443" s="231"/>
      <c r="BH443" s="231"/>
      <c r="BI443" s="231"/>
      <c r="BJ443" s="224"/>
      <c r="BK443" s="224"/>
    </row>
    <row r="444" spans="1:63" hidden="1" outlineLevel="1">
      <c r="A444" s="9"/>
      <c r="B444" s="44"/>
      <c r="C444" s="131" t="str">
        <f>Asset8</f>
        <v>Equity Raising Costs</v>
      </c>
      <c r="D444" s="9"/>
      <c r="E444" s="9"/>
      <c r="F444" s="143"/>
      <c r="G444" s="206"/>
      <c r="H444" s="115">
        <f>($G405+(SUM($G444:G444)))*H$7</f>
        <v>0</v>
      </c>
      <c r="I444" s="115">
        <f>($G405+(SUM($G444:H444)))*I$7</f>
        <v>0</v>
      </c>
      <c r="J444" s="115">
        <f>($G405+(SUM($G444:I444)))*J$7</f>
        <v>0</v>
      </c>
      <c r="K444" s="115">
        <f>($G405+(SUM($G444:J444)))*K$7</f>
        <v>0</v>
      </c>
      <c r="L444" s="115">
        <f>($G405+(SUM($G444:K444)))*L$7</f>
        <v>0</v>
      </c>
      <c r="M444" s="115">
        <f>($G405+(SUM($G444:L444)))*M$7</f>
        <v>0</v>
      </c>
      <c r="N444" s="115">
        <f>($G405+(SUM($G444:M444)))*N$7</f>
        <v>0</v>
      </c>
      <c r="O444" s="115">
        <f>($G405+(SUM($G444:N444)))*O$7</f>
        <v>0</v>
      </c>
      <c r="P444" s="115">
        <f>($G405+(SUM($G444:O444)))*P$7</f>
        <v>0</v>
      </c>
      <c r="Q444" s="115">
        <f>($G405+(SUM($G444:P444)))*Q$7</f>
        <v>0</v>
      </c>
      <c r="R444" s="104"/>
      <c r="S444" s="104"/>
      <c r="T444" s="104"/>
      <c r="U444" s="104"/>
      <c r="V444" s="104"/>
      <c r="W444" s="104"/>
      <c r="X444" s="104"/>
      <c r="Y444" s="104"/>
      <c r="Z444" s="104"/>
      <c r="AA444" s="231"/>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231"/>
      <c r="BE444" s="231"/>
      <c r="BF444" s="231"/>
      <c r="BG444" s="231"/>
      <c r="BH444" s="231"/>
      <c r="BI444" s="231"/>
      <c r="BJ444" s="224"/>
      <c r="BK444" s="224"/>
    </row>
    <row r="445" spans="1:63" hidden="1" outlineLevel="1">
      <c r="A445" s="9"/>
      <c r="B445" s="44"/>
      <c r="C445" s="328" t="s">
        <v>6</v>
      </c>
      <c r="D445" s="9"/>
      <c r="E445" s="9"/>
      <c r="F445" s="143"/>
      <c r="G445" s="206"/>
      <c r="H445" s="115"/>
      <c r="I445" s="115"/>
      <c r="J445" s="115"/>
      <c r="K445" s="115"/>
      <c r="L445" s="115">
        <f>IF(M444=0, SUM($G444:L444), 0)</f>
        <v>0</v>
      </c>
      <c r="M445" s="115">
        <f>IF(N444=0, IF(M444=0, 0, SUM($G444:M444)), 0)</f>
        <v>0</v>
      </c>
      <c r="N445" s="115">
        <f>IF(O444=0, IF(N444=0, 0, SUM($G444:N444)), 0)</f>
        <v>0</v>
      </c>
      <c r="O445" s="115">
        <f>IF(P444=0, IF(O444=0, 0, SUM($G444:O444)), 0)</f>
        <v>0</v>
      </c>
      <c r="P445" s="115">
        <f>IF(Q444=0, IF(P444=0, 0, SUM($G444:P444)), 0)</f>
        <v>0</v>
      </c>
      <c r="Q445" s="115">
        <f>IF(R444=0, IF(Q444=0, 0, SUM($G444:Q444)), 0)</f>
        <v>0</v>
      </c>
      <c r="R445" s="104"/>
      <c r="S445" s="104"/>
      <c r="T445" s="104"/>
      <c r="U445" s="104"/>
      <c r="V445" s="104"/>
      <c r="W445" s="104"/>
      <c r="X445" s="104"/>
      <c r="Y445" s="104"/>
      <c r="Z445" s="104"/>
      <c r="AA445" s="231"/>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231"/>
      <c r="BE445" s="231"/>
      <c r="BF445" s="231"/>
      <c r="BG445" s="231"/>
      <c r="BH445" s="231"/>
      <c r="BI445" s="231"/>
      <c r="BJ445" s="224"/>
      <c r="BK445" s="224"/>
    </row>
    <row r="446" spans="1:63" hidden="1" outlineLevel="1">
      <c r="A446" s="9"/>
      <c r="B446" s="44"/>
      <c r="C446" s="131">
        <f>Asset9</f>
        <v>0</v>
      </c>
      <c r="D446" s="9"/>
      <c r="E446" s="9"/>
      <c r="F446" s="143"/>
      <c r="G446" s="206"/>
      <c r="H446" s="115">
        <f>($G406+(SUM($G446:G446)))*H$7</f>
        <v>0</v>
      </c>
      <c r="I446" s="115">
        <f>($G406+(SUM($G446:H446)))*I$7</f>
        <v>0</v>
      </c>
      <c r="J446" s="115">
        <f>($G406+(SUM($G446:I446)))*J$7</f>
        <v>0</v>
      </c>
      <c r="K446" s="115">
        <f>($G406+(SUM($G446:J446)))*K$7</f>
        <v>0</v>
      </c>
      <c r="L446" s="115">
        <f>($G406+(SUM($G446:K446)))*L$7</f>
        <v>0</v>
      </c>
      <c r="M446" s="115">
        <f>($G406+(SUM($G446:L446)))*M$7</f>
        <v>0</v>
      </c>
      <c r="N446" s="115">
        <f>($G406+(SUM($G446:M446)))*N$7</f>
        <v>0</v>
      </c>
      <c r="O446" s="115">
        <f>($G406+(SUM($G446:N446)))*O$7</f>
        <v>0</v>
      </c>
      <c r="P446" s="115">
        <f>($G406+(SUM($G446:O446)))*P$7</f>
        <v>0</v>
      </c>
      <c r="Q446" s="115">
        <f>($G406+(SUM($G446:P446)))*Q$7</f>
        <v>0</v>
      </c>
      <c r="R446" s="104"/>
      <c r="S446" s="104"/>
      <c r="T446" s="104"/>
      <c r="U446" s="104"/>
      <c r="V446" s="104"/>
      <c r="W446" s="104"/>
      <c r="X446" s="104"/>
      <c r="Y446" s="104"/>
      <c r="Z446" s="104"/>
      <c r="AA446" s="231"/>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231"/>
      <c r="BE446" s="231"/>
      <c r="BF446" s="231"/>
      <c r="BG446" s="231"/>
      <c r="BH446" s="231"/>
      <c r="BI446" s="231"/>
      <c r="BJ446" s="224"/>
      <c r="BK446" s="224"/>
    </row>
    <row r="447" spans="1:63" hidden="1" outlineLevel="1">
      <c r="A447" s="9"/>
      <c r="B447" s="44"/>
      <c r="C447" s="328" t="s">
        <v>6</v>
      </c>
      <c r="D447" s="9"/>
      <c r="E447" s="9"/>
      <c r="F447" s="143"/>
      <c r="G447" s="206"/>
      <c r="H447" s="115"/>
      <c r="I447" s="115"/>
      <c r="J447" s="115"/>
      <c r="K447" s="115"/>
      <c r="L447" s="115">
        <f>IF(M446=0, SUM($G446:L446), 0)</f>
        <v>0</v>
      </c>
      <c r="M447" s="115">
        <f>IF(N446=0, IF(M446=0, 0, SUM($G446:M446)), 0)</f>
        <v>0</v>
      </c>
      <c r="N447" s="115">
        <f>IF(O446=0, IF(N446=0, 0, SUM($G446:N446)), 0)</f>
        <v>0</v>
      </c>
      <c r="O447" s="115">
        <f>IF(P446=0, IF(O446=0, 0, SUM($G446:O446)), 0)</f>
        <v>0</v>
      </c>
      <c r="P447" s="115">
        <f>IF(Q446=0, IF(P446=0, 0, SUM($G446:P446)), 0)</f>
        <v>0</v>
      </c>
      <c r="Q447" s="115">
        <f>IF(R446=0, IF(Q446=0, 0, SUM($G446:Q446)), 0)</f>
        <v>0</v>
      </c>
      <c r="R447" s="104"/>
      <c r="S447" s="104"/>
      <c r="T447" s="104"/>
      <c r="U447" s="104"/>
      <c r="V447" s="104"/>
      <c r="W447" s="104"/>
      <c r="X447" s="104"/>
      <c r="Y447" s="104"/>
      <c r="Z447" s="104"/>
      <c r="AA447" s="231"/>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231"/>
      <c r="BE447" s="231"/>
      <c r="BF447" s="231"/>
      <c r="BG447" s="231"/>
      <c r="BH447" s="231"/>
      <c r="BI447" s="231"/>
      <c r="BJ447" s="224"/>
      <c r="BK447" s="224"/>
    </row>
    <row r="448" spans="1:63" hidden="1" outlineLevel="1">
      <c r="A448" s="9"/>
      <c r="B448" s="44"/>
      <c r="C448" s="131">
        <f>Asset10</f>
        <v>0</v>
      </c>
      <c r="D448" s="9"/>
      <c r="E448" s="9"/>
      <c r="F448" s="143"/>
      <c r="G448" s="206"/>
      <c r="H448" s="115">
        <f>($G407+(SUM($G448:G448)))*H$7</f>
        <v>0</v>
      </c>
      <c r="I448" s="115">
        <f>($G407+(SUM($G448:H448)))*I$7</f>
        <v>0</v>
      </c>
      <c r="J448" s="115">
        <f>($G407+(SUM($G448:I448)))*J$7</f>
        <v>0</v>
      </c>
      <c r="K448" s="115">
        <f>($G407+(SUM($G448:J448)))*K$7</f>
        <v>0</v>
      </c>
      <c r="L448" s="115">
        <f>($G407+(SUM($G448:K448)))*L$7</f>
        <v>0</v>
      </c>
      <c r="M448" s="115">
        <f>($G407+(SUM($G448:L448)))*M$7</f>
        <v>0</v>
      </c>
      <c r="N448" s="115">
        <f>($G407+(SUM($G448:M448)))*N$7</f>
        <v>0</v>
      </c>
      <c r="O448" s="115">
        <f>($G407+(SUM($G448:N448)))*O$7</f>
        <v>0</v>
      </c>
      <c r="P448" s="115">
        <f>($G407+(SUM($G448:O448)))*P$7</f>
        <v>0</v>
      </c>
      <c r="Q448" s="115">
        <f>($G407+(SUM($G448:P448)))*Q$7</f>
        <v>0</v>
      </c>
      <c r="R448" s="104"/>
      <c r="S448" s="104"/>
      <c r="T448" s="104"/>
      <c r="U448" s="104"/>
      <c r="V448" s="104"/>
      <c r="W448" s="104"/>
      <c r="X448" s="104"/>
      <c r="Y448" s="104"/>
      <c r="Z448" s="104"/>
      <c r="AA448" s="231"/>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231"/>
      <c r="BE448" s="231"/>
      <c r="BF448" s="231"/>
      <c r="BG448" s="231"/>
      <c r="BH448" s="231"/>
      <c r="BI448" s="231"/>
      <c r="BJ448" s="224"/>
      <c r="BK448" s="224"/>
    </row>
    <row r="449" spans="1:63" hidden="1" outlineLevel="1">
      <c r="A449" s="9"/>
      <c r="B449" s="44"/>
      <c r="C449" s="328" t="s">
        <v>6</v>
      </c>
      <c r="D449" s="9"/>
      <c r="E449" s="9"/>
      <c r="F449" s="143"/>
      <c r="G449" s="206"/>
      <c r="H449" s="115"/>
      <c r="I449" s="115"/>
      <c r="J449" s="115"/>
      <c r="K449" s="115"/>
      <c r="L449" s="115">
        <f>IF(M448=0, SUM($G448:L448), 0)</f>
        <v>0</v>
      </c>
      <c r="M449" s="115">
        <f>IF(N448=0, IF(M448=0, 0, SUM($G448:M448)), 0)</f>
        <v>0</v>
      </c>
      <c r="N449" s="115">
        <f>IF(O448=0, IF(N448=0, 0, SUM($G448:N448)), 0)</f>
        <v>0</v>
      </c>
      <c r="O449" s="115">
        <f>IF(P448=0, IF(O448=0, 0, SUM($G448:O448)), 0)</f>
        <v>0</v>
      </c>
      <c r="P449" s="115">
        <f>IF(Q448=0, IF(P448=0, 0, SUM($G448:P448)), 0)</f>
        <v>0</v>
      </c>
      <c r="Q449" s="115">
        <f>IF(R448=0, IF(Q448=0, 0, SUM($G448:Q448)), 0)</f>
        <v>0</v>
      </c>
      <c r="R449" s="104"/>
      <c r="S449" s="104"/>
      <c r="T449" s="104"/>
      <c r="U449" s="104"/>
      <c r="V449" s="104"/>
      <c r="W449" s="104"/>
      <c r="X449" s="104"/>
      <c r="Y449" s="104"/>
      <c r="Z449" s="104"/>
      <c r="AA449" s="23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231"/>
      <c r="BE449" s="231"/>
      <c r="BF449" s="231"/>
      <c r="BG449" s="231"/>
      <c r="BH449" s="231"/>
      <c r="BI449" s="231"/>
      <c r="BJ449" s="224"/>
      <c r="BK449" s="224"/>
    </row>
    <row r="450" spans="1:63" hidden="1" outlineLevel="1">
      <c r="A450" s="9"/>
      <c r="B450" s="44"/>
      <c r="C450" s="131">
        <f>Asset11</f>
        <v>0</v>
      </c>
      <c r="D450" s="9"/>
      <c r="E450" s="9"/>
      <c r="F450" s="143"/>
      <c r="G450" s="206"/>
      <c r="H450" s="115">
        <f>($G408+(SUM($G450:G450)))*H$7</f>
        <v>0</v>
      </c>
      <c r="I450" s="115">
        <f>($G408+(SUM($G450:H450)))*I$7</f>
        <v>0</v>
      </c>
      <c r="J450" s="115">
        <f>($G408+(SUM($G450:I450)))*J$7</f>
        <v>0</v>
      </c>
      <c r="K450" s="115">
        <f>($G408+(SUM($G450:J450)))*K$7</f>
        <v>0</v>
      </c>
      <c r="L450" s="115">
        <f>($G408+(SUM($G450:K450)))*L$7</f>
        <v>0</v>
      </c>
      <c r="M450" s="115">
        <f>($G408+(SUM($G450:L450)))*M$7</f>
        <v>0</v>
      </c>
      <c r="N450" s="115">
        <f>($G408+(SUM($G450:M450)))*N$7</f>
        <v>0</v>
      </c>
      <c r="O450" s="115">
        <f>($G408+(SUM($G450:N450)))*O$7</f>
        <v>0</v>
      </c>
      <c r="P450" s="115">
        <f>($G408+(SUM($G450:O450)))*P$7</f>
        <v>0</v>
      </c>
      <c r="Q450" s="115">
        <f>($G408+(SUM($G450:P450)))*Q$7</f>
        <v>0</v>
      </c>
      <c r="R450" s="104"/>
      <c r="S450" s="104"/>
      <c r="T450" s="104"/>
      <c r="U450" s="104"/>
      <c r="V450" s="104"/>
      <c r="W450" s="104"/>
      <c r="X450" s="104"/>
      <c r="Y450" s="104"/>
      <c r="Z450" s="104"/>
      <c r="AA450" s="231"/>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231"/>
      <c r="BE450" s="231"/>
      <c r="BF450" s="231"/>
      <c r="BG450" s="231"/>
      <c r="BH450" s="231"/>
      <c r="BI450" s="231"/>
      <c r="BJ450" s="224"/>
      <c r="BK450" s="224"/>
    </row>
    <row r="451" spans="1:63" hidden="1" outlineLevel="1">
      <c r="A451" s="9"/>
      <c r="B451" s="44"/>
      <c r="C451" s="328" t="s">
        <v>6</v>
      </c>
      <c r="D451" s="9"/>
      <c r="E451" s="9"/>
      <c r="F451" s="143"/>
      <c r="G451" s="206"/>
      <c r="H451" s="115"/>
      <c r="I451" s="115"/>
      <c r="J451" s="115"/>
      <c r="K451" s="115"/>
      <c r="L451" s="115">
        <f>IF(M450=0, SUM($G450:L450), 0)</f>
        <v>0</v>
      </c>
      <c r="M451" s="115">
        <f>IF(N450=0, IF(M450=0, 0, SUM($G450:M450)), 0)</f>
        <v>0</v>
      </c>
      <c r="N451" s="115">
        <f>IF(O450=0, IF(N450=0, 0, SUM($G450:N450)), 0)</f>
        <v>0</v>
      </c>
      <c r="O451" s="115">
        <f>IF(P450=0, IF(O450=0, 0, SUM($G450:O450)), 0)</f>
        <v>0</v>
      </c>
      <c r="P451" s="115">
        <f>IF(Q450=0, IF(P450=0, 0, SUM($G450:P450)), 0)</f>
        <v>0</v>
      </c>
      <c r="Q451" s="115">
        <f>IF(R450=0, IF(Q450=0, 0, SUM($G450:Q450)), 0)</f>
        <v>0</v>
      </c>
      <c r="R451" s="104"/>
      <c r="S451" s="104"/>
      <c r="T451" s="104"/>
      <c r="U451" s="104"/>
      <c r="V451" s="104"/>
      <c r="W451" s="104"/>
      <c r="X451" s="104"/>
      <c r="Y451" s="104"/>
      <c r="Z451" s="104"/>
      <c r="AA451" s="231"/>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231"/>
      <c r="BE451" s="231"/>
      <c r="BF451" s="231"/>
      <c r="BG451" s="231"/>
      <c r="BH451" s="231"/>
      <c r="BI451" s="231"/>
      <c r="BJ451" s="224"/>
      <c r="BK451" s="224"/>
    </row>
    <row r="452" spans="1:63" hidden="1" outlineLevel="1">
      <c r="A452" s="9"/>
      <c r="B452" s="44"/>
      <c r="C452" s="131">
        <f>Asset12</f>
        <v>0</v>
      </c>
      <c r="D452" s="9"/>
      <c r="E452" s="9"/>
      <c r="F452" s="143"/>
      <c r="G452" s="206"/>
      <c r="H452" s="115">
        <f>($G409+(SUM($G452:G452)))*H$7</f>
        <v>0</v>
      </c>
      <c r="I452" s="115">
        <f>($G409+(SUM($G452:H452)))*I$7</f>
        <v>0</v>
      </c>
      <c r="J452" s="115">
        <f>($G409+(SUM($G452:I452)))*J$7</f>
        <v>0</v>
      </c>
      <c r="K452" s="115">
        <f>($G409+(SUM($G452:J452)))*K$7</f>
        <v>0</v>
      </c>
      <c r="L452" s="115">
        <f>($G409+(SUM($G452:K452)))*L$7</f>
        <v>0</v>
      </c>
      <c r="M452" s="115">
        <f>($G409+(SUM($G452:L452)))*M$7</f>
        <v>0</v>
      </c>
      <c r="N452" s="115">
        <f>($G409+(SUM($G452:M452)))*N$7</f>
        <v>0</v>
      </c>
      <c r="O452" s="115">
        <f>($G409+(SUM($G452:N452)))*O$7</f>
        <v>0</v>
      </c>
      <c r="P452" s="115">
        <f>($G409+(SUM($G452:O452)))*P$7</f>
        <v>0</v>
      </c>
      <c r="Q452" s="115">
        <f>($G409+(SUM($G452:P452)))*Q$7</f>
        <v>0</v>
      </c>
      <c r="R452" s="104"/>
      <c r="S452" s="104"/>
      <c r="T452" s="104"/>
      <c r="U452" s="104"/>
      <c r="V452" s="104"/>
      <c r="W452" s="104"/>
      <c r="X452" s="104"/>
      <c r="Y452" s="104"/>
      <c r="Z452" s="104"/>
      <c r="AA452" s="231"/>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231"/>
      <c r="BE452" s="231"/>
      <c r="BF452" s="231"/>
      <c r="BG452" s="231"/>
      <c r="BH452" s="231"/>
      <c r="BI452" s="231"/>
      <c r="BJ452" s="224"/>
      <c r="BK452" s="224"/>
    </row>
    <row r="453" spans="1:63" hidden="1" outlineLevel="1">
      <c r="A453" s="9"/>
      <c r="B453" s="44"/>
      <c r="C453" s="328" t="s">
        <v>6</v>
      </c>
      <c r="D453" s="9"/>
      <c r="E453" s="9"/>
      <c r="F453" s="143"/>
      <c r="G453" s="206"/>
      <c r="H453" s="115"/>
      <c r="I453" s="115"/>
      <c r="J453" s="115"/>
      <c r="K453" s="115"/>
      <c r="L453" s="115">
        <f>IF(M452=0, SUM($G452:L452), 0)</f>
        <v>0</v>
      </c>
      <c r="M453" s="115">
        <f>IF(N452=0, IF(M452=0, 0, SUM($G452:M452)), 0)</f>
        <v>0</v>
      </c>
      <c r="N453" s="115">
        <f>IF(O452=0, IF(N452=0, 0, SUM($G452:N452)), 0)</f>
        <v>0</v>
      </c>
      <c r="O453" s="115">
        <f>IF(P452=0, IF(O452=0, 0, SUM($G452:O452)), 0)</f>
        <v>0</v>
      </c>
      <c r="P453" s="115">
        <f>IF(Q452=0, IF(P452=0, 0, SUM($G452:P452)), 0)</f>
        <v>0</v>
      </c>
      <c r="Q453" s="115">
        <f>IF(R452=0, IF(Q452=0, 0, SUM($G452:Q452)), 0)</f>
        <v>0</v>
      </c>
      <c r="R453" s="104"/>
      <c r="S453" s="104"/>
      <c r="T453" s="104"/>
      <c r="U453" s="104"/>
      <c r="V453" s="104"/>
      <c r="W453" s="104"/>
      <c r="X453" s="104"/>
      <c r="Y453" s="104"/>
      <c r="Z453" s="104"/>
      <c r="AA453" s="231"/>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231"/>
      <c r="BE453" s="231"/>
      <c r="BF453" s="231"/>
      <c r="BG453" s="231"/>
      <c r="BH453" s="231"/>
      <c r="BI453" s="231"/>
      <c r="BJ453" s="224"/>
      <c r="BK453" s="224"/>
    </row>
    <row r="454" spans="1:63" hidden="1" outlineLevel="1">
      <c r="A454" s="9"/>
      <c r="B454" s="44"/>
      <c r="C454" s="131">
        <f>Asset13</f>
        <v>0</v>
      </c>
      <c r="D454" s="9"/>
      <c r="E454" s="9"/>
      <c r="F454" s="143"/>
      <c r="G454" s="206"/>
      <c r="H454" s="115">
        <f>($G410+(SUM($G454:G454)))*H$7</f>
        <v>0</v>
      </c>
      <c r="I454" s="115">
        <f>($G410+(SUM($G454:H454)))*I$7</f>
        <v>0</v>
      </c>
      <c r="J454" s="115">
        <f>($G410+(SUM($G454:I454)))*J$7</f>
        <v>0</v>
      </c>
      <c r="K454" s="115">
        <f>($G410+(SUM($G454:J454)))*K$7</f>
        <v>0</v>
      </c>
      <c r="L454" s="115">
        <f>($G410+(SUM($G454:K454)))*L$7</f>
        <v>0</v>
      </c>
      <c r="M454" s="115">
        <f>($G410+(SUM($G454:L454)))*M$7</f>
        <v>0</v>
      </c>
      <c r="N454" s="115">
        <f>($G410+(SUM($G454:M454)))*N$7</f>
        <v>0</v>
      </c>
      <c r="O454" s="115">
        <f>($G410+(SUM($G454:N454)))*O$7</f>
        <v>0</v>
      </c>
      <c r="P454" s="115">
        <f>($G410+(SUM($G454:O454)))*P$7</f>
        <v>0</v>
      </c>
      <c r="Q454" s="115">
        <f>($G410+(SUM($G454:P454)))*Q$7</f>
        <v>0</v>
      </c>
      <c r="R454" s="104"/>
      <c r="S454" s="104"/>
      <c r="T454" s="104"/>
      <c r="U454" s="104"/>
      <c r="V454" s="104"/>
      <c r="W454" s="104"/>
      <c r="X454" s="104"/>
      <c r="Y454" s="104"/>
      <c r="Z454" s="104"/>
      <c r="AA454" s="231"/>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231"/>
      <c r="BE454" s="231"/>
      <c r="BF454" s="231"/>
      <c r="BG454" s="231"/>
      <c r="BH454" s="231"/>
      <c r="BI454" s="231"/>
      <c r="BJ454" s="224"/>
      <c r="BK454" s="224"/>
    </row>
    <row r="455" spans="1:63" hidden="1" outlineLevel="1">
      <c r="A455" s="9"/>
      <c r="B455" s="44"/>
      <c r="C455" s="328" t="s">
        <v>6</v>
      </c>
      <c r="D455" s="9"/>
      <c r="E455" s="9"/>
      <c r="F455" s="143"/>
      <c r="G455" s="206"/>
      <c r="H455" s="115"/>
      <c r="I455" s="115"/>
      <c r="J455" s="115"/>
      <c r="K455" s="115"/>
      <c r="L455" s="115">
        <f>IF(M454=0, SUM($G454:L454), 0)</f>
        <v>0</v>
      </c>
      <c r="M455" s="115">
        <f>IF(N454=0, IF(M454=0, 0, SUM($G454:M454)), 0)</f>
        <v>0</v>
      </c>
      <c r="N455" s="115">
        <f>IF(O454=0, IF(N454=0, 0, SUM($G454:N454)), 0)</f>
        <v>0</v>
      </c>
      <c r="O455" s="115">
        <f>IF(P454=0, IF(O454=0, 0, SUM($G454:O454)), 0)</f>
        <v>0</v>
      </c>
      <c r="P455" s="115">
        <f>IF(Q454=0, IF(P454=0, 0, SUM($G454:P454)), 0)</f>
        <v>0</v>
      </c>
      <c r="Q455" s="115">
        <f>IF(R454=0, IF(Q454=0, 0, SUM($G454:Q454)), 0)</f>
        <v>0</v>
      </c>
      <c r="R455" s="104"/>
      <c r="S455" s="104"/>
      <c r="T455" s="104"/>
      <c r="U455" s="104"/>
      <c r="V455" s="104"/>
      <c r="W455" s="104"/>
      <c r="X455" s="104"/>
      <c r="Y455" s="104"/>
      <c r="Z455" s="104"/>
      <c r="AA455" s="231"/>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231"/>
      <c r="BE455" s="231"/>
      <c r="BF455" s="231"/>
      <c r="BG455" s="231"/>
      <c r="BH455" s="231"/>
      <c r="BI455" s="231"/>
      <c r="BJ455" s="224"/>
      <c r="BK455" s="224"/>
    </row>
    <row r="456" spans="1:63" hidden="1" outlineLevel="1">
      <c r="A456" s="9"/>
      <c r="B456" s="44"/>
      <c r="C456" s="131">
        <f>Asset14</f>
        <v>0</v>
      </c>
      <c r="D456" s="9"/>
      <c r="E456" s="9"/>
      <c r="F456" s="143"/>
      <c r="G456" s="206"/>
      <c r="H456" s="115">
        <f>($G411+(SUM($G456:G456)))*H$7</f>
        <v>0</v>
      </c>
      <c r="I456" s="115">
        <f>($G411+(SUM($G456:H456)))*I$7</f>
        <v>0</v>
      </c>
      <c r="J456" s="115">
        <f>($G411+(SUM($G456:I456)))*J$7</f>
        <v>0</v>
      </c>
      <c r="K456" s="115">
        <f>($G411+(SUM($G456:J456)))*K$7</f>
        <v>0</v>
      </c>
      <c r="L456" s="115">
        <f>($G411+(SUM($G456:K456)))*L$7</f>
        <v>0</v>
      </c>
      <c r="M456" s="115">
        <f>($G411+(SUM($G456:L456)))*M$7</f>
        <v>0</v>
      </c>
      <c r="N456" s="115">
        <f>($G411+(SUM($G456:M456)))*N$7</f>
        <v>0</v>
      </c>
      <c r="O456" s="115">
        <f>($G411+(SUM($G456:N456)))*O$7</f>
        <v>0</v>
      </c>
      <c r="P456" s="115">
        <f>($G411+(SUM($G456:O456)))*P$7</f>
        <v>0</v>
      </c>
      <c r="Q456" s="115">
        <f>($G411+(SUM($G456:P456)))*Q$7</f>
        <v>0</v>
      </c>
      <c r="R456" s="104"/>
      <c r="S456" s="104"/>
      <c r="T456" s="104"/>
      <c r="U456" s="104"/>
      <c r="V456" s="104"/>
      <c r="W456" s="104"/>
      <c r="X456" s="104"/>
      <c r="Y456" s="104"/>
      <c r="Z456" s="104"/>
      <c r="AA456" s="231"/>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231"/>
      <c r="BE456" s="231"/>
      <c r="BF456" s="231"/>
      <c r="BG456" s="231"/>
      <c r="BH456" s="231"/>
      <c r="BI456" s="231"/>
      <c r="BJ456" s="224"/>
      <c r="BK456" s="224"/>
    </row>
    <row r="457" spans="1:63" hidden="1" outlineLevel="1">
      <c r="A457" s="9"/>
      <c r="B457" s="44"/>
      <c r="C457" s="328" t="s">
        <v>6</v>
      </c>
      <c r="D457" s="9"/>
      <c r="E457" s="9"/>
      <c r="F457" s="143"/>
      <c r="G457" s="206"/>
      <c r="H457" s="115"/>
      <c r="I457" s="115"/>
      <c r="J457" s="115"/>
      <c r="K457" s="115"/>
      <c r="L457" s="115">
        <f>IF(M456=0, SUM($G456:L456), 0)</f>
        <v>0</v>
      </c>
      <c r="M457" s="115">
        <f>IF(N456=0, IF(M456=0, 0, SUM($G456:M456)), 0)</f>
        <v>0</v>
      </c>
      <c r="N457" s="115">
        <f>IF(O456=0, IF(N456=0, 0, SUM($G456:N456)), 0)</f>
        <v>0</v>
      </c>
      <c r="O457" s="115">
        <f>IF(P456=0, IF(O456=0, 0, SUM($G456:O456)), 0)</f>
        <v>0</v>
      </c>
      <c r="P457" s="115">
        <f>IF(Q456=0, IF(P456=0, 0, SUM($G456:P456)), 0)</f>
        <v>0</v>
      </c>
      <c r="Q457" s="115">
        <f>IF(R456=0, IF(Q456=0, 0, SUM($G456:Q456)), 0)</f>
        <v>0</v>
      </c>
      <c r="R457" s="104"/>
      <c r="S457" s="104"/>
      <c r="T457" s="104"/>
      <c r="U457" s="104"/>
      <c r="V457" s="104"/>
      <c r="W457" s="104"/>
      <c r="X457" s="104"/>
      <c r="Y457" s="104"/>
      <c r="Z457" s="104"/>
      <c r="AA457" s="231"/>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231"/>
      <c r="BE457" s="231"/>
      <c r="BF457" s="231"/>
      <c r="BG457" s="231"/>
      <c r="BH457" s="231"/>
      <c r="BI457" s="231"/>
      <c r="BJ457" s="224"/>
      <c r="BK457" s="224"/>
    </row>
    <row r="458" spans="1:63" hidden="1" outlineLevel="1">
      <c r="A458" s="9"/>
      <c r="B458" s="44"/>
      <c r="C458" s="131">
        <f>Asset15</f>
        <v>0</v>
      </c>
      <c r="D458" s="9"/>
      <c r="E458" s="9"/>
      <c r="F458" s="143"/>
      <c r="G458" s="206"/>
      <c r="H458" s="115">
        <f>($G412+(SUM($G458:G458)))*H$7</f>
        <v>0</v>
      </c>
      <c r="I458" s="115">
        <f>($G412+(SUM($G458:H458)))*I$7</f>
        <v>0</v>
      </c>
      <c r="J458" s="115">
        <f>($G412+(SUM($G458:I458)))*J$7</f>
        <v>0</v>
      </c>
      <c r="K458" s="115">
        <f>($G412+(SUM($G458:J458)))*K$7</f>
        <v>0</v>
      </c>
      <c r="L458" s="115">
        <f>($G412+(SUM($G458:K458)))*L$7</f>
        <v>0</v>
      </c>
      <c r="M458" s="115">
        <f>($G412+(SUM($G458:L458)))*M$7</f>
        <v>0</v>
      </c>
      <c r="N458" s="115">
        <f>($G412+(SUM($G458:M458)))*N$7</f>
        <v>0</v>
      </c>
      <c r="O458" s="115">
        <f>($G412+(SUM($G458:N458)))*O$7</f>
        <v>0</v>
      </c>
      <c r="P458" s="115">
        <f>($G412+(SUM($G458:O458)))*P$7</f>
        <v>0</v>
      </c>
      <c r="Q458" s="115">
        <f>($G412+(SUM($G458:P458)))*Q$7</f>
        <v>0</v>
      </c>
      <c r="R458" s="104"/>
      <c r="S458" s="104"/>
      <c r="T458" s="104"/>
      <c r="U458" s="104"/>
      <c r="V458" s="104"/>
      <c r="W458" s="104"/>
      <c r="X458" s="104"/>
      <c r="Y458" s="104"/>
      <c r="Z458" s="104"/>
      <c r="AA458" s="231"/>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231"/>
      <c r="BE458" s="231"/>
      <c r="BF458" s="231"/>
      <c r="BG458" s="231"/>
      <c r="BH458" s="231"/>
      <c r="BI458" s="231"/>
      <c r="BJ458" s="224"/>
      <c r="BK458" s="224"/>
    </row>
    <row r="459" spans="1:63" hidden="1" outlineLevel="1">
      <c r="A459" s="9"/>
      <c r="B459" s="44"/>
      <c r="C459" s="328" t="s">
        <v>6</v>
      </c>
      <c r="D459" s="9"/>
      <c r="E459" s="9"/>
      <c r="F459" s="143"/>
      <c r="G459" s="206"/>
      <c r="H459" s="115"/>
      <c r="I459" s="115"/>
      <c r="J459" s="115"/>
      <c r="K459" s="115"/>
      <c r="L459" s="115">
        <f>IF(M458=0, SUM($G458:L458), 0)</f>
        <v>0</v>
      </c>
      <c r="M459" s="115">
        <f>IF(N458=0, IF(M458=0, 0, SUM($G458:M458)), 0)</f>
        <v>0</v>
      </c>
      <c r="N459" s="115">
        <f>IF(O458=0, IF(N458=0, 0, SUM($G458:N458)), 0)</f>
        <v>0</v>
      </c>
      <c r="O459" s="115">
        <f>IF(P458=0, IF(O458=0, 0, SUM($G458:O458)), 0)</f>
        <v>0</v>
      </c>
      <c r="P459" s="115">
        <f>IF(Q458=0, IF(P458=0, 0, SUM($G458:P458)), 0)</f>
        <v>0</v>
      </c>
      <c r="Q459" s="115">
        <f>IF(R458=0, IF(Q458=0, 0, SUM($G458:Q458)), 0)</f>
        <v>0</v>
      </c>
      <c r="R459" s="104"/>
      <c r="S459" s="104"/>
      <c r="T459" s="104"/>
      <c r="U459" s="104"/>
      <c r="V459" s="104"/>
      <c r="W459" s="104"/>
      <c r="X459" s="104"/>
      <c r="Y459" s="104"/>
      <c r="Z459" s="104"/>
      <c r="AA459" s="231"/>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231"/>
      <c r="BE459" s="231"/>
      <c r="BF459" s="231"/>
      <c r="BG459" s="231"/>
      <c r="BH459" s="231"/>
      <c r="BI459" s="231"/>
      <c r="BJ459" s="224"/>
      <c r="BK459" s="224"/>
    </row>
    <row r="460" spans="1:63" hidden="1" outlineLevel="1">
      <c r="A460" s="9"/>
      <c r="B460" s="44"/>
      <c r="C460" s="131">
        <f>Asset16</f>
        <v>0</v>
      </c>
      <c r="D460" s="9"/>
      <c r="E460" s="9"/>
      <c r="F460" s="143"/>
      <c r="G460" s="206"/>
      <c r="H460" s="115">
        <f>($G413+(SUM($G460:G460)))*H$7</f>
        <v>0</v>
      </c>
      <c r="I460" s="115">
        <f>($G413+(SUM($G460:H460)))*I$7</f>
        <v>0</v>
      </c>
      <c r="J460" s="115">
        <f>($G413+(SUM($G460:I460)))*J$7</f>
        <v>0</v>
      </c>
      <c r="K460" s="115">
        <f>($G413+(SUM($G460:J460)))*K$7</f>
        <v>0</v>
      </c>
      <c r="L460" s="115">
        <f>($G413+(SUM($G460:K460)))*L$7</f>
        <v>0</v>
      </c>
      <c r="M460" s="115">
        <f>($G413+(SUM($G460:L460)))*M$7</f>
        <v>0</v>
      </c>
      <c r="N460" s="115">
        <f>($G413+(SUM($G460:M460)))*N$7</f>
        <v>0</v>
      </c>
      <c r="O460" s="115">
        <f>($G413+(SUM($G460:N460)))*O$7</f>
        <v>0</v>
      </c>
      <c r="P460" s="115">
        <f>($G413+(SUM($G460:O460)))*P$7</f>
        <v>0</v>
      </c>
      <c r="Q460" s="115">
        <f>($G413+(SUM($G460:P460)))*Q$7</f>
        <v>0</v>
      </c>
      <c r="R460" s="104"/>
      <c r="S460" s="104"/>
      <c r="T460" s="104"/>
      <c r="U460" s="104"/>
      <c r="V460" s="104"/>
      <c r="W460" s="104"/>
      <c r="X460" s="104"/>
      <c r="Y460" s="104"/>
      <c r="Z460" s="104"/>
      <c r="AA460" s="23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231"/>
      <c r="BE460" s="231"/>
      <c r="BF460" s="231"/>
      <c r="BG460" s="231"/>
      <c r="BH460" s="231"/>
      <c r="BI460" s="231"/>
      <c r="BJ460" s="224"/>
      <c r="BK460" s="224"/>
    </row>
    <row r="461" spans="1:63" hidden="1" outlineLevel="1">
      <c r="A461" s="9"/>
      <c r="B461" s="44"/>
      <c r="C461" s="328" t="s">
        <v>6</v>
      </c>
      <c r="D461" s="9"/>
      <c r="E461" s="9"/>
      <c r="F461" s="143"/>
      <c r="G461" s="206"/>
      <c r="H461" s="115"/>
      <c r="I461" s="115"/>
      <c r="J461" s="115"/>
      <c r="K461" s="115"/>
      <c r="L461" s="115">
        <f>IF(M460=0, SUM($G460:L460), 0)</f>
        <v>0</v>
      </c>
      <c r="M461" s="115">
        <f>IF(N460=0, IF(M460=0, 0, SUM($G460:M460)), 0)</f>
        <v>0</v>
      </c>
      <c r="N461" s="115">
        <f>IF(O460=0, IF(N460=0, 0, SUM($G460:N460)), 0)</f>
        <v>0</v>
      </c>
      <c r="O461" s="115">
        <f>IF(P460=0, IF(O460=0, 0, SUM($G460:O460)), 0)</f>
        <v>0</v>
      </c>
      <c r="P461" s="115">
        <f>IF(Q460=0, IF(P460=0, 0, SUM($G460:P460)), 0)</f>
        <v>0</v>
      </c>
      <c r="Q461" s="115">
        <f>IF(R460=0, IF(Q460=0, 0, SUM($G460:Q460)), 0)</f>
        <v>0</v>
      </c>
      <c r="R461" s="104"/>
      <c r="S461" s="104"/>
      <c r="T461" s="104"/>
      <c r="U461" s="104"/>
      <c r="V461" s="104"/>
      <c r="W461" s="104"/>
      <c r="X461" s="104"/>
      <c r="Y461" s="104"/>
      <c r="Z461" s="104"/>
      <c r="AA461" s="231"/>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231"/>
      <c r="BE461" s="231"/>
      <c r="BF461" s="231"/>
      <c r="BG461" s="231"/>
      <c r="BH461" s="231"/>
      <c r="BI461" s="231"/>
      <c r="BJ461" s="224"/>
      <c r="BK461" s="224"/>
    </row>
    <row r="462" spans="1:63" hidden="1" outlineLevel="1">
      <c r="A462" s="9"/>
      <c r="B462" s="44"/>
      <c r="C462" s="131">
        <f>Asset17</f>
        <v>0</v>
      </c>
      <c r="D462" s="9"/>
      <c r="E462" s="9"/>
      <c r="F462" s="143"/>
      <c r="G462" s="206"/>
      <c r="H462" s="115">
        <f>($G414+(SUM($G462:G462)))*H$7</f>
        <v>0</v>
      </c>
      <c r="I462" s="115">
        <f>($G414+(SUM($G462:H462)))*I$7</f>
        <v>0</v>
      </c>
      <c r="J462" s="115">
        <f>($G414+(SUM($G462:I462)))*J$7</f>
        <v>0</v>
      </c>
      <c r="K462" s="115">
        <f>($G414+(SUM($G462:J462)))*K$7</f>
        <v>0</v>
      </c>
      <c r="L462" s="115">
        <f>($G414+(SUM($G462:K462)))*L$7</f>
        <v>0</v>
      </c>
      <c r="M462" s="115">
        <f>($G414+(SUM($G462:L462)))*M$7</f>
        <v>0</v>
      </c>
      <c r="N462" s="115">
        <f>($G414+(SUM($G462:M462)))*N$7</f>
        <v>0</v>
      </c>
      <c r="O462" s="115">
        <f>($G414+(SUM($G462:N462)))*O$7</f>
        <v>0</v>
      </c>
      <c r="P462" s="115">
        <f>($G414+(SUM($G462:O462)))*P$7</f>
        <v>0</v>
      </c>
      <c r="Q462" s="115">
        <f>($G414+(SUM($G462:P462)))*Q$7</f>
        <v>0</v>
      </c>
      <c r="R462" s="104"/>
      <c r="S462" s="104"/>
      <c r="T462" s="104"/>
      <c r="U462" s="104"/>
      <c r="V462" s="104"/>
      <c r="W462" s="104"/>
      <c r="X462" s="104"/>
      <c r="Y462" s="104"/>
      <c r="Z462" s="104"/>
      <c r="AA462" s="231"/>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231"/>
      <c r="BE462" s="231"/>
      <c r="BF462" s="231"/>
      <c r="BG462" s="231"/>
      <c r="BH462" s="231"/>
      <c r="BI462" s="231"/>
      <c r="BJ462" s="224"/>
      <c r="BK462" s="224"/>
    </row>
    <row r="463" spans="1:63" hidden="1" outlineLevel="1">
      <c r="A463" s="9"/>
      <c r="B463" s="44"/>
      <c r="C463" s="328" t="s">
        <v>6</v>
      </c>
      <c r="D463" s="9"/>
      <c r="E463" s="9"/>
      <c r="F463" s="143"/>
      <c r="G463" s="206"/>
      <c r="H463" s="115"/>
      <c r="I463" s="115"/>
      <c r="J463" s="115"/>
      <c r="K463" s="115"/>
      <c r="L463" s="115">
        <f>IF(M462=0, SUM($G462:L462), 0)</f>
        <v>0</v>
      </c>
      <c r="M463" s="115">
        <f>IF(N462=0, IF(M462=0, 0, SUM($G462:M462)), 0)</f>
        <v>0</v>
      </c>
      <c r="N463" s="115">
        <f>IF(O462=0, IF(N462=0, 0, SUM($G462:N462)), 0)</f>
        <v>0</v>
      </c>
      <c r="O463" s="115">
        <f>IF(P462=0, IF(O462=0, 0, SUM($G462:O462)), 0)</f>
        <v>0</v>
      </c>
      <c r="P463" s="115">
        <f>IF(Q462=0, IF(P462=0, 0, SUM($G462:P462)), 0)</f>
        <v>0</v>
      </c>
      <c r="Q463" s="115">
        <f>IF(R462=0, IF(Q462=0, 0, SUM($G462:Q462)), 0)</f>
        <v>0</v>
      </c>
      <c r="R463" s="104"/>
      <c r="S463" s="104"/>
      <c r="T463" s="104"/>
      <c r="U463" s="104"/>
      <c r="V463" s="104"/>
      <c r="W463" s="104"/>
      <c r="X463" s="104"/>
      <c r="Y463" s="104"/>
      <c r="Z463" s="104"/>
      <c r="AA463" s="231"/>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231"/>
      <c r="BE463" s="231"/>
      <c r="BF463" s="231"/>
      <c r="BG463" s="231"/>
      <c r="BH463" s="231"/>
      <c r="BI463" s="231"/>
      <c r="BJ463" s="224"/>
      <c r="BK463" s="224"/>
    </row>
    <row r="464" spans="1:63" hidden="1" outlineLevel="1">
      <c r="A464" s="9"/>
      <c r="B464" s="44"/>
      <c r="C464" s="131">
        <f>Asset18</f>
        <v>0</v>
      </c>
      <c r="D464" s="9"/>
      <c r="E464" s="9"/>
      <c r="F464" s="143"/>
      <c r="G464" s="206"/>
      <c r="H464" s="115">
        <f>($G415+(SUM($G464:G464)))*H$7</f>
        <v>0</v>
      </c>
      <c r="I464" s="115">
        <f>($G415+(SUM($G464:H464)))*I$7</f>
        <v>0</v>
      </c>
      <c r="J464" s="115">
        <f>($G415+(SUM($G464:I464)))*J$7</f>
        <v>0</v>
      </c>
      <c r="K464" s="115">
        <f>($G415+(SUM($G464:J464)))*K$7</f>
        <v>0</v>
      </c>
      <c r="L464" s="115">
        <f>($G415+(SUM($G464:K464)))*L$7</f>
        <v>0</v>
      </c>
      <c r="M464" s="115">
        <f>($G415+(SUM($G464:L464)))*M$7</f>
        <v>0</v>
      </c>
      <c r="N464" s="115">
        <f>($G415+(SUM($G464:M464)))*N$7</f>
        <v>0</v>
      </c>
      <c r="O464" s="115">
        <f>($G415+(SUM($G464:N464)))*O$7</f>
        <v>0</v>
      </c>
      <c r="P464" s="115">
        <f>($G415+(SUM($G464:O464)))*P$7</f>
        <v>0</v>
      </c>
      <c r="Q464" s="115">
        <f>($G415+(SUM($G464:P464)))*Q$7</f>
        <v>0</v>
      </c>
      <c r="R464" s="104"/>
      <c r="S464" s="104"/>
      <c r="T464" s="104"/>
      <c r="U464" s="104"/>
      <c r="V464" s="104"/>
      <c r="W464" s="104"/>
      <c r="X464" s="104"/>
      <c r="Y464" s="104"/>
      <c r="Z464" s="104"/>
      <c r="AA464" s="23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231"/>
      <c r="BE464" s="231"/>
      <c r="BF464" s="231"/>
      <c r="BG464" s="231"/>
      <c r="BH464" s="231"/>
      <c r="BI464" s="231"/>
      <c r="BJ464" s="224"/>
      <c r="BK464" s="224"/>
    </row>
    <row r="465" spans="1:63" hidden="1" outlineLevel="1">
      <c r="A465" s="9"/>
      <c r="B465" s="44"/>
      <c r="C465" s="328" t="s">
        <v>6</v>
      </c>
      <c r="D465" s="9"/>
      <c r="E465" s="9"/>
      <c r="F465" s="143"/>
      <c r="G465" s="206"/>
      <c r="H465" s="115"/>
      <c r="I465" s="115"/>
      <c r="J465" s="115"/>
      <c r="K465" s="115"/>
      <c r="L465" s="115">
        <f>IF(M464=0, SUM($G464:L464), 0)</f>
        <v>0</v>
      </c>
      <c r="M465" s="115">
        <f>IF(N464=0, IF(M464=0, 0, SUM($G464:M464)), 0)</f>
        <v>0</v>
      </c>
      <c r="N465" s="115">
        <f>IF(O464=0, IF(N464=0, 0, SUM($G464:N464)), 0)</f>
        <v>0</v>
      </c>
      <c r="O465" s="115">
        <f>IF(P464=0, IF(O464=0, 0, SUM($G464:O464)), 0)</f>
        <v>0</v>
      </c>
      <c r="P465" s="115">
        <f>IF(Q464=0, IF(P464=0, 0, SUM($G464:P464)), 0)</f>
        <v>0</v>
      </c>
      <c r="Q465" s="115">
        <f>IF(R464=0, IF(Q464=0, 0, SUM($G464:Q464)), 0)</f>
        <v>0</v>
      </c>
      <c r="R465" s="104"/>
      <c r="S465" s="104"/>
      <c r="T465" s="104"/>
      <c r="U465" s="104"/>
      <c r="V465" s="104"/>
      <c r="W465" s="104"/>
      <c r="X465" s="104"/>
      <c r="Y465" s="104"/>
      <c r="Z465" s="104"/>
      <c r="AA465" s="23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231"/>
      <c r="BE465" s="231"/>
      <c r="BF465" s="231"/>
      <c r="BG465" s="231"/>
      <c r="BH465" s="231"/>
      <c r="BI465" s="231"/>
      <c r="BJ465" s="224"/>
      <c r="BK465" s="224"/>
    </row>
    <row r="466" spans="1:63" hidden="1" outlineLevel="1">
      <c r="A466" s="9"/>
      <c r="B466" s="44"/>
      <c r="C466" s="131">
        <f>Asset19</f>
        <v>0</v>
      </c>
      <c r="D466" s="9"/>
      <c r="E466" s="9"/>
      <c r="F466" s="143"/>
      <c r="G466" s="206"/>
      <c r="H466" s="115">
        <f>($G416+(SUM($G466:G466)))*H$7</f>
        <v>0</v>
      </c>
      <c r="I466" s="115">
        <f>($G416+(SUM($G466:H466)))*I$7</f>
        <v>0</v>
      </c>
      <c r="J466" s="115">
        <f>($G416+(SUM($G466:I466)))*J$7</f>
        <v>0</v>
      </c>
      <c r="K466" s="115">
        <f>($G416+(SUM($G466:J466)))*K$7</f>
        <v>0</v>
      </c>
      <c r="L466" s="115">
        <f>($G416+(SUM($G466:K466)))*L$7</f>
        <v>0</v>
      </c>
      <c r="M466" s="115">
        <f>($G416+(SUM($G466:L466)))*M$7</f>
        <v>0</v>
      </c>
      <c r="N466" s="115">
        <f>($G416+(SUM($G466:M466)))*N$7</f>
        <v>0</v>
      </c>
      <c r="O466" s="115">
        <f>($G416+(SUM($G466:N466)))*O$7</f>
        <v>0</v>
      </c>
      <c r="P466" s="115">
        <f>($G416+(SUM($G466:O466)))*P$7</f>
        <v>0</v>
      </c>
      <c r="Q466" s="115">
        <f>($G416+(SUM($G466:P466)))*Q$7</f>
        <v>0</v>
      </c>
      <c r="R466" s="104"/>
      <c r="S466" s="104"/>
      <c r="T466" s="104"/>
      <c r="U466" s="104"/>
      <c r="V466" s="104"/>
      <c r="W466" s="104"/>
      <c r="X466" s="104"/>
      <c r="Y466" s="104"/>
      <c r="Z466" s="104"/>
      <c r="AA466" s="23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231"/>
      <c r="BE466" s="231"/>
      <c r="BF466" s="231"/>
      <c r="BG466" s="231"/>
      <c r="BH466" s="231"/>
      <c r="BI466" s="231"/>
      <c r="BJ466" s="224"/>
      <c r="BK466" s="224"/>
    </row>
    <row r="467" spans="1:63" hidden="1" outlineLevel="1">
      <c r="A467" s="9"/>
      <c r="B467" s="44"/>
      <c r="C467" s="328" t="s">
        <v>6</v>
      </c>
      <c r="D467" s="9"/>
      <c r="E467" s="9"/>
      <c r="F467" s="143"/>
      <c r="G467" s="206"/>
      <c r="H467" s="115"/>
      <c r="I467" s="115"/>
      <c r="J467" s="115"/>
      <c r="K467" s="115"/>
      <c r="L467" s="115">
        <f>IF(M466=0, SUM($G466:L466), 0)</f>
        <v>0</v>
      </c>
      <c r="M467" s="115">
        <f>IF(N466=0, IF(M466=0, 0, SUM($G466:M466)), 0)</f>
        <v>0</v>
      </c>
      <c r="N467" s="115">
        <f>IF(O466=0, IF(N466=0, 0, SUM($G466:N466)), 0)</f>
        <v>0</v>
      </c>
      <c r="O467" s="115">
        <f>IF(P466=0, IF(O466=0, 0, SUM($G466:O466)), 0)</f>
        <v>0</v>
      </c>
      <c r="P467" s="115">
        <f>IF(Q466=0, IF(P466=0, 0, SUM($G466:P466)), 0)</f>
        <v>0</v>
      </c>
      <c r="Q467" s="115">
        <f>IF(R466=0, IF(Q466=0, 0, SUM($G466:Q466)), 0)</f>
        <v>0</v>
      </c>
      <c r="R467" s="104"/>
      <c r="S467" s="104"/>
      <c r="T467" s="104"/>
      <c r="U467" s="104"/>
      <c r="V467" s="104"/>
      <c r="W467" s="104"/>
      <c r="X467" s="104"/>
      <c r="Y467" s="104"/>
      <c r="Z467" s="104"/>
      <c r="AA467" s="23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231"/>
      <c r="BE467" s="231"/>
      <c r="BF467" s="231"/>
      <c r="BG467" s="231"/>
      <c r="BH467" s="231"/>
      <c r="BI467" s="231"/>
      <c r="BJ467" s="224"/>
      <c r="BK467" s="224"/>
    </row>
    <row r="468" spans="1:63" hidden="1" outlineLevel="1">
      <c r="A468" s="9"/>
      <c r="B468" s="44"/>
      <c r="C468" s="131">
        <f>Asset20</f>
        <v>0</v>
      </c>
      <c r="D468" s="9"/>
      <c r="E468" s="9"/>
      <c r="F468" s="143"/>
      <c r="G468" s="206"/>
      <c r="H468" s="115">
        <f>($G417+(SUM($G468:G468)))*H$7</f>
        <v>0</v>
      </c>
      <c r="I468" s="115">
        <f>($G417+(SUM($G468:H468)))*I$7</f>
        <v>0</v>
      </c>
      <c r="J468" s="115">
        <f>($G417+(SUM($G468:I468)))*J$7</f>
        <v>0</v>
      </c>
      <c r="K468" s="115">
        <f>($G417+(SUM($G468:J468)))*K$7</f>
        <v>0</v>
      </c>
      <c r="L468" s="115">
        <f>($G417+(SUM($G468:K468)))*L$7</f>
        <v>0</v>
      </c>
      <c r="M468" s="115">
        <f>($G417+(SUM($G468:L468)))*M$7</f>
        <v>0</v>
      </c>
      <c r="N468" s="115">
        <f>($G417+(SUM($G468:M468)))*N$7</f>
        <v>0</v>
      </c>
      <c r="O468" s="115">
        <f>($G417+(SUM($G468:N468)))*O$7</f>
        <v>0</v>
      </c>
      <c r="P468" s="115">
        <f>($G417+(SUM($G468:O468)))*P$7</f>
        <v>0</v>
      </c>
      <c r="Q468" s="115">
        <f>($G417+(SUM($G468:P468)))*Q$7</f>
        <v>0</v>
      </c>
      <c r="R468" s="104"/>
      <c r="S468" s="104"/>
      <c r="T468" s="104"/>
      <c r="U468" s="104"/>
      <c r="V468" s="104"/>
      <c r="W468" s="104"/>
      <c r="X468" s="104"/>
      <c r="Y468" s="104"/>
      <c r="Z468" s="104"/>
      <c r="AA468" s="23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231"/>
      <c r="BE468" s="231"/>
      <c r="BF468" s="231"/>
      <c r="BG468" s="231"/>
      <c r="BH468" s="231"/>
      <c r="BI468" s="231"/>
      <c r="BJ468" s="224"/>
      <c r="BK468" s="224"/>
    </row>
    <row r="469" spans="1:63" hidden="1" outlineLevel="1">
      <c r="A469" s="9"/>
      <c r="B469" s="44"/>
      <c r="C469" s="328" t="s">
        <v>6</v>
      </c>
      <c r="D469" s="9"/>
      <c r="E469" s="9"/>
      <c r="F469" s="143"/>
      <c r="G469" s="206"/>
      <c r="H469" s="115"/>
      <c r="I469" s="115"/>
      <c r="J469" s="115"/>
      <c r="K469" s="115"/>
      <c r="L469" s="115">
        <f>IF(M468=0, SUM($G468:L468), 0)</f>
        <v>0</v>
      </c>
      <c r="M469" s="115">
        <f>IF(N468=0, IF(M468=0, 0, SUM($G468:M468)), 0)</f>
        <v>0</v>
      </c>
      <c r="N469" s="115">
        <f>IF(O468=0, IF(N468=0, 0, SUM($G468:N468)), 0)</f>
        <v>0</v>
      </c>
      <c r="O469" s="115">
        <f>IF(P468=0, IF(O468=0, 0, SUM($G468:O468)), 0)</f>
        <v>0</v>
      </c>
      <c r="P469" s="115">
        <f>IF(Q468=0, IF(P468=0, 0, SUM($G468:P468)), 0)</f>
        <v>0</v>
      </c>
      <c r="Q469" s="115">
        <f>IF(R468=0, IF(Q468=0, 0, SUM($G468:Q468)), 0)</f>
        <v>0</v>
      </c>
      <c r="R469" s="104"/>
      <c r="S469" s="104"/>
      <c r="T469" s="104"/>
      <c r="U469" s="104"/>
      <c r="V469" s="104"/>
      <c r="W469" s="104"/>
      <c r="X469" s="104"/>
      <c r="Y469" s="104"/>
      <c r="Z469" s="104"/>
      <c r="AA469" s="23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231"/>
      <c r="BE469" s="231"/>
      <c r="BF469" s="231"/>
      <c r="BG469" s="231"/>
      <c r="BH469" s="231"/>
      <c r="BI469" s="231"/>
      <c r="BJ469" s="224"/>
      <c r="BK469" s="224"/>
    </row>
    <row r="470" spans="1:63" hidden="1" outlineLevel="1">
      <c r="A470" s="9"/>
      <c r="B470" s="44"/>
      <c r="C470" s="131">
        <f>Asset20</f>
        <v>0</v>
      </c>
      <c r="D470" s="9"/>
      <c r="E470" s="9"/>
      <c r="F470" s="143"/>
      <c r="G470" s="206"/>
      <c r="H470" s="115">
        <f>($G418+(SUM($G470:G470)))*H$7</f>
        <v>0</v>
      </c>
      <c r="I470" s="115">
        <f>($G418+(SUM($G470:H470)))*I$7</f>
        <v>0</v>
      </c>
      <c r="J470" s="115">
        <f>($G418+(SUM($G470:I470)))*J$7</f>
        <v>0</v>
      </c>
      <c r="K470" s="115">
        <f>($G418+(SUM($G470:J470)))*K$7</f>
        <v>0</v>
      </c>
      <c r="L470" s="115">
        <f>($G418+(SUM($G470:K470)))*L$7</f>
        <v>0</v>
      </c>
      <c r="M470" s="115">
        <f>($G418+(SUM($G470:L470)))*M$7</f>
        <v>0</v>
      </c>
      <c r="N470" s="115">
        <f>($G418+(SUM($G470:M470)))*N$7</f>
        <v>0</v>
      </c>
      <c r="O470" s="115">
        <f>($G418+(SUM($G470:N470)))*O$7</f>
        <v>0</v>
      </c>
      <c r="P470" s="115">
        <f>($G418+(SUM($G470:O470)))*P$7</f>
        <v>0</v>
      </c>
      <c r="Q470" s="115">
        <f>($G418+(SUM($G470:P470)))*Q$7</f>
        <v>0</v>
      </c>
      <c r="R470" s="104"/>
      <c r="S470" s="104"/>
      <c r="T470" s="104"/>
      <c r="U470" s="104"/>
      <c r="V470" s="104"/>
      <c r="W470" s="104"/>
      <c r="X470" s="104"/>
      <c r="Y470" s="104"/>
      <c r="Z470" s="104"/>
      <c r="AA470" s="23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231"/>
      <c r="BE470" s="231"/>
      <c r="BF470" s="231"/>
      <c r="BG470" s="231"/>
      <c r="BH470" s="231"/>
      <c r="BI470" s="231"/>
      <c r="BJ470" s="224"/>
      <c r="BK470" s="224"/>
    </row>
    <row r="471" spans="1:63" hidden="1" outlineLevel="1">
      <c r="A471" s="9"/>
      <c r="B471" s="44"/>
      <c r="C471" s="328" t="s">
        <v>6</v>
      </c>
      <c r="D471" s="9"/>
      <c r="E471" s="9"/>
      <c r="F471" s="143"/>
      <c r="G471" s="206"/>
      <c r="H471" s="115"/>
      <c r="I471" s="115"/>
      <c r="J471" s="115"/>
      <c r="K471" s="115"/>
      <c r="L471" s="115">
        <f>IF(M470=0, SUM($G470:L470), 0)</f>
        <v>0</v>
      </c>
      <c r="M471" s="115">
        <f>IF(N470=0, IF(M470=0, 0, SUM($G470:M470)), 0)</f>
        <v>0</v>
      </c>
      <c r="N471" s="115">
        <f>IF(O470=0, IF(N470=0, 0, SUM($G470:N470)), 0)</f>
        <v>0</v>
      </c>
      <c r="O471" s="115">
        <f>IF(P470=0, IF(O470=0, 0, SUM($G470:O470)), 0)</f>
        <v>0</v>
      </c>
      <c r="P471" s="115">
        <f>IF(Q470=0, IF(P470=0, 0, SUM($G470:P470)), 0)</f>
        <v>0</v>
      </c>
      <c r="Q471" s="115">
        <f>IF(R470=0, IF(Q470=0, 0, SUM($G470:Q470)), 0)</f>
        <v>0</v>
      </c>
      <c r="R471" s="104"/>
      <c r="S471" s="104"/>
      <c r="T471" s="104"/>
      <c r="U471" s="104"/>
      <c r="V471" s="104"/>
      <c r="W471" s="104"/>
      <c r="X471" s="104"/>
      <c r="Y471" s="104"/>
      <c r="Z471" s="104"/>
      <c r="AA471" s="23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231"/>
      <c r="BE471" s="231"/>
      <c r="BF471" s="231"/>
      <c r="BG471" s="231"/>
      <c r="BH471" s="231"/>
      <c r="BI471" s="231"/>
      <c r="BJ471" s="224"/>
      <c r="BK471" s="224"/>
    </row>
    <row r="472" spans="1:63" hidden="1" outlineLevel="1">
      <c r="A472" s="9"/>
      <c r="B472" s="44"/>
      <c r="C472" s="131">
        <f>Asset20</f>
        <v>0</v>
      </c>
      <c r="D472" s="9"/>
      <c r="E472" s="9"/>
      <c r="F472" s="143"/>
      <c r="G472" s="206"/>
      <c r="H472" s="115">
        <f>($G419+(SUM($G472:G472)))*H$7</f>
        <v>0</v>
      </c>
      <c r="I472" s="115">
        <f>($G419+(SUM($G472:H472)))*I$7</f>
        <v>0</v>
      </c>
      <c r="J472" s="115">
        <f>($G419+(SUM($G472:I472)))*J$7</f>
        <v>0</v>
      </c>
      <c r="K472" s="115">
        <f>($G419+(SUM($G472:J472)))*K$7</f>
        <v>0</v>
      </c>
      <c r="L472" s="115">
        <f>($G419+(SUM($G472:K472)))*L$7</f>
        <v>0</v>
      </c>
      <c r="M472" s="115">
        <f>($G419+(SUM($G472:L472)))*M$7</f>
        <v>0</v>
      </c>
      <c r="N472" s="115">
        <f>($G419+(SUM($G472:M472)))*N$7</f>
        <v>0</v>
      </c>
      <c r="O472" s="115">
        <f>($G419+(SUM($G472:N472)))*O$7</f>
        <v>0</v>
      </c>
      <c r="P472" s="115">
        <f>($G419+(SUM($G472:O472)))*P$7</f>
        <v>0</v>
      </c>
      <c r="Q472" s="115">
        <f>($G419+(SUM($G472:P472)))*Q$7</f>
        <v>0</v>
      </c>
      <c r="R472" s="104"/>
      <c r="S472" s="104"/>
      <c r="T472" s="104"/>
      <c r="U472" s="104"/>
      <c r="V472" s="104"/>
      <c r="W472" s="104"/>
      <c r="X472" s="104"/>
      <c r="Y472" s="104"/>
      <c r="Z472" s="104"/>
      <c r="AA472" s="23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231"/>
      <c r="BE472" s="231"/>
      <c r="BF472" s="231"/>
      <c r="BG472" s="231"/>
      <c r="BH472" s="231"/>
      <c r="BI472" s="231"/>
      <c r="BJ472" s="224"/>
      <c r="BK472" s="224"/>
    </row>
    <row r="473" spans="1:63" hidden="1" outlineLevel="1">
      <c r="A473" s="9"/>
      <c r="B473" s="44"/>
      <c r="C473" s="328" t="s">
        <v>6</v>
      </c>
      <c r="D473" s="9"/>
      <c r="E473" s="9"/>
      <c r="F473" s="143"/>
      <c r="G473" s="206"/>
      <c r="H473" s="115"/>
      <c r="I473" s="115"/>
      <c r="J473" s="115"/>
      <c r="K473" s="115"/>
      <c r="L473" s="115">
        <f>IF(M472=0, SUM($G472:L472), 0)</f>
        <v>0</v>
      </c>
      <c r="M473" s="115">
        <f>IF(N472=0, IF(M472=0, 0, SUM($G472:M472)), 0)</f>
        <v>0</v>
      </c>
      <c r="N473" s="115">
        <f>IF(O472=0, IF(N472=0, 0, SUM($G472:N472)), 0)</f>
        <v>0</v>
      </c>
      <c r="O473" s="115">
        <f>IF(P472=0, IF(O472=0, 0, SUM($G472:O472)), 0)</f>
        <v>0</v>
      </c>
      <c r="P473" s="115">
        <f>IF(Q472=0, IF(P472=0, 0, SUM($G472:P472)), 0)</f>
        <v>0</v>
      </c>
      <c r="Q473" s="115">
        <f>IF(R472=0, IF(Q472=0, 0, SUM($G472:Q472)), 0)</f>
        <v>0</v>
      </c>
      <c r="R473" s="104"/>
      <c r="S473" s="104"/>
      <c r="T473" s="104"/>
      <c r="U473" s="104"/>
      <c r="V473" s="104"/>
      <c r="W473" s="104"/>
      <c r="X473" s="104"/>
      <c r="Y473" s="104"/>
      <c r="Z473" s="104"/>
      <c r="AA473" s="23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231"/>
      <c r="BE473" s="231"/>
      <c r="BF473" s="231"/>
      <c r="BG473" s="231"/>
      <c r="BH473" s="231"/>
      <c r="BI473" s="231"/>
      <c r="BJ473" s="224"/>
      <c r="BK473" s="224"/>
    </row>
    <row r="474" spans="1:63" hidden="1" outlineLevel="1">
      <c r="A474" s="9"/>
      <c r="B474" s="44"/>
      <c r="C474" s="131">
        <f>Asset20</f>
        <v>0</v>
      </c>
      <c r="D474" s="9"/>
      <c r="E474" s="9"/>
      <c r="F474" s="143"/>
      <c r="G474" s="206"/>
      <c r="H474" s="115">
        <f>($G420+(SUM($G474:G474)))*H$7</f>
        <v>0</v>
      </c>
      <c r="I474" s="115">
        <f>($G420+(SUM($G474:H474)))*I$7</f>
        <v>0</v>
      </c>
      <c r="J474" s="115">
        <f>($G420+(SUM($G474:I474)))*J$7</f>
        <v>0</v>
      </c>
      <c r="K474" s="115">
        <f>($G420+(SUM($G474:J474)))*K$7</f>
        <v>0</v>
      </c>
      <c r="L474" s="115">
        <f>($G420+(SUM($G474:K474)))*L$7</f>
        <v>0</v>
      </c>
      <c r="M474" s="115">
        <f>($G420+(SUM($G474:L474)))*M$7</f>
        <v>0</v>
      </c>
      <c r="N474" s="115">
        <f>($G420+(SUM($G474:M474)))*N$7</f>
        <v>0</v>
      </c>
      <c r="O474" s="115">
        <f>($G420+(SUM($G474:N474)))*O$7</f>
        <v>0</v>
      </c>
      <c r="P474" s="115">
        <f>($G420+(SUM($G474:O474)))*P$7</f>
        <v>0</v>
      </c>
      <c r="Q474" s="115">
        <f>($G420+(SUM($G474:P474)))*Q$7</f>
        <v>0</v>
      </c>
      <c r="R474" s="104"/>
      <c r="S474" s="104"/>
      <c r="T474" s="104"/>
      <c r="U474" s="104"/>
      <c r="V474" s="104"/>
      <c r="W474" s="104"/>
      <c r="X474" s="104"/>
      <c r="Y474" s="104"/>
      <c r="Z474" s="104"/>
      <c r="AA474" s="23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231"/>
      <c r="BE474" s="231"/>
      <c r="BF474" s="231"/>
      <c r="BG474" s="231"/>
      <c r="BH474" s="231"/>
      <c r="BI474" s="231"/>
      <c r="BJ474" s="224"/>
      <c r="BK474" s="224"/>
    </row>
    <row r="475" spans="1:63" hidden="1" outlineLevel="1">
      <c r="A475" s="9"/>
      <c r="B475" s="44"/>
      <c r="C475" s="328" t="s">
        <v>6</v>
      </c>
      <c r="D475" s="9"/>
      <c r="E475" s="9"/>
      <c r="F475" s="143"/>
      <c r="G475" s="206"/>
      <c r="H475" s="115"/>
      <c r="I475" s="115"/>
      <c r="J475" s="115"/>
      <c r="K475" s="115"/>
      <c r="L475" s="115">
        <f>IF(M474=0, SUM($G474:L474), 0)</f>
        <v>0</v>
      </c>
      <c r="M475" s="115">
        <f>IF(N474=0, IF(M474=0, 0, SUM($G474:M474)), 0)</f>
        <v>0</v>
      </c>
      <c r="N475" s="115">
        <f>IF(O474=0, IF(N474=0, 0, SUM($G474:N474)), 0)</f>
        <v>0</v>
      </c>
      <c r="O475" s="115">
        <f>IF(P474=0, IF(O474=0, 0, SUM($G474:O474)), 0)</f>
        <v>0</v>
      </c>
      <c r="P475" s="115">
        <f>IF(Q474=0, IF(P474=0, 0, SUM($G474:P474)), 0)</f>
        <v>0</v>
      </c>
      <c r="Q475" s="115">
        <f>IF(R474=0, IF(Q474=0, 0, SUM($G474:Q474)), 0)</f>
        <v>0</v>
      </c>
      <c r="R475" s="104"/>
      <c r="S475" s="104"/>
      <c r="T475" s="104"/>
      <c r="U475" s="104"/>
      <c r="V475" s="104"/>
      <c r="W475" s="104"/>
      <c r="X475" s="104"/>
      <c r="Y475" s="104"/>
      <c r="Z475" s="104"/>
      <c r="AA475" s="23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231"/>
      <c r="BE475" s="231"/>
      <c r="BF475" s="231"/>
      <c r="BG475" s="231"/>
      <c r="BH475" s="231"/>
      <c r="BI475" s="231"/>
      <c r="BJ475" s="224"/>
      <c r="BK475" s="224"/>
    </row>
    <row r="476" spans="1:63" hidden="1" outlineLevel="1">
      <c r="A476" s="9"/>
      <c r="B476" s="44"/>
      <c r="C476" s="131">
        <f>Asset20</f>
        <v>0</v>
      </c>
      <c r="D476" s="9"/>
      <c r="E476" s="9"/>
      <c r="F476" s="143"/>
      <c r="G476" s="206"/>
      <c r="H476" s="115">
        <f>($G421+(SUM($G476:G476)))*H$7</f>
        <v>0</v>
      </c>
      <c r="I476" s="115">
        <f>($G421+(SUM($G476:H476)))*I$7</f>
        <v>0</v>
      </c>
      <c r="J476" s="115">
        <f>($G421+(SUM($G476:I476)))*J$7</f>
        <v>0</v>
      </c>
      <c r="K476" s="115">
        <f>($G421+(SUM($G476:J476)))*K$7</f>
        <v>0</v>
      </c>
      <c r="L476" s="115">
        <f>($G421+(SUM($G476:K476)))*L$7</f>
        <v>0</v>
      </c>
      <c r="M476" s="115">
        <f>($G421+(SUM($G476:L476)))*M$7</f>
        <v>0</v>
      </c>
      <c r="N476" s="115">
        <f>($G421+(SUM($G476:M476)))*N$7</f>
        <v>0</v>
      </c>
      <c r="O476" s="115">
        <f>($G421+(SUM($G476:N476)))*O$7</f>
        <v>0</v>
      </c>
      <c r="P476" s="115">
        <f>($G421+(SUM($G476:O476)))*P$7</f>
        <v>0</v>
      </c>
      <c r="Q476" s="115">
        <f>($G421+(SUM($G476:P476)))*Q$7</f>
        <v>0</v>
      </c>
      <c r="R476" s="104"/>
      <c r="S476" s="104"/>
      <c r="T476" s="104"/>
      <c r="U476" s="104"/>
      <c r="V476" s="104"/>
      <c r="W476" s="104"/>
      <c r="X476" s="104"/>
      <c r="Y476" s="104"/>
      <c r="Z476" s="104"/>
      <c r="AA476" s="23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231"/>
      <c r="BE476" s="231"/>
      <c r="BF476" s="231"/>
      <c r="BG476" s="231"/>
      <c r="BH476" s="231"/>
      <c r="BI476" s="231"/>
      <c r="BJ476" s="224"/>
      <c r="BK476" s="224"/>
    </row>
    <row r="477" spans="1:63" hidden="1" outlineLevel="1">
      <c r="A477" s="9"/>
      <c r="B477" s="44"/>
      <c r="C477" s="328" t="s">
        <v>6</v>
      </c>
      <c r="D477" s="9"/>
      <c r="E477" s="9"/>
      <c r="F477" s="143"/>
      <c r="G477" s="206"/>
      <c r="H477" s="115"/>
      <c r="I477" s="115"/>
      <c r="J477" s="115"/>
      <c r="K477" s="115"/>
      <c r="L477" s="115">
        <f>IF(M476=0, SUM($G476:L476), 0)</f>
        <v>0</v>
      </c>
      <c r="M477" s="115">
        <f>IF(N476=0, IF(M476=0, 0, SUM($G476:M476)), 0)</f>
        <v>0</v>
      </c>
      <c r="N477" s="115">
        <f>IF(O476=0, IF(N476=0, 0, SUM($G476:N476)), 0)</f>
        <v>0</v>
      </c>
      <c r="O477" s="115">
        <f>IF(P476=0, IF(O476=0, 0, SUM($G476:O476)), 0)</f>
        <v>0</v>
      </c>
      <c r="P477" s="115">
        <f>IF(Q476=0, IF(P476=0, 0, SUM($G476:P476)), 0)</f>
        <v>0</v>
      </c>
      <c r="Q477" s="115">
        <f>IF(R476=0, IF(Q476=0, 0, SUM($G476:Q476)), 0)</f>
        <v>0</v>
      </c>
      <c r="R477" s="104"/>
      <c r="S477" s="104"/>
      <c r="T477" s="104"/>
      <c r="U477" s="104"/>
      <c r="V477" s="104"/>
      <c r="W477" s="104"/>
      <c r="X477" s="104"/>
      <c r="Y477" s="104"/>
      <c r="Z477" s="104"/>
      <c r="AA477" s="23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231"/>
      <c r="BE477" s="231"/>
      <c r="BF477" s="231"/>
      <c r="BG477" s="231"/>
      <c r="BH477" s="231"/>
      <c r="BI477" s="231"/>
      <c r="BJ477" s="224"/>
      <c r="BK477" s="224"/>
    </row>
    <row r="478" spans="1:63" hidden="1" outlineLevel="1">
      <c r="A478" s="9"/>
      <c r="B478" s="44"/>
      <c r="C478" s="131">
        <f>Asset20</f>
        <v>0</v>
      </c>
      <c r="D478" s="9"/>
      <c r="E478" s="9"/>
      <c r="F478" s="143"/>
      <c r="G478" s="206"/>
      <c r="H478" s="115">
        <f>($G422+(SUM($G478:G478)))*H$7</f>
        <v>0</v>
      </c>
      <c r="I478" s="115">
        <f>($G422+(SUM($G478:H478)))*I$7</f>
        <v>0</v>
      </c>
      <c r="J478" s="115">
        <f>($G422+(SUM($G478:I478)))*J$7</f>
        <v>0</v>
      </c>
      <c r="K478" s="115">
        <f>($G422+(SUM($G478:J478)))*K$7</f>
        <v>0</v>
      </c>
      <c r="L478" s="115">
        <f>($G422+(SUM($G478:K478)))*L$7</f>
        <v>0</v>
      </c>
      <c r="M478" s="115">
        <f>($G422+(SUM($G478:L478)))*M$7</f>
        <v>0</v>
      </c>
      <c r="N478" s="115">
        <f>($G422+(SUM($G478:M478)))*N$7</f>
        <v>0</v>
      </c>
      <c r="O478" s="115">
        <f>($G422+(SUM($G478:N478)))*O$7</f>
        <v>0</v>
      </c>
      <c r="P478" s="115">
        <f>($G422+(SUM($G478:O478)))*P$7</f>
        <v>0</v>
      </c>
      <c r="Q478" s="115">
        <f>($G422+(SUM($G478:P478)))*Q$7</f>
        <v>0</v>
      </c>
      <c r="R478" s="104"/>
      <c r="S478" s="104"/>
      <c r="T478" s="104"/>
      <c r="U478" s="104"/>
      <c r="V478" s="104"/>
      <c r="W478" s="104"/>
      <c r="X478" s="104"/>
      <c r="Y478" s="104"/>
      <c r="Z478" s="104"/>
      <c r="AA478" s="23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231"/>
      <c r="BE478" s="231"/>
      <c r="BF478" s="231"/>
      <c r="BG478" s="231"/>
      <c r="BH478" s="231"/>
      <c r="BI478" s="231"/>
      <c r="BJ478" s="224"/>
      <c r="BK478" s="224"/>
    </row>
    <row r="479" spans="1:63" hidden="1" outlineLevel="1">
      <c r="A479" s="9"/>
      <c r="B479" s="44"/>
      <c r="C479" s="328" t="s">
        <v>6</v>
      </c>
      <c r="D479" s="9"/>
      <c r="E479" s="9"/>
      <c r="F479" s="143"/>
      <c r="G479" s="206"/>
      <c r="H479" s="115"/>
      <c r="I479" s="115"/>
      <c r="J479" s="115"/>
      <c r="K479" s="115"/>
      <c r="L479" s="115">
        <f>IF(M478=0, SUM($G478:L478), 0)</f>
        <v>0</v>
      </c>
      <c r="M479" s="115">
        <f>IF(N478=0, IF(M478=0, 0, SUM($G478:M478)), 0)</f>
        <v>0</v>
      </c>
      <c r="N479" s="115">
        <f>IF(O478=0, IF(N478=0, 0, SUM($G478:N478)), 0)</f>
        <v>0</v>
      </c>
      <c r="O479" s="115">
        <f>IF(P478=0, IF(O478=0, 0, SUM($G478:O478)), 0)</f>
        <v>0</v>
      </c>
      <c r="P479" s="115">
        <f>IF(Q478=0, IF(P478=0, 0, SUM($G478:P478)), 0)</f>
        <v>0</v>
      </c>
      <c r="Q479" s="115">
        <f>IF(R478=0, IF(Q478=0, 0, SUM($G478:Q478)), 0)</f>
        <v>0</v>
      </c>
      <c r="R479" s="104"/>
      <c r="S479" s="104"/>
      <c r="T479" s="104"/>
      <c r="U479" s="104"/>
      <c r="V479" s="104"/>
      <c r="W479" s="104"/>
      <c r="X479" s="104"/>
      <c r="Y479" s="104"/>
      <c r="Z479" s="104"/>
      <c r="AA479" s="23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231"/>
      <c r="BE479" s="231"/>
      <c r="BF479" s="231"/>
      <c r="BG479" s="231"/>
      <c r="BH479" s="231"/>
      <c r="BI479" s="231"/>
      <c r="BJ479" s="224"/>
      <c r="BK479" s="224"/>
    </row>
    <row r="480" spans="1:63" hidden="1" outlineLevel="1">
      <c r="A480" s="9"/>
      <c r="B480" s="44"/>
      <c r="C480" s="131">
        <f>Asset20</f>
        <v>0</v>
      </c>
      <c r="D480" s="9"/>
      <c r="E480" s="9"/>
      <c r="F480" s="143"/>
      <c r="G480" s="206"/>
      <c r="H480" s="115">
        <f>($G423+(SUM($G480:G480)))*H$7</f>
        <v>0</v>
      </c>
      <c r="I480" s="115">
        <f>($G423+(SUM($G480:H480)))*I$7</f>
        <v>0</v>
      </c>
      <c r="J480" s="115">
        <f>($G423+(SUM($G480:I480)))*J$7</f>
        <v>0</v>
      </c>
      <c r="K480" s="115">
        <f>($G423+(SUM($G480:J480)))*K$7</f>
        <v>0</v>
      </c>
      <c r="L480" s="115">
        <f>($G423+(SUM($G480:K480)))*L$7</f>
        <v>0</v>
      </c>
      <c r="M480" s="115">
        <f>($G423+(SUM($G480:L480)))*M$7</f>
        <v>0</v>
      </c>
      <c r="N480" s="115">
        <f>($G423+(SUM($G480:M480)))*N$7</f>
        <v>0</v>
      </c>
      <c r="O480" s="115">
        <f>($G423+(SUM($G480:N480)))*O$7</f>
        <v>0</v>
      </c>
      <c r="P480" s="115">
        <f>($G423+(SUM($G480:O480)))*P$7</f>
        <v>0</v>
      </c>
      <c r="Q480" s="115">
        <f>($G423+(SUM($G480:P480)))*Q$7</f>
        <v>0</v>
      </c>
      <c r="R480" s="104"/>
      <c r="S480" s="104"/>
      <c r="T480" s="104"/>
      <c r="U480" s="104"/>
      <c r="V480" s="104"/>
      <c r="W480" s="104"/>
      <c r="X480" s="104"/>
      <c r="Y480" s="104"/>
      <c r="Z480" s="104"/>
      <c r="AA480" s="23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231"/>
      <c r="BE480" s="231"/>
      <c r="BF480" s="231"/>
      <c r="BG480" s="231"/>
      <c r="BH480" s="231"/>
      <c r="BI480" s="231"/>
      <c r="BJ480" s="224"/>
      <c r="BK480" s="224"/>
    </row>
    <row r="481" spans="1:63" hidden="1" outlineLevel="1">
      <c r="A481" s="9"/>
      <c r="B481" s="44"/>
      <c r="C481" s="328" t="s">
        <v>6</v>
      </c>
      <c r="D481" s="9"/>
      <c r="E481" s="9"/>
      <c r="F481" s="143"/>
      <c r="G481" s="206"/>
      <c r="H481" s="115"/>
      <c r="I481" s="115"/>
      <c r="J481" s="115"/>
      <c r="K481" s="115"/>
      <c r="L481" s="115">
        <f>IF(M480=0, SUM($G480:L480), 0)</f>
        <v>0</v>
      </c>
      <c r="M481" s="115">
        <f>IF(N480=0, IF(M480=0, 0, SUM($G480:M480)), 0)</f>
        <v>0</v>
      </c>
      <c r="N481" s="115">
        <f>IF(O480=0, IF(N480=0, 0, SUM($G480:N480)), 0)</f>
        <v>0</v>
      </c>
      <c r="O481" s="115">
        <f>IF(P480=0, IF(O480=0, 0, SUM($G480:O480)), 0)</f>
        <v>0</v>
      </c>
      <c r="P481" s="115">
        <f>IF(Q480=0, IF(P480=0, 0, SUM($G480:P480)), 0)</f>
        <v>0</v>
      </c>
      <c r="Q481" s="115">
        <f>IF(R480=0, IF(Q480=0, 0, SUM($G480:Q480)), 0)</f>
        <v>0</v>
      </c>
      <c r="R481" s="104"/>
      <c r="S481" s="104"/>
      <c r="T481" s="104"/>
      <c r="U481" s="104"/>
      <c r="V481" s="104"/>
      <c r="W481" s="104"/>
      <c r="X481" s="104"/>
      <c r="Y481" s="104"/>
      <c r="Z481" s="104"/>
      <c r="AA481" s="23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231"/>
      <c r="BE481" s="231"/>
      <c r="BF481" s="231"/>
      <c r="BG481" s="231"/>
      <c r="BH481" s="231"/>
      <c r="BI481" s="231"/>
      <c r="BJ481" s="224"/>
      <c r="BK481" s="224"/>
    </row>
    <row r="482" spans="1:63" hidden="1" outlineLevel="1">
      <c r="A482" s="9"/>
      <c r="B482" s="44"/>
      <c r="C482" s="131">
        <f>Asset20</f>
        <v>0</v>
      </c>
      <c r="D482" s="9"/>
      <c r="E482" s="9"/>
      <c r="F482" s="143"/>
      <c r="G482" s="206"/>
      <c r="H482" s="115">
        <f>($G424+(SUM($G482:G482)))*H$7</f>
        <v>0</v>
      </c>
      <c r="I482" s="115">
        <f>($G424+(SUM($G482:H482)))*I$7</f>
        <v>0</v>
      </c>
      <c r="J482" s="115">
        <f>($G424+(SUM($G482:I482)))*J$7</f>
        <v>0</v>
      </c>
      <c r="K482" s="115">
        <f>($G424+(SUM($G482:J482)))*K$7</f>
        <v>0</v>
      </c>
      <c r="L482" s="115">
        <f>($G424+(SUM($G482:K482)))*L$7</f>
        <v>0</v>
      </c>
      <c r="M482" s="115">
        <f>($G424+(SUM($G482:L482)))*M$7</f>
        <v>0</v>
      </c>
      <c r="N482" s="115">
        <f>($G424+(SUM($G482:M482)))*N$7</f>
        <v>0</v>
      </c>
      <c r="O482" s="115">
        <f>($G424+(SUM($G482:N482)))*O$7</f>
        <v>0</v>
      </c>
      <c r="P482" s="115">
        <f>($G424+(SUM($G482:O482)))*P$7</f>
        <v>0</v>
      </c>
      <c r="Q482" s="115">
        <f>($G424+(SUM($G482:P482)))*Q$7</f>
        <v>0</v>
      </c>
      <c r="R482" s="104"/>
      <c r="S482" s="104"/>
      <c r="T482" s="104"/>
      <c r="U482" s="104"/>
      <c r="V482" s="104"/>
      <c r="W482" s="104"/>
      <c r="X482" s="104"/>
      <c r="Y482" s="104"/>
      <c r="Z482" s="104"/>
      <c r="AA482" s="23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24"/>
      <c r="BK482" s="224"/>
    </row>
    <row r="483" spans="1:63" hidden="1" outlineLevel="1">
      <c r="A483" s="9"/>
      <c r="B483" s="44"/>
      <c r="C483" s="328" t="s">
        <v>6</v>
      </c>
      <c r="D483" s="9"/>
      <c r="E483" s="9"/>
      <c r="F483" s="143"/>
      <c r="G483" s="206"/>
      <c r="H483" s="115"/>
      <c r="I483" s="115"/>
      <c r="J483" s="115"/>
      <c r="K483" s="115"/>
      <c r="L483" s="115">
        <f>IF(M482=0, SUM($G482:L482), 0)</f>
        <v>0</v>
      </c>
      <c r="M483" s="115">
        <f>IF(N482=0, IF(M482=0, 0, SUM($G482:M482)), 0)</f>
        <v>0</v>
      </c>
      <c r="N483" s="115">
        <f>IF(O482=0, IF(N482=0, 0, SUM($G482:N482)), 0)</f>
        <v>0</v>
      </c>
      <c r="O483" s="115">
        <f>IF(P482=0, IF(O482=0, 0, SUM($G482:O482)), 0)</f>
        <v>0</v>
      </c>
      <c r="P483" s="115">
        <f>IF(Q482=0, IF(P482=0, 0, SUM($G482:P482)), 0)</f>
        <v>0</v>
      </c>
      <c r="Q483" s="115">
        <f>IF(R482=0, IF(Q482=0, 0, SUM($G482:Q482)), 0)</f>
        <v>0</v>
      </c>
      <c r="R483" s="104"/>
      <c r="S483" s="104"/>
      <c r="T483" s="104"/>
      <c r="U483" s="104"/>
      <c r="V483" s="104"/>
      <c r="W483" s="104"/>
      <c r="X483" s="104"/>
      <c r="Y483" s="104"/>
      <c r="Z483" s="104"/>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24"/>
      <c r="BK483" s="224"/>
    </row>
    <row r="484" spans="1:63" hidden="1" outlineLevel="1">
      <c r="A484" s="9"/>
      <c r="B484" s="44"/>
      <c r="C484" s="131">
        <f>Asset20</f>
        <v>0</v>
      </c>
      <c r="D484" s="9"/>
      <c r="E484" s="9"/>
      <c r="F484" s="143"/>
      <c r="G484" s="206"/>
      <c r="H484" s="115">
        <f>($G425+(SUM($G484:G484)))*H$7</f>
        <v>0</v>
      </c>
      <c r="I484" s="115">
        <f>($G425+(SUM($G484:H484)))*I$7</f>
        <v>0</v>
      </c>
      <c r="J484" s="115">
        <f>($G425+(SUM($G484:I484)))*J$7</f>
        <v>0</v>
      </c>
      <c r="K484" s="115">
        <f>($G425+(SUM($G484:J484)))*K$7</f>
        <v>0</v>
      </c>
      <c r="L484" s="115">
        <f>($G425+(SUM($G484:K484)))*L$7</f>
        <v>0</v>
      </c>
      <c r="M484" s="115">
        <f>($G425+(SUM($G484:L484)))*M$7</f>
        <v>0</v>
      </c>
      <c r="N484" s="115">
        <f>($G425+(SUM($G484:M484)))*N$7</f>
        <v>0</v>
      </c>
      <c r="O484" s="115">
        <f>($G425+(SUM($G484:N484)))*O$7</f>
        <v>0</v>
      </c>
      <c r="P484" s="115">
        <f>($G425+(SUM($G484:O484)))*P$7</f>
        <v>0</v>
      </c>
      <c r="Q484" s="115">
        <f>($G425+(SUM($G484:P484)))*Q$7</f>
        <v>0</v>
      </c>
      <c r="R484" s="104"/>
      <c r="S484" s="104"/>
      <c r="T484" s="104"/>
      <c r="U484" s="104"/>
      <c r="V484" s="104"/>
      <c r="W484" s="104"/>
      <c r="X484" s="104"/>
      <c r="Y484" s="104"/>
      <c r="Z484" s="104"/>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24"/>
      <c r="BK484" s="224"/>
    </row>
    <row r="485" spans="1:63" hidden="1" outlineLevel="1">
      <c r="A485" s="9"/>
      <c r="B485" s="44"/>
      <c r="C485" s="328" t="s">
        <v>6</v>
      </c>
      <c r="D485" s="9"/>
      <c r="E485" s="9"/>
      <c r="F485" s="143"/>
      <c r="G485" s="206"/>
      <c r="H485" s="115"/>
      <c r="I485" s="115"/>
      <c r="J485" s="115"/>
      <c r="K485" s="115"/>
      <c r="L485" s="115">
        <f>IF(M484=0, SUM($G484:L484), 0)</f>
        <v>0</v>
      </c>
      <c r="M485" s="115">
        <f>IF(N484=0, IF(M484=0, 0, SUM($G484:M484)), 0)</f>
        <v>0</v>
      </c>
      <c r="N485" s="115">
        <f>IF(O484=0, IF(N484=0, 0, SUM($G484:N484)), 0)</f>
        <v>0</v>
      </c>
      <c r="O485" s="115">
        <f>IF(P484=0, IF(O484=0, 0, SUM($G484:O484)), 0)</f>
        <v>0</v>
      </c>
      <c r="P485" s="115">
        <f>IF(Q484=0, IF(P484=0, 0, SUM($G484:P484)), 0)</f>
        <v>0</v>
      </c>
      <c r="Q485" s="115">
        <f>IF(R484=0, IF(Q484=0, 0, SUM($G484:Q484)), 0)</f>
        <v>0</v>
      </c>
      <c r="R485" s="104"/>
      <c r="S485" s="104"/>
      <c r="T485" s="104"/>
      <c r="U485" s="104"/>
      <c r="V485" s="104"/>
      <c r="W485" s="104"/>
      <c r="X485" s="104"/>
      <c r="Y485" s="104"/>
      <c r="Z485" s="104"/>
      <c r="AA485" s="23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231"/>
      <c r="BE485" s="231"/>
      <c r="BF485" s="231"/>
      <c r="BG485" s="231"/>
      <c r="BH485" s="231"/>
      <c r="BI485" s="231"/>
      <c r="BJ485" s="224"/>
      <c r="BK485" s="224"/>
    </row>
    <row r="486" spans="1:63" hidden="1" outlineLevel="1">
      <c r="A486" s="9"/>
      <c r="B486" s="44"/>
      <c r="C486" s="131">
        <f>Asset20</f>
        <v>0</v>
      </c>
      <c r="D486" s="9"/>
      <c r="E486" s="9"/>
      <c r="F486" s="143"/>
      <c r="G486" s="206"/>
      <c r="H486" s="115">
        <f>($G426+(SUM($G486:G486)))*H$7</f>
        <v>0</v>
      </c>
      <c r="I486" s="115">
        <f>($G426+(SUM($G486:H486)))*I$7</f>
        <v>0</v>
      </c>
      <c r="J486" s="115">
        <f>($G426+(SUM($G486:I486)))*J$7</f>
        <v>0</v>
      </c>
      <c r="K486" s="115">
        <f>($G426+(SUM($G486:J486)))*K$7</f>
        <v>0</v>
      </c>
      <c r="L486" s="115">
        <f>($G426+(SUM($G486:K486)))*L$7</f>
        <v>0</v>
      </c>
      <c r="M486" s="115">
        <f>($G426+(SUM($G486:L486)))*M$7</f>
        <v>0</v>
      </c>
      <c r="N486" s="115">
        <f>($G426+(SUM($G486:M486)))*N$7</f>
        <v>0</v>
      </c>
      <c r="O486" s="115">
        <f>($G426+(SUM($G486:N486)))*O$7</f>
        <v>0</v>
      </c>
      <c r="P486" s="115">
        <f>($G426+(SUM($G486:O486)))*P$7</f>
        <v>0</v>
      </c>
      <c r="Q486" s="115">
        <f>($G426+(SUM($G486:P486)))*Q$7</f>
        <v>0</v>
      </c>
      <c r="R486" s="104"/>
      <c r="S486" s="104"/>
      <c r="T486" s="104"/>
      <c r="U486" s="104"/>
      <c r="V486" s="104"/>
      <c r="W486" s="104"/>
      <c r="X486" s="104"/>
      <c r="Y486" s="104"/>
      <c r="Z486" s="104"/>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231"/>
      <c r="BE486" s="231"/>
      <c r="BF486" s="231"/>
      <c r="BG486" s="231"/>
      <c r="BH486" s="231"/>
      <c r="BI486" s="231"/>
      <c r="BJ486" s="224"/>
      <c r="BK486" s="224"/>
    </row>
    <row r="487" spans="1:63" hidden="1" outlineLevel="1">
      <c r="A487" s="9"/>
      <c r="B487" s="44"/>
      <c r="C487" s="328" t="s">
        <v>6</v>
      </c>
      <c r="D487" s="9"/>
      <c r="E487" s="9"/>
      <c r="F487" s="143"/>
      <c r="G487" s="206"/>
      <c r="H487" s="115"/>
      <c r="I487" s="115"/>
      <c r="J487" s="115"/>
      <c r="K487" s="115"/>
      <c r="L487" s="115">
        <f>IF(M486=0, SUM($G486:L486), 0)</f>
        <v>0</v>
      </c>
      <c r="M487" s="115">
        <f>IF(N486=0, IF(M486=0, 0, SUM($G486:M486)), 0)</f>
        <v>0</v>
      </c>
      <c r="N487" s="115">
        <f>IF(O486=0, IF(N486=0, 0, SUM($G486:N486)), 0)</f>
        <v>0</v>
      </c>
      <c r="O487" s="115">
        <f>IF(P486=0, IF(O486=0, 0, SUM($G486:O486)), 0)</f>
        <v>0</v>
      </c>
      <c r="P487" s="115">
        <f>IF(Q486=0, IF(P486=0, 0, SUM($G486:P486)), 0)</f>
        <v>0</v>
      </c>
      <c r="Q487" s="115">
        <f>IF(R486=0, IF(Q486=0, 0, SUM($G486:Q486)), 0)</f>
        <v>0</v>
      </c>
      <c r="R487" s="104"/>
      <c r="S487" s="104"/>
      <c r="T487" s="104"/>
      <c r="U487" s="104"/>
      <c r="V487" s="104"/>
      <c r="W487" s="104"/>
      <c r="X487" s="104"/>
      <c r="Y487" s="104"/>
      <c r="Z487" s="104"/>
      <c r="AA487" s="23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231"/>
      <c r="BE487" s="231"/>
      <c r="BF487" s="231"/>
      <c r="BG487" s="231"/>
      <c r="BH487" s="231"/>
      <c r="BI487" s="231"/>
      <c r="BJ487" s="224"/>
      <c r="BK487" s="224"/>
    </row>
    <row r="488" spans="1:63" hidden="1" outlineLevel="1">
      <c r="A488" s="9"/>
      <c r="B488" s="44"/>
      <c r="C488" s="131">
        <f>Asset20</f>
        <v>0</v>
      </c>
      <c r="D488" s="9"/>
      <c r="E488" s="9"/>
      <c r="F488" s="143"/>
      <c r="G488" s="206"/>
      <c r="H488" s="115">
        <f>($G427+(SUM($G488:G488)))*H$7</f>
        <v>0</v>
      </c>
      <c r="I488" s="115">
        <f>($G427+(SUM($G488:H488)))*I$7</f>
        <v>0</v>
      </c>
      <c r="J488" s="115">
        <f>($G427+(SUM($G488:I488)))*J$7</f>
        <v>0</v>
      </c>
      <c r="K488" s="115">
        <f>($G427+(SUM($G488:J488)))*K$7</f>
        <v>0</v>
      </c>
      <c r="L488" s="115">
        <f>($G427+(SUM($G488:K488)))*L$7</f>
        <v>0</v>
      </c>
      <c r="M488" s="115">
        <f>($G427+(SUM($G488:L488)))*M$7</f>
        <v>0</v>
      </c>
      <c r="N488" s="115">
        <f>($G427+(SUM($G488:M488)))*N$7</f>
        <v>0</v>
      </c>
      <c r="O488" s="115">
        <f>($G427+(SUM($G488:N488)))*O$7</f>
        <v>0</v>
      </c>
      <c r="P488" s="115">
        <f>($G427+(SUM($G488:O488)))*P$7</f>
        <v>0</v>
      </c>
      <c r="Q488" s="115">
        <f>($G427+(SUM($G488:P488)))*Q$7</f>
        <v>0</v>
      </c>
      <c r="R488" s="104"/>
      <c r="S488" s="104"/>
      <c r="T488" s="104"/>
      <c r="U488" s="104"/>
      <c r="V488" s="104"/>
      <c r="W488" s="104"/>
      <c r="X488" s="104"/>
      <c r="Y488" s="104"/>
      <c r="Z488" s="104"/>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231"/>
      <c r="BE488" s="231"/>
      <c r="BF488" s="231"/>
      <c r="BG488" s="231"/>
      <c r="BH488" s="231"/>
      <c r="BI488" s="231"/>
      <c r="BJ488" s="224"/>
      <c r="BK488" s="224"/>
    </row>
    <row r="489" spans="1:63" hidden="1" outlineLevel="1">
      <c r="A489" s="9"/>
      <c r="B489" s="44"/>
      <c r="C489" s="328" t="s">
        <v>6</v>
      </c>
      <c r="D489" s="9"/>
      <c r="E489" s="9"/>
      <c r="F489" s="143"/>
      <c r="G489" s="206"/>
      <c r="H489" s="115"/>
      <c r="I489" s="115"/>
      <c r="J489" s="115"/>
      <c r="K489" s="115"/>
      <c r="L489" s="115">
        <f>IF(M488=0, SUM($G488:L488), 0)</f>
        <v>0</v>
      </c>
      <c r="M489" s="115">
        <f>IF(N488=0, IF(M488=0, 0, SUM($G488:M488)), 0)</f>
        <v>0</v>
      </c>
      <c r="N489" s="115">
        <f>IF(O488=0, IF(N488=0, 0, SUM($G488:N488)), 0)</f>
        <v>0</v>
      </c>
      <c r="O489" s="115">
        <f>IF(P488=0, IF(O488=0, 0, SUM($G488:O488)), 0)</f>
        <v>0</v>
      </c>
      <c r="P489" s="115">
        <f>IF(Q488=0, IF(P488=0, 0, SUM($G488:P488)), 0)</f>
        <v>0</v>
      </c>
      <c r="Q489" s="115">
        <f>IF(R488=0, IF(Q488=0, 0, SUM($G488:Q488)), 0)</f>
        <v>0</v>
      </c>
      <c r="R489" s="104"/>
      <c r="S489" s="104"/>
      <c r="T489" s="104"/>
      <c r="U489" s="104"/>
      <c r="V489" s="104"/>
      <c r="W489" s="104"/>
      <c r="X489" s="104"/>
      <c r="Y489" s="104"/>
      <c r="Z489" s="104"/>
      <c r="AA489" s="23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231"/>
      <c r="BE489" s="231"/>
      <c r="BF489" s="231"/>
      <c r="BG489" s="231"/>
      <c r="BH489" s="231"/>
      <c r="BI489" s="231"/>
      <c r="BJ489" s="224"/>
      <c r="BK489" s="224"/>
    </row>
    <row r="490" spans="1:63" collapsed="1">
      <c r="A490" s="9"/>
      <c r="B490" s="189" t="s">
        <v>18</v>
      </c>
      <c r="D490" s="9"/>
      <c r="E490" s="9"/>
      <c r="F490" s="143"/>
      <c r="G490" s="206"/>
      <c r="H490" s="119"/>
      <c r="I490" s="119"/>
      <c r="J490" s="119"/>
      <c r="K490" s="119"/>
      <c r="L490" s="119">
        <f>IF(M429=0, SUM($G429:L429), 0)</f>
        <v>0</v>
      </c>
      <c r="M490" s="119">
        <f>IF(N429=0, IF(M429=0, 0, SUM($G429:M429)), 0)</f>
        <v>0</v>
      </c>
      <c r="N490" s="119">
        <f>IF(O429=0, IF(N429=0, 0, SUM($G429:N429)), 0)</f>
        <v>0</v>
      </c>
      <c r="O490" s="119">
        <f>IF(P429=0, IF(O429=0, 0, SUM($G429:O429)), 0)</f>
        <v>0</v>
      </c>
      <c r="P490" s="119">
        <f>IF(Q429=0, IF(P429=0, 0, SUM($G429:P429)), 0)</f>
        <v>0</v>
      </c>
      <c r="Q490" s="119">
        <f>IF(R429=0, IF(Q429=0, 0, SUM($G429:Q429)), 0)</f>
        <v>0</v>
      </c>
      <c r="R490" s="104"/>
      <c r="S490" s="104"/>
      <c r="T490" s="104"/>
      <c r="U490" s="104"/>
      <c r="V490" s="104"/>
      <c r="W490" s="104"/>
      <c r="X490" s="104"/>
      <c r="Y490" s="104"/>
      <c r="Z490" s="104"/>
      <c r="AA490" s="23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231"/>
      <c r="BE490" s="231"/>
      <c r="BF490" s="231"/>
      <c r="BG490" s="231"/>
      <c r="BH490" s="231"/>
      <c r="BI490" s="231"/>
      <c r="BJ490" s="224"/>
      <c r="BK490" s="224"/>
    </row>
    <row r="491" spans="1:63">
      <c r="A491" s="9"/>
      <c r="B491" s="155"/>
      <c r="C491" s="26"/>
      <c r="D491" s="9"/>
      <c r="E491" s="9"/>
      <c r="F491" s="143"/>
      <c r="G491" s="119"/>
      <c r="H491" s="119"/>
      <c r="I491" s="119"/>
      <c r="J491" s="119"/>
      <c r="K491" s="119"/>
      <c r="L491" s="119"/>
      <c r="M491" s="9"/>
      <c r="N491" s="115"/>
      <c r="O491" s="154"/>
      <c r="P491" s="154"/>
      <c r="Q491" s="154"/>
      <c r="R491" s="104"/>
      <c r="S491" s="104"/>
      <c r="T491" s="104"/>
      <c r="U491" s="104"/>
      <c r="V491" s="104"/>
      <c r="W491" s="104"/>
      <c r="X491" s="104"/>
      <c r="Y491" s="104"/>
      <c r="Z491" s="104"/>
      <c r="AA491" s="23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231"/>
      <c r="BE491" s="231"/>
      <c r="BF491" s="231"/>
      <c r="BG491" s="231"/>
      <c r="BH491" s="231"/>
      <c r="BI491" s="231"/>
      <c r="BJ491" s="224"/>
      <c r="BK491" s="224"/>
    </row>
    <row r="492" spans="1:63">
      <c r="A492" s="9"/>
      <c r="B492" s="155"/>
      <c r="C492" s="26"/>
      <c r="D492" s="9"/>
      <c r="E492" s="9"/>
      <c r="F492" s="143"/>
      <c r="G492" s="119"/>
      <c r="H492" s="119"/>
      <c r="I492" s="119"/>
      <c r="J492" s="119"/>
      <c r="K492" s="119"/>
      <c r="L492" s="119"/>
      <c r="M492" s="9"/>
      <c r="N492" s="115"/>
      <c r="O492" s="154"/>
      <c r="P492" s="154"/>
      <c r="Q492" s="154"/>
      <c r="R492" s="104"/>
      <c r="S492" s="104"/>
      <c r="T492" s="104"/>
      <c r="U492" s="104"/>
      <c r="V492" s="104"/>
      <c r="W492" s="104"/>
      <c r="X492" s="104"/>
      <c r="Y492" s="104"/>
      <c r="Z492" s="104"/>
      <c r="AA492" s="23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231"/>
      <c r="BE492" s="231"/>
      <c r="BF492" s="231"/>
      <c r="BG492" s="231"/>
      <c r="BH492" s="231"/>
      <c r="BI492" s="231"/>
      <c r="BJ492" s="224"/>
      <c r="BK492" s="224"/>
    </row>
    <row r="493" spans="1:63">
      <c r="A493" s="85"/>
      <c r="B493" s="85" t="s">
        <v>55</v>
      </c>
      <c r="C493" s="113"/>
      <c r="D493" s="113"/>
      <c r="E493" s="113"/>
      <c r="F493" s="113"/>
      <c r="G493" s="113"/>
      <c r="H493" s="113"/>
      <c r="I493" s="113"/>
      <c r="J493" s="113"/>
      <c r="K493" s="113"/>
      <c r="L493" s="113"/>
      <c r="M493" s="113"/>
      <c r="N493" s="113"/>
      <c r="O493" s="113"/>
      <c r="P493" s="113"/>
      <c r="Q493" s="113"/>
      <c r="R493" s="113"/>
      <c r="S493" s="104"/>
      <c r="T493" s="110"/>
      <c r="U493" s="110"/>
      <c r="V493" s="110"/>
      <c r="W493" s="110"/>
      <c r="X493" s="110"/>
      <c r="Y493" s="110"/>
      <c r="Z493" s="110"/>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c r="A494" s="17"/>
      <c r="B494" s="17"/>
      <c r="C494" s="124"/>
      <c r="D494" s="124"/>
      <c r="E494" s="124"/>
      <c r="F494" s="124"/>
      <c r="G494" s="124"/>
      <c r="H494" s="115"/>
      <c r="I494" s="115"/>
      <c r="J494" s="115"/>
      <c r="K494" s="115"/>
      <c r="L494" s="115"/>
      <c r="M494" s="115"/>
      <c r="N494" s="115"/>
      <c r="O494" s="110"/>
      <c r="P494" s="110"/>
      <c r="Q494" s="110"/>
      <c r="R494" s="110"/>
      <c r="S494" s="104"/>
      <c r="T494" s="110"/>
      <c r="U494" s="110"/>
      <c r="V494" s="110"/>
      <c r="W494" s="110"/>
      <c r="X494" s="110"/>
      <c r="Y494" s="110"/>
      <c r="Z494" s="110"/>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c r="A495" s="9"/>
      <c r="B495" s="44" t="s">
        <v>63</v>
      </c>
      <c r="C495" s="9"/>
      <c r="D495" s="9"/>
      <c r="E495" s="9"/>
      <c r="F495" s="9"/>
      <c r="G495" s="310">
        <f>SUM(G496:G525)</f>
        <v>1879.9814438209928</v>
      </c>
      <c r="H495" s="469">
        <f>SUM(H496:H525)</f>
        <v>2093.4385480310939</v>
      </c>
      <c r="I495" s="115"/>
      <c r="J495" s="115"/>
      <c r="K495" s="115"/>
      <c r="L495" s="115"/>
      <c r="M495" s="115"/>
      <c r="N495" s="115"/>
      <c r="O495" s="110"/>
      <c r="P495" s="110"/>
      <c r="Q495" s="110"/>
      <c r="R495" s="110"/>
      <c r="S495" s="104"/>
      <c r="T495" s="110"/>
      <c r="U495" s="110"/>
      <c r="V495" s="110"/>
      <c r="W495" s="110"/>
      <c r="X495" s="110"/>
      <c r="Y495" s="110"/>
      <c r="Z495" s="110"/>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idden="1" outlineLevel="1">
      <c r="A496" s="9"/>
      <c r="B496" s="9"/>
      <c r="C496" s="271" t="str">
        <f>Asset1</f>
        <v>Subtransmission</v>
      </c>
      <c r="D496" s="9"/>
      <c r="E496" s="9"/>
      <c r="F496" s="9"/>
      <c r="G496" s="204">
        <f>Input!J7</f>
        <v>221.08167189144211</v>
      </c>
      <c r="H496" s="334">
        <f>G496+G528+G560+G592+G624+G656+G688</f>
        <v>201.86232986351726</v>
      </c>
      <c r="I496" s="115"/>
      <c r="J496" s="115"/>
      <c r="K496" s="115"/>
      <c r="L496" s="115"/>
      <c r="M496" s="115"/>
      <c r="N496" s="115"/>
      <c r="O496" s="110"/>
      <c r="P496" s="110"/>
      <c r="Q496" s="110"/>
      <c r="R496" s="110"/>
      <c r="S496" s="104"/>
      <c r="T496" s="110"/>
      <c r="U496" s="110"/>
      <c r="V496" s="110"/>
      <c r="W496" s="110"/>
      <c r="X496" s="110"/>
      <c r="Y496" s="110"/>
      <c r="Z496" s="110"/>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idden="1" outlineLevel="1">
      <c r="A497" s="9"/>
      <c r="B497" s="44"/>
      <c r="C497" s="271" t="str">
        <f>Asset2</f>
        <v>Distribution system assets</v>
      </c>
      <c r="D497" s="9"/>
      <c r="E497" s="9"/>
      <c r="F497" s="143"/>
      <c r="G497" s="204">
        <f>Input!J8</f>
        <v>1560.2007896223902</v>
      </c>
      <c r="H497" s="334">
        <f t="shared" ref="H497:H525" si="8">G497+G529+G561+G593+G625+G657+G689</f>
        <v>1751.8018003116877</v>
      </c>
      <c r="I497" s="115"/>
      <c r="J497" s="115"/>
      <c r="K497" s="115"/>
      <c r="L497" s="115"/>
      <c r="M497" s="115"/>
      <c r="N497" s="115"/>
      <c r="O497" s="110"/>
      <c r="P497" s="110"/>
      <c r="Q497" s="110"/>
      <c r="R497" s="110"/>
      <c r="S497" s="104"/>
      <c r="T497" s="110"/>
      <c r="U497" s="110"/>
      <c r="V497" s="110"/>
      <c r="W497" s="110"/>
      <c r="X497" s="110"/>
      <c r="Y497" s="110"/>
      <c r="Z497" s="110"/>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idden="1" outlineLevel="1">
      <c r="A498" s="9"/>
      <c r="B498" s="44"/>
      <c r="C498" s="271" t="str">
        <f>Asset3</f>
        <v>Standard metering</v>
      </c>
      <c r="D498" s="9"/>
      <c r="E498" s="9"/>
      <c r="F498" s="143"/>
      <c r="G498" s="204">
        <f>Input!J9</f>
        <v>14.291879766545669</v>
      </c>
      <c r="H498" s="334">
        <f t="shared" si="8"/>
        <v>15.790380770985777</v>
      </c>
      <c r="I498" s="115"/>
      <c r="J498" s="115"/>
      <c r="K498" s="115"/>
      <c r="L498" s="115"/>
      <c r="M498" s="115"/>
      <c r="N498" s="115"/>
      <c r="O498" s="110"/>
      <c r="P498" s="110"/>
      <c r="Q498" s="110"/>
      <c r="R498" s="110"/>
      <c r="S498" s="104"/>
      <c r="T498" s="110"/>
      <c r="U498" s="110"/>
      <c r="V498" s="110"/>
      <c r="W498" s="110"/>
      <c r="X498" s="110"/>
      <c r="Y498" s="110"/>
      <c r="Z498" s="110"/>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idden="1" outlineLevel="1">
      <c r="A499" s="9"/>
      <c r="B499" s="44"/>
      <c r="C499" s="271" t="str">
        <f>Asset4</f>
        <v>Public lighting</v>
      </c>
      <c r="D499" s="9"/>
      <c r="E499" s="9"/>
      <c r="F499" s="143"/>
      <c r="G499" s="204">
        <f>Input!J10</f>
        <v>6.9278972498934959</v>
      </c>
      <c r="H499" s="334">
        <f t="shared" si="8"/>
        <v>0.38897486718899543</v>
      </c>
      <c r="I499" s="115"/>
      <c r="J499" s="115"/>
      <c r="K499" s="115"/>
      <c r="L499" s="115"/>
      <c r="M499" s="115"/>
      <c r="N499" s="115"/>
      <c r="O499" s="110"/>
      <c r="P499" s="110"/>
      <c r="Q499" s="110"/>
      <c r="R499" s="110"/>
      <c r="S499" s="104"/>
      <c r="T499" s="110"/>
      <c r="U499" s="110"/>
      <c r="V499" s="110"/>
      <c r="W499" s="110"/>
      <c r="X499" s="110"/>
      <c r="Y499" s="110"/>
      <c r="Z499" s="110"/>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idden="1" outlineLevel="1">
      <c r="A500" s="9"/>
      <c r="B500" s="44"/>
      <c r="C500" s="271" t="str">
        <f>Asset5</f>
        <v>SCADA/Network control</v>
      </c>
      <c r="D500" s="9"/>
      <c r="E500" s="9"/>
      <c r="F500" s="143"/>
      <c r="G500" s="204">
        <f>Input!J11</f>
        <v>5.9976894044068878</v>
      </c>
      <c r="H500" s="334">
        <f>G500+G532+G564+G596+G628+G660+G692</f>
        <v>1.6653345369377348E-15</v>
      </c>
      <c r="I500" s="115"/>
      <c r="J500" s="115"/>
      <c r="K500" s="115"/>
      <c r="L500" s="115"/>
      <c r="M500" s="115"/>
      <c r="N500" s="115"/>
      <c r="O500" s="110"/>
      <c r="P500" s="110"/>
      <c r="Q500" s="110"/>
      <c r="R500" s="110"/>
      <c r="S500" s="104"/>
      <c r="T500" s="110"/>
      <c r="U500" s="110"/>
      <c r="V500" s="110"/>
      <c r="W500" s="110"/>
      <c r="X500" s="110"/>
      <c r="Y500" s="110"/>
      <c r="Z500" s="110"/>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idden="1" outlineLevel="1">
      <c r="A501" s="9"/>
      <c r="B501" s="44"/>
      <c r="C501" s="271" t="str">
        <f>Asset6</f>
        <v>Non-network general assets - IT</v>
      </c>
      <c r="D501" s="9"/>
      <c r="E501" s="9"/>
      <c r="F501" s="143"/>
      <c r="G501" s="204">
        <f>Input!J12</f>
        <v>47.805445601604404</v>
      </c>
      <c r="H501" s="334">
        <f t="shared" si="8"/>
        <v>89.319417816228679</v>
      </c>
      <c r="I501" s="115"/>
      <c r="J501" s="115"/>
      <c r="K501" s="115"/>
      <c r="L501" s="115"/>
      <c r="M501" s="115"/>
      <c r="N501" s="115"/>
      <c r="O501" s="110"/>
      <c r="P501" s="110"/>
      <c r="Q501" s="110"/>
      <c r="R501" s="110"/>
      <c r="S501" s="104"/>
      <c r="T501" s="110"/>
      <c r="U501" s="110"/>
      <c r="V501" s="110"/>
      <c r="W501" s="110"/>
      <c r="X501" s="110"/>
      <c r="Y501" s="110"/>
      <c r="Z501" s="110"/>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idden="1" outlineLevel="1">
      <c r="A502" s="9"/>
      <c r="B502" s="44"/>
      <c r="C502" s="271" t="str">
        <f>Asset7</f>
        <v>Non-network general assets - Other</v>
      </c>
      <c r="D502" s="9"/>
      <c r="E502" s="9"/>
      <c r="F502" s="143"/>
      <c r="G502" s="204">
        <f>Input!J13</f>
        <v>23.676070284710153</v>
      </c>
      <c r="H502" s="334">
        <f t="shared" si="8"/>
        <v>34.275644401485252</v>
      </c>
      <c r="I502" s="115"/>
      <c r="J502" s="115"/>
      <c r="K502" s="115"/>
      <c r="L502" s="115"/>
      <c r="M502" s="115"/>
      <c r="N502" s="115"/>
      <c r="O502" s="110"/>
      <c r="P502" s="110"/>
      <c r="Q502" s="110"/>
      <c r="R502" s="110"/>
      <c r="S502" s="104"/>
      <c r="T502" s="110"/>
      <c r="U502" s="110"/>
      <c r="V502" s="110"/>
      <c r="W502" s="110"/>
      <c r="X502" s="110"/>
      <c r="Y502" s="110"/>
      <c r="Z502" s="110"/>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idden="1" outlineLevel="1">
      <c r="A503" s="9"/>
      <c r="B503" s="44"/>
      <c r="C503" s="271" t="str">
        <f>Asset8</f>
        <v>Equity Raising Costs</v>
      </c>
      <c r="D503" s="9"/>
      <c r="E503" s="9"/>
      <c r="F503" s="143"/>
      <c r="G503" s="204">
        <f>Input!J14</f>
        <v>0</v>
      </c>
      <c r="H503" s="334">
        <f t="shared" si="8"/>
        <v>0</v>
      </c>
      <c r="I503" s="115"/>
      <c r="J503" s="115"/>
      <c r="K503" s="115"/>
      <c r="L503" s="115"/>
      <c r="M503" s="115"/>
      <c r="N503" s="115"/>
      <c r="O503" s="110"/>
      <c r="P503" s="110"/>
      <c r="Q503" s="110"/>
      <c r="R503" s="110"/>
      <c r="S503" s="104"/>
      <c r="T503" s="110"/>
      <c r="U503" s="110"/>
      <c r="V503" s="110"/>
      <c r="W503" s="110"/>
      <c r="X503" s="110"/>
      <c r="Y503" s="110"/>
      <c r="Z503" s="110"/>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idden="1" outlineLevel="1">
      <c r="A504" s="9"/>
      <c r="B504" s="44"/>
      <c r="C504" s="271">
        <f>Asset9</f>
        <v>0</v>
      </c>
      <c r="D504" s="9"/>
      <c r="E504" s="9"/>
      <c r="F504" s="143"/>
      <c r="G504" s="204">
        <f>Input!J15</f>
        <v>0</v>
      </c>
      <c r="H504" s="334">
        <f t="shared" si="8"/>
        <v>0</v>
      </c>
      <c r="I504" s="115"/>
      <c r="J504" s="115"/>
      <c r="K504" s="115"/>
      <c r="L504" s="115"/>
      <c r="M504" s="115"/>
      <c r="N504" s="115"/>
      <c r="O504" s="110"/>
      <c r="P504" s="110"/>
      <c r="Q504" s="110"/>
      <c r="R504" s="110"/>
      <c r="S504" s="104"/>
      <c r="T504" s="110"/>
      <c r="U504" s="110"/>
      <c r="V504" s="110"/>
      <c r="W504" s="110"/>
      <c r="X504" s="110"/>
      <c r="Y504" s="110"/>
      <c r="Z504" s="110"/>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idden="1" outlineLevel="1">
      <c r="A505" s="9"/>
      <c r="B505" s="44"/>
      <c r="C505" s="271">
        <f>Asset10</f>
        <v>0</v>
      </c>
      <c r="D505" s="9"/>
      <c r="E505" s="9"/>
      <c r="F505" s="143"/>
      <c r="G505" s="204">
        <f>Input!J16</f>
        <v>0</v>
      </c>
      <c r="H505" s="334">
        <f t="shared" si="8"/>
        <v>0</v>
      </c>
      <c r="I505" s="115"/>
      <c r="J505" s="115"/>
      <c r="K505" s="115"/>
      <c r="L505" s="115"/>
      <c r="M505" s="115"/>
      <c r="N505" s="115"/>
      <c r="O505" s="110"/>
      <c r="P505" s="110"/>
      <c r="Q505" s="110"/>
      <c r="R505" s="110"/>
      <c r="S505" s="104"/>
      <c r="T505" s="110"/>
      <c r="U505" s="110"/>
      <c r="V505" s="110"/>
      <c r="W505" s="110"/>
      <c r="X505" s="110"/>
      <c r="Y505" s="110"/>
      <c r="Z505" s="110"/>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idden="1" outlineLevel="1">
      <c r="A506" s="9"/>
      <c r="B506" s="44"/>
      <c r="C506" s="271">
        <f>Asset11</f>
        <v>0</v>
      </c>
      <c r="D506" s="9"/>
      <c r="E506" s="9"/>
      <c r="F506" s="143"/>
      <c r="G506" s="204">
        <f>Input!J17</f>
        <v>0</v>
      </c>
      <c r="H506" s="334">
        <f t="shared" si="8"/>
        <v>0</v>
      </c>
      <c r="I506" s="115"/>
      <c r="J506" s="115"/>
      <c r="K506" s="115"/>
      <c r="L506" s="115"/>
      <c r="M506" s="115"/>
      <c r="N506" s="115"/>
      <c r="O506" s="110"/>
      <c r="P506" s="110"/>
      <c r="Q506" s="110"/>
      <c r="R506" s="110"/>
      <c r="S506" s="104"/>
      <c r="T506" s="110"/>
      <c r="U506" s="110"/>
      <c r="V506" s="110"/>
      <c r="W506" s="110"/>
      <c r="X506" s="110"/>
      <c r="Y506" s="110"/>
      <c r="Z506" s="110"/>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idden="1" outlineLevel="1">
      <c r="A507" s="9"/>
      <c r="B507" s="44"/>
      <c r="C507" s="271">
        <f>Asset12</f>
        <v>0</v>
      </c>
      <c r="D507" s="9"/>
      <c r="E507" s="9"/>
      <c r="F507" s="143"/>
      <c r="G507" s="204">
        <f>Input!J18</f>
        <v>0</v>
      </c>
      <c r="H507" s="334">
        <f t="shared" si="8"/>
        <v>0</v>
      </c>
      <c r="I507" s="115"/>
      <c r="J507" s="115"/>
      <c r="K507" s="115"/>
      <c r="L507" s="115"/>
      <c r="M507" s="115"/>
      <c r="N507" s="115"/>
      <c r="O507" s="110"/>
      <c r="P507" s="110"/>
      <c r="Q507" s="110"/>
      <c r="R507" s="110"/>
      <c r="S507" s="104"/>
      <c r="T507" s="110"/>
      <c r="U507" s="110"/>
      <c r="V507" s="110"/>
      <c r="W507" s="110"/>
      <c r="X507" s="110"/>
      <c r="Y507" s="110"/>
      <c r="Z507" s="110"/>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idden="1" outlineLevel="1">
      <c r="A508" s="9"/>
      <c r="B508" s="44"/>
      <c r="C508" s="271">
        <f>Asset13</f>
        <v>0</v>
      </c>
      <c r="D508" s="9"/>
      <c r="E508" s="9"/>
      <c r="F508" s="143"/>
      <c r="G508" s="204">
        <f>Input!J19</f>
        <v>0</v>
      </c>
      <c r="H508" s="334">
        <f t="shared" si="8"/>
        <v>0</v>
      </c>
      <c r="I508" s="115"/>
      <c r="J508" s="115"/>
      <c r="K508" s="115"/>
      <c r="L508" s="115"/>
      <c r="M508" s="115"/>
      <c r="N508" s="115"/>
      <c r="O508" s="110"/>
      <c r="P508" s="110"/>
      <c r="Q508" s="110"/>
      <c r="R508" s="110"/>
      <c r="S508" s="104"/>
      <c r="T508" s="110"/>
      <c r="U508" s="110"/>
      <c r="V508" s="110"/>
      <c r="W508" s="110"/>
      <c r="X508" s="110"/>
      <c r="Y508" s="110"/>
      <c r="Z508" s="110"/>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idden="1" outlineLevel="1">
      <c r="A509" s="9"/>
      <c r="B509" s="44"/>
      <c r="C509" s="271">
        <f>Asset14</f>
        <v>0</v>
      </c>
      <c r="D509" s="9"/>
      <c r="E509" s="9"/>
      <c r="F509" s="143"/>
      <c r="G509" s="204">
        <f>Input!J20</f>
        <v>0</v>
      </c>
      <c r="H509" s="334">
        <f t="shared" si="8"/>
        <v>0</v>
      </c>
      <c r="I509" s="115"/>
      <c r="J509" s="115"/>
      <c r="K509" s="115"/>
      <c r="L509" s="115"/>
      <c r="M509" s="115"/>
      <c r="N509" s="115"/>
      <c r="O509" s="110"/>
      <c r="P509" s="110"/>
      <c r="Q509" s="110"/>
      <c r="R509" s="110"/>
      <c r="S509" s="104"/>
      <c r="T509" s="110"/>
      <c r="U509" s="110"/>
      <c r="V509" s="110"/>
      <c r="W509" s="110"/>
      <c r="X509" s="110"/>
      <c r="Y509" s="110"/>
      <c r="Z509" s="110"/>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idden="1" outlineLevel="1">
      <c r="A510" s="9"/>
      <c r="B510" s="44"/>
      <c r="C510" s="271">
        <f>Asset15</f>
        <v>0</v>
      </c>
      <c r="D510" s="9"/>
      <c r="E510" s="9"/>
      <c r="F510" s="143"/>
      <c r="G510" s="204">
        <f>Input!J21</f>
        <v>0</v>
      </c>
      <c r="H510" s="334">
        <f t="shared" si="8"/>
        <v>0</v>
      </c>
      <c r="I510" s="115"/>
      <c r="J510" s="115"/>
      <c r="K510" s="115"/>
      <c r="L510" s="115"/>
      <c r="M510" s="115"/>
      <c r="N510" s="115"/>
      <c r="O510" s="110"/>
      <c r="P510" s="110"/>
      <c r="Q510" s="110"/>
      <c r="R510" s="110"/>
      <c r="S510" s="104"/>
      <c r="T510" s="110"/>
      <c r="U510" s="110"/>
      <c r="V510" s="110"/>
      <c r="W510" s="110"/>
      <c r="X510" s="110"/>
      <c r="Y510" s="110"/>
      <c r="Z510" s="110"/>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idden="1" outlineLevel="1">
      <c r="A511" s="9"/>
      <c r="B511" s="44"/>
      <c r="C511" s="271">
        <f>Asset16</f>
        <v>0</v>
      </c>
      <c r="D511" s="9"/>
      <c r="E511" s="9"/>
      <c r="F511" s="143"/>
      <c r="G511" s="204">
        <f>Input!J22</f>
        <v>0</v>
      </c>
      <c r="H511" s="334">
        <f t="shared" si="8"/>
        <v>0</v>
      </c>
      <c r="I511" s="115"/>
      <c r="J511" s="115"/>
      <c r="K511" s="115"/>
      <c r="L511" s="115"/>
      <c r="M511" s="115"/>
      <c r="N511" s="115"/>
      <c r="O511" s="110"/>
      <c r="P511" s="110"/>
      <c r="Q511" s="110"/>
      <c r="R511" s="110"/>
      <c r="S511" s="104"/>
      <c r="T511" s="110"/>
      <c r="U511" s="110"/>
      <c r="V511" s="110"/>
      <c r="W511" s="110"/>
      <c r="X511" s="110"/>
      <c r="Y511" s="110"/>
      <c r="Z511" s="110"/>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idden="1" outlineLevel="1">
      <c r="A512" s="9"/>
      <c r="B512" s="44"/>
      <c r="C512" s="271">
        <f>Asset17</f>
        <v>0</v>
      </c>
      <c r="D512" s="9"/>
      <c r="E512" s="9"/>
      <c r="F512" s="143"/>
      <c r="G512" s="204">
        <f>Input!J23</f>
        <v>0</v>
      </c>
      <c r="H512" s="334">
        <f t="shared" si="8"/>
        <v>0</v>
      </c>
      <c r="I512" s="115"/>
      <c r="J512" s="115"/>
      <c r="K512" s="115"/>
      <c r="L512" s="115"/>
      <c r="M512" s="115"/>
      <c r="N512" s="115"/>
      <c r="O512" s="110"/>
      <c r="P512" s="110"/>
      <c r="Q512" s="110"/>
      <c r="R512" s="110"/>
      <c r="S512" s="104"/>
      <c r="T512" s="110"/>
      <c r="U512" s="110"/>
      <c r="V512" s="110"/>
      <c r="W512" s="110"/>
      <c r="X512" s="110"/>
      <c r="Y512" s="110"/>
      <c r="Z512" s="110"/>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idden="1" outlineLevel="1">
      <c r="A513" s="9"/>
      <c r="B513" s="44"/>
      <c r="C513" s="271">
        <f>Asset18</f>
        <v>0</v>
      </c>
      <c r="D513" s="9"/>
      <c r="E513" s="9"/>
      <c r="F513" s="143"/>
      <c r="G513" s="204">
        <f>Input!J24</f>
        <v>0</v>
      </c>
      <c r="H513" s="334">
        <f t="shared" si="8"/>
        <v>0</v>
      </c>
      <c r="I513" s="115"/>
      <c r="J513" s="115"/>
      <c r="K513" s="115"/>
      <c r="L513" s="115"/>
      <c r="M513" s="115"/>
      <c r="N513" s="115"/>
      <c r="O513" s="110"/>
      <c r="P513" s="110"/>
      <c r="Q513" s="110"/>
      <c r="R513" s="110"/>
      <c r="S513" s="104"/>
      <c r="T513" s="110"/>
      <c r="U513" s="110"/>
      <c r="V513" s="110"/>
      <c r="W513" s="110"/>
      <c r="X513" s="110"/>
      <c r="Y513" s="110"/>
      <c r="Z513" s="110"/>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idden="1" outlineLevel="1">
      <c r="A514" s="9"/>
      <c r="B514" s="44"/>
      <c r="C514" s="271">
        <f>Asset19</f>
        <v>0</v>
      </c>
      <c r="D514" s="9"/>
      <c r="E514" s="9"/>
      <c r="F514" s="143"/>
      <c r="G514" s="204">
        <f>Input!J25</f>
        <v>0</v>
      </c>
      <c r="H514" s="334">
        <f t="shared" si="8"/>
        <v>0</v>
      </c>
      <c r="I514" s="122"/>
      <c r="J514" s="122"/>
      <c r="K514" s="122"/>
      <c r="L514" s="122"/>
      <c r="M514" s="110"/>
      <c r="N514" s="110"/>
      <c r="O514" s="110"/>
      <c r="P514" s="110"/>
      <c r="Q514" s="110"/>
      <c r="R514" s="110"/>
      <c r="S514" s="104"/>
      <c r="T514" s="110"/>
      <c r="U514" s="110"/>
      <c r="V514" s="110"/>
      <c r="W514" s="110"/>
      <c r="X514" s="110"/>
      <c r="Y514" s="110"/>
      <c r="Z514" s="110"/>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idden="1" outlineLevel="1">
      <c r="A515" s="9"/>
      <c r="B515" s="44"/>
      <c r="C515" s="271">
        <f>Asset20</f>
        <v>0</v>
      </c>
      <c r="D515" s="9"/>
      <c r="E515" s="9"/>
      <c r="F515" s="143"/>
      <c r="G515" s="204">
        <f>Input!J26</f>
        <v>0</v>
      </c>
      <c r="H515" s="334">
        <f t="shared" si="8"/>
        <v>0</v>
      </c>
      <c r="I515" s="122"/>
      <c r="J515" s="122"/>
      <c r="K515" s="122"/>
      <c r="L515" s="122"/>
      <c r="M515" s="110"/>
      <c r="N515" s="110"/>
      <c r="O515" s="110"/>
      <c r="P515" s="110"/>
      <c r="Q515" s="110"/>
      <c r="R515" s="110"/>
      <c r="S515" s="104"/>
      <c r="T515" s="110"/>
      <c r="U515" s="110"/>
      <c r="V515" s="110"/>
      <c r="W515" s="110"/>
      <c r="X515" s="110"/>
      <c r="Y515" s="110"/>
      <c r="Z515" s="110"/>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idden="1" outlineLevel="1">
      <c r="A516" s="9"/>
      <c r="B516" s="44"/>
      <c r="C516" s="271">
        <f>Asset21</f>
        <v>0</v>
      </c>
      <c r="D516" s="9"/>
      <c r="E516" s="9"/>
      <c r="F516" s="143"/>
      <c r="G516" s="204">
        <f>Input!J27</f>
        <v>0</v>
      </c>
      <c r="H516" s="334">
        <f t="shared" si="8"/>
        <v>0</v>
      </c>
      <c r="I516" s="122"/>
      <c r="J516" s="122"/>
      <c r="K516" s="122"/>
      <c r="L516" s="122"/>
      <c r="M516" s="110"/>
      <c r="N516" s="110"/>
      <c r="O516" s="110"/>
      <c r="P516" s="110"/>
      <c r="Q516" s="110"/>
      <c r="R516" s="110"/>
      <c r="S516" s="104"/>
      <c r="T516" s="110"/>
      <c r="U516" s="110"/>
      <c r="V516" s="110"/>
      <c r="W516" s="110"/>
      <c r="X516" s="110"/>
      <c r="Y516" s="110"/>
      <c r="Z516" s="110"/>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idden="1" outlineLevel="1">
      <c r="A517" s="9"/>
      <c r="B517" s="44"/>
      <c r="C517" s="271">
        <f>Asset22</f>
        <v>0</v>
      </c>
      <c r="D517" s="9"/>
      <c r="E517" s="9"/>
      <c r="F517" s="143"/>
      <c r="G517" s="204">
        <f>Input!J28</f>
        <v>0</v>
      </c>
      <c r="H517" s="334">
        <f t="shared" si="8"/>
        <v>0</v>
      </c>
      <c r="I517" s="122"/>
      <c r="J517" s="122"/>
      <c r="K517" s="122"/>
      <c r="L517" s="122"/>
      <c r="M517" s="110"/>
      <c r="N517" s="110"/>
      <c r="O517" s="110"/>
      <c r="P517" s="110"/>
      <c r="Q517" s="110"/>
      <c r="R517" s="110"/>
      <c r="S517" s="104"/>
      <c r="T517" s="110"/>
      <c r="U517" s="110"/>
      <c r="V517" s="110"/>
      <c r="W517" s="110"/>
      <c r="X517" s="110"/>
      <c r="Y517" s="110"/>
      <c r="Z517" s="110"/>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idden="1" outlineLevel="1">
      <c r="A518" s="9"/>
      <c r="B518" s="44"/>
      <c r="C518" s="271">
        <f>Asset23</f>
        <v>0</v>
      </c>
      <c r="D518" s="9"/>
      <c r="E518" s="9"/>
      <c r="F518" s="143"/>
      <c r="G518" s="204">
        <f>Input!J29</f>
        <v>0</v>
      </c>
      <c r="H518" s="334">
        <f t="shared" si="8"/>
        <v>0</v>
      </c>
      <c r="I518" s="122"/>
      <c r="J518" s="122"/>
      <c r="K518" s="122"/>
      <c r="L518" s="122"/>
      <c r="M518" s="110"/>
      <c r="N518" s="110"/>
      <c r="O518" s="110"/>
      <c r="P518" s="110"/>
      <c r="Q518" s="110"/>
      <c r="R518" s="110"/>
      <c r="S518" s="104"/>
      <c r="T518" s="110"/>
      <c r="U518" s="110"/>
      <c r="V518" s="110"/>
      <c r="W518" s="110"/>
      <c r="X518" s="110"/>
      <c r="Y518" s="110"/>
      <c r="Z518" s="110"/>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idden="1" outlineLevel="1">
      <c r="A519" s="9"/>
      <c r="B519" s="44"/>
      <c r="C519" s="271">
        <f>Asset24</f>
        <v>0</v>
      </c>
      <c r="D519" s="9"/>
      <c r="E519" s="9"/>
      <c r="F519" s="143"/>
      <c r="G519" s="204">
        <f>Input!J30</f>
        <v>0</v>
      </c>
      <c r="H519" s="334">
        <f t="shared" si="8"/>
        <v>0</v>
      </c>
      <c r="I519" s="122"/>
      <c r="J519" s="122"/>
      <c r="K519" s="122"/>
      <c r="L519" s="122"/>
      <c r="M519" s="110"/>
      <c r="N519" s="110"/>
      <c r="O519" s="110"/>
      <c r="P519" s="110"/>
      <c r="Q519" s="110"/>
      <c r="R519" s="110"/>
      <c r="S519" s="104"/>
      <c r="T519" s="110"/>
      <c r="U519" s="110"/>
      <c r="V519" s="110"/>
      <c r="W519" s="110"/>
      <c r="X519" s="110"/>
      <c r="Y519" s="110"/>
      <c r="Z519" s="110"/>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idden="1" outlineLevel="1">
      <c r="A520" s="9"/>
      <c r="B520" s="44"/>
      <c r="C520" s="271">
        <f>Asset25</f>
        <v>0</v>
      </c>
      <c r="D520" s="9"/>
      <c r="E520" s="9"/>
      <c r="F520" s="143"/>
      <c r="G520" s="204">
        <f>Input!J31</f>
        <v>0</v>
      </c>
      <c r="H520" s="334">
        <f t="shared" si="8"/>
        <v>0</v>
      </c>
      <c r="I520" s="122"/>
      <c r="J520" s="122"/>
      <c r="K520" s="122"/>
      <c r="L520" s="122"/>
      <c r="M520" s="110"/>
      <c r="N520" s="110"/>
      <c r="O520" s="110"/>
      <c r="P520" s="110"/>
      <c r="Q520" s="110"/>
      <c r="R520" s="110"/>
      <c r="S520" s="104"/>
      <c r="T520" s="110"/>
      <c r="U520" s="110"/>
      <c r="V520" s="110"/>
      <c r="W520" s="110"/>
      <c r="X520" s="110"/>
      <c r="Y520" s="110"/>
      <c r="Z520" s="110"/>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idden="1" outlineLevel="1">
      <c r="A521" s="9"/>
      <c r="B521" s="44"/>
      <c r="C521" s="271">
        <f>Asset26</f>
        <v>0</v>
      </c>
      <c r="D521" s="9"/>
      <c r="E521" s="9"/>
      <c r="F521" s="143"/>
      <c r="G521" s="204">
        <f>Input!J32</f>
        <v>0</v>
      </c>
      <c r="H521" s="334">
        <f t="shared" si="8"/>
        <v>0</v>
      </c>
      <c r="I521" s="122"/>
      <c r="J521" s="122"/>
      <c r="K521" s="122"/>
      <c r="L521" s="122"/>
      <c r="M521" s="110"/>
      <c r="N521" s="110"/>
      <c r="O521" s="110"/>
      <c r="P521" s="110"/>
      <c r="Q521" s="110"/>
      <c r="R521" s="110"/>
      <c r="S521" s="104"/>
      <c r="T521" s="110"/>
      <c r="U521" s="110"/>
      <c r="V521" s="110"/>
      <c r="W521" s="110"/>
      <c r="X521" s="110"/>
      <c r="Y521" s="110"/>
      <c r="Z521" s="110"/>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idden="1" outlineLevel="1">
      <c r="A522" s="9"/>
      <c r="B522" s="44"/>
      <c r="C522" s="271">
        <f>Asset27</f>
        <v>0</v>
      </c>
      <c r="D522" s="9"/>
      <c r="E522" s="9"/>
      <c r="F522" s="143"/>
      <c r="G522" s="204">
        <f>Input!J33</f>
        <v>0</v>
      </c>
      <c r="H522" s="334">
        <f t="shared" si="8"/>
        <v>0</v>
      </c>
      <c r="I522" s="122"/>
      <c r="J522" s="122"/>
      <c r="K522" s="122"/>
      <c r="L522" s="122"/>
      <c r="M522" s="110"/>
      <c r="N522" s="110"/>
      <c r="O522" s="110"/>
      <c r="P522" s="110"/>
      <c r="Q522" s="110"/>
      <c r="R522" s="110"/>
      <c r="S522" s="104"/>
      <c r="T522" s="110"/>
      <c r="U522" s="110"/>
      <c r="V522" s="110"/>
      <c r="W522" s="110"/>
      <c r="X522" s="110"/>
      <c r="Y522" s="110"/>
      <c r="Z522" s="110"/>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idden="1" outlineLevel="1">
      <c r="A523" s="9"/>
      <c r="B523" s="44"/>
      <c r="C523" s="271">
        <f>Asset28</f>
        <v>0</v>
      </c>
      <c r="D523" s="9"/>
      <c r="E523" s="9"/>
      <c r="F523" s="143"/>
      <c r="G523" s="204">
        <f>Input!J34</f>
        <v>0</v>
      </c>
      <c r="H523" s="334">
        <f t="shared" si="8"/>
        <v>0</v>
      </c>
      <c r="I523" s="122"/>
      <c r="J523" s="122"/>
      <c r="K523" s="122"/>
      <c r="L523" s="122"/>
      <c r="M523" s="110"/>
      <c r="N523" s="110"/>
      <c r="O523" s="110"/>
      <c r="P523" s="110"/>
      <c r="Q523" s="110"/>
      <c r="R523" s="110"/>
      <c r="S523" s="104"/>
      <c r="T523" s="110"/>
      <c r="U523" s="110"/>
      <c r="V523" s="110"/>
      <c r="W523" s="110"/>
      <c r="X523" s="110"/>
      <c r="Y523" s="110"/>
      <c r="Z523" s="110"/>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hidden="1" outlineLevel="1">
      <c r="A524" s="9"/>
      <c r="B524" s="44"/>
      <c r="C524" s="271">
        <f>Asset29</f>
        <v>0</v>
      </c>
      <c r="D524" s="9"/>
      <c r="E524" s="9"/>
      <c r="F524" s="143"/>
      <c r="G524" s="204">
        <f>Input!J35</f>
        <v>0</v>
      </c>
      <c r="H524" s="334">
        <f t="shared" si="8"/>
        <v>0</v>
      </c>
      <c r="I524" s="122"/>
      <c r="J524" s="122"/>
      <c r="K524" s="122"/>
      <c r="L524" s="122"/>
      <c r="M524" s="110"/>
      <c r="N524" s="110"/>
      <c r="O524" s="110"/>
      <c r="P524" s="110"/>
      <c r="Q524" s="110"/>
      <c r="R524" s="110"/>
      <c r="S524" s="104"/>
      <c r="T524" s="110"/>
      <c r="U524" s="110"/>
      <c r="V524" s="110"/>
      <c r="W524" s="110"/>
      <c r="X524" s="110"/>
      <c r="Y524" s="110"/>
      <c r="Z524" s="110"/>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hidden="1" outlineLevel="1">
      <c r="A525" s="9"/>
      <c r="B525" s="44"/>
      <c r="C525" s="271">
        <f>Asset30</f>
        <v>0</v>
      </c>
      <c r="D525" s="9"/>
      <c r="E525" s="9"/>
      <c r="F525" s="143"/>
      <c r="G525" s="204">
        <f>Input!J36</f>
        <v>0</v>
      </c>
      <c r="H525" s="334">
        <f t="shared" si="8"/>
        <v>0</v>
      </c>
      <c r="I525" s="122"/>
      <c r="J525" s="122"/>
      <c r="K525" s="122"/>
      <c r="L525" s="122"/>
      <c r="M525" s="110"/>
      <c r="N525" s="110"/>
      <c r="O525" s="110"/>
      <c r="P525" s="110"/>
      <c r="Q525" s="110"/>
      <c r="R525" s="110"/>
      <c r="S525" s="104"/>
      <c r="T525" s="110"/>
      <c r="U525" s="110"/>
      <c r="V525" s="110"/>
      <c r="W525" s="110"/>
      <c r="X525" s="110"/>
      <c r="Y525" s="110"/>
      <c r="Z525" s="110"/>
      <c r="AA525" s="218"/>
      <c r="AB525" s="218"/>
      <c r="AC525" s="218"/>
      <c r="AD525" s="218"/>
      <c r="AE525" s="218"/>
      <c r="AF525" s="218"/>
      <c r="AG525" s="218"/>
      <c r="AH525" s="218"/>
      <c r="AI525" s="218"/>
      <c r="AJ525" s="218"/>
      <c r="AK525" s="218"/>
      <c r="AL525" s="218"/>
      <c r="AM525" s="218"/>
      <c r="AN525" s="218"/>
      <c r="AO525" s="218"/>
      <c r="AP525" s="218"/>
      <c r="AQ525" s="218"/>
      <c r="AR525" s="218"/>
      <c r="AS525" s="218"/>
      <c r="AT525" s="218"/>
      <c r="AU525" s="218"/>
      <c r="AV525" s="218"/>
      <c r="AW525" s="218"/>
      <c r="AX525" s="218"/>
      <c r="AY525" s="218"/>
      <c r="AZ525" s="218"/>
      <c r="BA525" s="218"/>
      <c r="BB525" s="218"/>
      <c r="BC525" s="218"/>
      <c r="BD525" s="218"/>
      <c r="BE525" s="218"/>
      <c r="BF525" s="218"/>
      <c r="BG525" s="218"/>
      <c r="BH525" s="218"/>
      <c r="BI525" s="218"/>
      <c r="BJ525" s="224"/>
      <c r="BK525" s="224"/>
    </row>
    <row r="526" spans="1:63" collapsed="1">
      <c r="A526" s="9"/>
      <c r="B526" s="44"/>
      <c r="C526" s="131"/>
      <c r="D526" s="9"/>
      <c r="E526" s="9"/>
      <c r="F526" s="143"/>
      <c r="G526" s="204"/>
      <c r="H526" s="122"/>
      <c r="I526" s="122"/>
      <c r="J526" s="122"/>
      <c r="K526" s="122"/>
      <c r="L526" s="122"/>
      <c r="M526" s="110"/>
      <c r="N526" s="110"/>
      <c r="O526" s="110"/>
      <c r="P526" s="110"/>
      <c r="Q526" s="110"/>
      <c r="R526" s="110"/>
      <c r="S526" s="104"/>
      <c r="T526" s="110"/>
      <c r="U526" s="110"/>
      <c r="V526" s="110"/>
      <c r="W526" s="110"/>
      <c r="X526" s="110"/>
      <c r="Y526" s="110"/>
      <c r="Z526" s="110"/>
      <c r="AA526" s="218"/>
      <c r="AB526" s="218"/>
      <c r="AC526" s="218"/>
      <c r="AD526" s="218"/>
      <c r="AE526" s="218"/>
      <c r="AF526" s="218"/>
      <c r="AG526" s="218"/>
      <c r="AH526" s="218"/>
      <c r="AI526" s="218"/>
      <c r="AJ526" s="218"/>
      <c r="AK526" s="218"/>
      <c r="AL526" s="218"/>
      <c r="AM526" s="218"/>
      <c r="AN526" s="218"/>
      <c r="AO526" s="218"/>
      <c r="AP526" s="218"/>
      <c r="AQ526" s="218"/>
      <c r="AR526" s="218"/>
      <c r="AS526" s="218"/>
      <c r="AT526" s="218"/>
      <c r="AU526" s="218"/>
      <c r="AV526" s="218"/>
      <c r="AW526" s="218"/>
      <c r="AX526" s="218"/>
      <c r="AY526" s="218"/>
      <c r="AZ526" s="218"/>
      <c r="BA526" s="218"/>
      <c r="BB526" s="218"/>
      <c r="BC526" s="218"/>
      <c r="BD526" s="218"/>
      <c r="BE526" s="218"/>
      <c r="BF526" s="218"/>
      <c r="BG526" s="218"/>
      <c r="BH526" s="218"/>
      <c r="BI526" s="218"/>
      <c r="BJ526" s="224"/>
      <c r="BK526" s="224"/>
    </row>
    <row r="527" spans="1:63">
      <c r="A527" s="9"/>
      <c r="B527" s="44" t="s">
        <v>19</v>
      </c>
      <c r="C527" s="9"/>
      <c r="D527" s="9"/>
      <c r="E527" s="9"/>
      <c r="F527" s="9"/>
      <c r="G527" s="205">
        <f>SUM(G528:G557)</f>
        <v>256.13131134785033</v>
      </c>
      <c r="H527" s="122"/>
      <c r="I527" s="122"/>
      <c r="J527" s="122"/>
      <c r="K527" s="122"/>
      <c r="L527" s="122"/>
      <c r="M527" s="110"/>
      <c r="N527" s="110"/>
      <c r="O527" s="110"/>
      <c r="P527" s="110"/>
      <c r="Q527" s="110"/>
      <c r="R527" s="110"/>
      <c r="S527" s="104"/>
      <c r="T527" s="110"/>
      <c r="U527" s="110"/>
      <c r="V527" s="110"/>
      <c r="W527" s="110"/>
      <c r="X527" s="110"/>
      <c r="Y527" s="110"/>
      <c r="Z527" s="110"/>
      <c r="AA527" s="218"/>
      <c r="AB527" s="218"/>
      <c r="AC527" s="218"/>
      <c r="AD527" s="218"/>
      <c r="AE527" s="218"/>
      <c r="AF527" s="218"/>
      <c r="AG527" s="218"/>
      <c r="AH527" s="218"/>
      <c r="AI527" s="218"/>
      <c r="AJ527" s="218"/>
      <c r="AK527" s="218"/>
      <c r="AL527" s="218"/>
      <c r="AM527" s="218"/>
      <c r="AN527" s="218"/>
      <c r="AO527" s="218"/>
      <c r="AP527" s="218"/>
      <c r="AQ527" s="218"/>
      <c r="AR527" s="218"/>
      <c r="AS527" s="218"/>
      <c r="AT527" s="218"/>
      <c r="AU527" s="218"/>
      <c r="AV527" s="218"/>
      <c r="AW527" s="218"/>
      <c r="AX527" s="218"/>
      <c r="AY527" s="218"/>
      <c r="AZ527" s="218"/>
      <c r="BA527" s="218"/>
      <c r="BB527" s="218"/>
      <c r="BC527" s="218"/>
      <c r="BD527" s="218"/>
      <c r="BE527" s="218"/>
      <c r="BF527" s="218"/>
      <c r="BG527" s="218"/>
      <c r="BH527" s="218"/>
      <c r="BI527" s="218"/>
      <c r="BJ527" s="224"/>
      <c r="BK527" s="224"/>
    </row>
    <row r="528" spans="1:63" hidden="1" outlineLevel="1">
      <c r="A528" s="9"/>
      <c r="B528" s="44"/>
      <c r="C528" s="271" t="str">
        <f>Asset1</f>
        <v>Subtransmission</v>
      </c>
      <c r="D528" s="9"/>
      <c r="E528" s="9"/>
      <c r="F528" s="9"/>
      <c r="G528" s="207">
        <f>Input!M7</f>
        <v>26.463578654632183</v>
      </c>
      <c r="H528" s="122"/>
      <c r="I528" s="122"/>
      <c r="J528" s="122"/>
      <c r="K528" s="122"/>
      <c r="L528" s="122"/>
      <c r="M528" s="110"/>
      <c r="N528" s="110"/>
      <c r="O528" s="110"/>
      <c r="P528" s="110"/>
      <c r="Q528" s="110"/>
      <c r="R528" s="110"/>
      <c r="S528" s="104"/>
      <c r="T528" s="110"/>
      <c r="U528" s="110"/>
      <c r="V528" s="110"/>
      <c r="W528" s="110"/>
      <c r="X528" s="110"/>
      <c r="Y528" s="110"/>
      <c r="Z528" s="110"/>
      <c r="AA528" s="218"/>
      <c r="AB528" s="218"/>
      <c r="AC528" s="218"/>
      <c r="AD528" s="218"/>
      <c r="AE528" s="218"/>
      <c r="AF528" s="218"/>
      <c r="AG528" s="218"/>
      <c r="AH528" s="218"/>
      <c r="AI528" s="218"/>
      <c r="AJ528" s="218"/>
      <c r="AK528" s="218"/>
      <c r="AL528" s="218"/>
      <c r="AM528" s="218"/>
      <c r="AN528" s="218"/>
      <c r="AO528" s="218"/>
      <c r="AP528" s="218"/>
      <c r="AQ528" s="218"/>
      <c r="AR528" s="218"/>
      <c r="AS528" s="218"/>
      <c r="AT528" s="218"/>
      <c r="AU528" s="218"/>
      <c r="AV528" s="218"/>
      <c r="AW528" s="218"/>
      <c r="AX528" s="218"/>
      <c r="AY528" s="218"/>
      <c r="AZ528" s="218"/>
      <c r="BA528" s="218"/>
      <c r="BB528" s="218"/>
      <c r="BC528" s="218"/>
      <c r="BD528" s="218"/>
      <c r="BE528" s="218"/>
      <c r="BF528" s="218"/>
      <c r="BG528" s="218"/>
      <c r="BH528" s="218"/>
      <c r="BI528" s="218"/>
      <c r="BJ528" s="224"/>
      <c r="BK528" s="224"/>
    </row>
    <row r="529" spans="1:63" hidden="1" outlineLevel="1">
      <c r="A529" s="9"/>
      <c r="B529" s="44"/>
      <c r="C529" s="271" t="str">
        <f>Asset2</f>
        <v>Distribution system assets</v>
      </c>
      <c r="D529" s="9"/>
      <c r="E529" s="9"/>
      <c r="F529" s="9"/>
      <c r="G529" s="207">
        <f>Input!M8</f>
        <v>172.58288269321812</v>
      </c>
      <c r="H529" s="122"/>
      <c r="I529" s="122"/>
      <c r="J529" s="122"/>
      <c r="K529" s="122"/>
      <c r="L529" s="122"/>
      <c r="M529" s="110"/>
      <c r="N529" s="110"/>
      <c r="O529" s="110"/>
      <c r="P529" s="110"/>
      <c r="Q529" s="110"/>
      <c r="R529" s="110"/>
      <c r="S529" s="104"/>
      <c r="T529" s="110"/>
      <c r="U529" s="110"/>
      <c r="V529" s="110"/>
      <c r="W529" s="110"/>
      <c r="X529" s="110"/>
      <c r="Y529" s="110"/>
      <c r="Z529" s="110"/>
      <c r="AA529" s="218"/>
      <c r="AB529" s="218"/>
      <c r="AC529" s="218"/>
      <c r="AD529" s="218"/>
      <c r="AE529" s="218"/>
      <c r="AF529" s="218"/>
      <c r="AG529" s="218"/>
      <c r="AH529" s="218"/>
      <c r="AI529" s="218"/>
      <c r="AJ529" s="218"/>
      <c r="AK529" s="218"/>
      <c r="AL529" s="218"/>
      <c r="AM529" s="218"/>
      <c r="AN529" s="218"/>
      <c r="AO529" s="218"/>
      <c r="AP529" s="218"/>
      <c r="AQ529" s="218"/>
      <c r="AR529" s="218"/>
      <c r="AS529" s="218"/>
      <c r="AT529" s="218"/>
      <c r="AU529" s="218"/>
      <c r="AV529" s="218"/>
      <c r="AW529" s="218"/>
      <c r="AX529" s="218"/>
      <c r="AY529" s="218"/>
      <c r="AZ529" s="218"/>
      <c r="BA529" s="218"/>
      <c r="BB529" s="218"/>
      <c r="BC529" s="218"/>
      <c r="BD529" s="218"/>
      <c r="BE529" s="218"/>
      <c r="BF529" s="218"/>
      <c r="BG529" s="218"/>
      <c r="BH529" s="218"/>
      <c r="BI529" s="218"/>
      <c r="BJ529" s="224"/>
      <c r="BK529" s="224"/>
    </row>
    <row r="530" spans="1:63" hidden="1" outlineLevel="1">
      <c r="A530" s="9"/>
      <c r="B530" s="44"/>
      <c r="C530" s="271" t="str">
        <f>Asset3</f>
        <v>Standard metering</v>
      </c>
      <c r="D530" s="9"/>
      <c r="E530" s="9"/>
      <c r="F530" s="9"/>
      <c r="G530" s="207">
        <f>Input!M9</f>
        <v>0</v>
      </c>
      <c r="H530" s="122"/>
      <c r="I530" s="122"/>
      <c r="J530" s="122"/>
      <c r="K530" s="122"/>
      <c r="L530" s="122"/>
      <c r="M530" s="110"/>
      <c r="N530" s="110"/>
      <c r="O530" s="110"/>
      <c r="P530" s="110"/>
      <c r="Q530" s="110"/>
      <c r="R530" s="110"/>
      <c r="S530" s="104"/>
      <c r="T530" s="110"/>
      <c r="U530" s="110"/>
      <c r="V530" s="110"/>
      <c r="W530" s="110"/>
      <c r="X530" s="110"/>
      <c r="Y530" s="110"/>
      <c r="Z530" s="110"/>
      <c r="AA530" s="218"/>
      <c r="AB530" s="218"/>
      <c r="AC530" s="218"/>
      <c r="AD530" s="218"/>
      <c r="AE530" s="218"/>
      <c r="AF530" s="218"/>
      <c r="AG530" s="218"/>
      <c r="AH530" s="218"/>
      <c r="AI530" s="218"/>
      <c r="AJ530" s="218"/>
      <c r="AK530" s="218"/>
      <c r="AL530" s="218"/>
      <c r="AM530" s="218"/>
      <c r="AN530" s="218"/>
      <c r="AO530" s="218"/>
      <c r="AP530" s="218"/>
      <c r="AQ530" s="218"/>
      <c r="AR530" s="218"/>
      <c r="AS530" s="218"/>
      <c r="AT530" s="218"/>
      <c r="AU530" s="218"/>
      <c r="AV530" s="218"/>
      <c r="AW530" s="218"/>
      <c r="AX530" s="218"/>
      <c r="AY530" s="218"/>
      <c r="AZ530" s="218"/>
      <c r="BA530" s="218"/>
      <c r="BB530" s="218"/>
      <c r="BC530" s="218"/>
      <c r="BD530" s="218"/>
      <c r="BE530" s="218"/>
      <c r="BF530" s="218"/>
      <c r="BG530" s="218"/>
      <c r="BH530" s="218"/>
      <c r="BI530" s="218"/>
      <c r="BJ530" s="224"/>
      <c r="BK530" s="224"/>
    </row>
    <row r="531" spans="1:63" hidden="1" outlineLevel="1">
      <c r="A531" s="9"/>
      <c r="B531" s="44"/>
      <c r="C531" s="271" t="str">
        <f>Asset4</f>
        <v>Public lighting</v>
      </c>
      <c r="D531" s="9"/>
      <c r="E531" s="9"/>
      <c r="F531" s="9"/>
      <c r="G531" s="207">
        <f>Input!M10</f>
        <v>0</v>
      </c>
      <c r="H531" s="122"/>
      <c r="I531" s="122"/>
      <c r="J531" s="122"/>
      <c r="K531" s="122"/>
      <c r="L531" s="122"/>
      <c r="M531" s="110"/>
      <c r="N531" s="110"/>
      <c r="O531" s="110"/>
      <c r="P531" s="110"/>
      <c r="Q531" s="110"/>
      <c r="R531" s="110"/>
      <c r="S531" s="104"/>
      <c r="T531" s="110"/>
      <c r="U531" s="110"/>
      <c r="V531" s="110"/>
      <c r="W531" s="110"/>
      <c r="X531" s="110"/>
      <c r="Y531" s="110"/>
      <c r="Z531" s="110"/>
      <c r="AA531" s="218"/>
      <c r="AB531" s="218"/>
      <c r="AC531" s="218"/>
      <c r="AD531" s="218"/>
      <c r="AE531" s="218"/>
      <c r="AF531" s="218"/>
      <c r="AG531" s="218"/>
      <c r="AH531" s="218"/>
      <c r="AI531" s="218"/>
      <c r="AJ531" s="218"/>
      <c r="AK531" s="218"/>
      <c r="AL531" s="218"/>
      <c r="AM531" s="218"/>
      <c r="AN531" s="218"/>
      <c r="AO531" s="218"/>
      <c r="AP531" s="218"/>
      <c r="AQ531" s="218"/>
      <c r="AR531" s="218"/>
      <c r="AS531" s="218"/>
      <c r="AT531" s="218"/>
      <c r="AU531" s="218"/>
      <c r="AV531" s="218"/>
      <c r="AW531" s="218"/>
      <c r="AX531" s="218"/>
      <c r="AY531" s="218"/>
      <c r="AZ531" s="218"/>
      <c r="BA531" s="218"/>
      <c r="BB531" s="218"/>
      <c r="BC531" s="218"/>
      <c r="BD531" s="218"/>
      <c r="BE531" s="218"/>
      <c r="BF531" s="218"/>
      <c r="BG531" s="218"/>
      <c r="BH531" s="218"/>
      <c r="BI531" s="218"/>
      <c r="BJ531" s="224"/>
      <c r="BK531" s="224"/>
    </row>
    <row r="532" spans="1:63" hidden="1" outlineLevel="1">
      <c r="A532" s="9"/>
      <c r="B532" s="44"/>
      <c r="C532" s="271" t="str">
        <f>Asset5</f>
        <v>SCADA/Network control</v>
      </c>
      <c r="D532" s="9"/>
      <c r="E532" s="9"/>
      <c r="F532" s="9"/>
      <c r="G532" s="207">
        <f>Input!M11</f>
        <v>1.96</v>
      </c>
      <c r="H532" s="122"/>
      <c r="I532" s="122"/>
      <c r="J532" s="122"/>
      <c r="K532" s="122"/>
      <c r="L532" s="122"/>
      <c r="M532" s="110"/>
      <c r="N532" s="110"/>
      <c r="O532" s="110"/>
      <c r="P532" s="110"/>
      <c r="Q532" s="110"/>
      <c r="R532" s="110"/>
      <c r="S532" s="104"/>
      <c r="T532" s="110"/>
      <c r="U532" s="110"/>
      <c r="V532" s="110"/>
      <c r="W532" s="110"/>
      <c r="X532" s="110"/>
      <c r="Y532" s="110"/>
      <c r="Z532" s="110"/>
      <c r="AA532" s="218"/>
      <c r="AB532" s="218"/>
      <c r="AC532" s="218"/>
      <c r="AD532" s="218"/>
      <c r="AE532" s="218"/>
      <c r="AF532" s="218"/>
      <c r="AG532" s="218"/>
      <c r="AH532" s="218"/>
      <c r="AI532" s="218"/>
      <c r="AJ532" s="218"/>
      <c r="AK532" s="218"/>
      <c r="AL532" s="218"/>
      <c r="AM532" s="218"/>
      <c r="AN532" s="218"/>
      <c r="AO532" s="218"/>
      <c r="AP532" s="218"/>
      <c r="AQ532" s="218"/>
      <c r="AR532" s="218"/>
      <c r="AS532" s="218"/>
      <c r="AT532" s="218"/>
      <c r="AU532" s="218"/>
      <c r="AV532" s="218"/>
      <c r="AW532" s="218"/>
      <c r="AX532" s="218"/>
      <c r="AY532" s="218"/>
      <c r="AZ532" s="218"/>
      <c r="BA532" s="218"/>
      <c r="BB532" s="218"/>
      <c r="BC532" s="218"/>
      <c r="BD532" s="218"/>
      <c r="BE532" s="218"/>
      <c r="BF532" s="218"/>
      <c r="BG532" s="218"/>
      <c r="BH532" s="218"/>
      <c r="BI532" s="218"/>
      <c r="BJ532" s="224"/>
      <c r="BK532" s="224"/>
    </row>
    <row r="533" spans="1:63" hidden="1" outlineLevel="1">
      <c r="A533" s="9"/>
      <c r="B533" s="44"/>
      <c r="C533" s="271" t="str">
        <f>Asset6</f>
        <v>Non-network general assets - IT</v>
      </c>
      <c r="D533" s="9"/>
      <c r="E533" s="9"/>
      <c r="F533" s="9"/>
      <c r="G533" s="207">
        <f>Input!M12</f>
        <v>48.754849999999998</v>
      </c>
      <c r="H533" s="122"/>
      <c r="I533" s="122"/>
      <c r="J533" s="122"/>
      <c r="K533" s="122"/>
      <c r="L533" s="122"/>
      <c r="M533" s="110"/>
      <c r="N533" s="110"/>
      <c r="O533" s="110"/>
      <c r="P533" s="110"/>
      <c r="Q533" s="110"/>
      <c r="R533" s="110"/>
      <c r="S533" s="104"/>
      <c r="T533" s="110"/>
      <c r="U533" s="110"/>
      <c r="V533" s="110"/>
      <c r="W533" s="110"/>
      <c r="X533" s="110"/>
      <c r="Y533" s="110"/>
      <c r="Z533" s="110"/>
      <c r="AA533" s="218"/>
      <c r="AB533" s="218"/>
      <c r="AC533" s="218"/>
      <c r="AD533" s="218"/>
      <c r="AE533" s="218"/>
      <c r="AF533" s="218"/>
      <c r="AG533" s="218"/>
      <c r="AH533" s="218"/>
      <c r="AI533" s="218"/>
      <c r="AJ533" s="218"/>
      <c r="AK533" s="218"/>
      <c r="AL533" s="218"/>
      <c r="AM533" s="218"/>
      <c r="AN533" s="218"/>
      <c r="AO533" s="218"/>
      <c r="AP533" s="218"/>
      <c r="AQ533" s="218"/>
      <c r="AR533" s="218"/>
      <c r="AS533" s="218"/>
      <c r="AT533" s="218"/>
      <c r="AU533" s="218"/>
      <c r="AV533" s="218"/>
      <c r="AW533" s="218"/>
      <c r="AX533" s="218"/>
      <c r="AY533" s="218"/>
      <c r="AZ533" s="218"/>
      <c r="BA533" s="218"/>
      <c r="BB533" s="218"/>
      <c r="BC533" s="218"/>
      <c r="BD533" s="218"/>
      <c r="BE533" s="218"/>
      <c r="BF533" s="218"/>
      <c r="BG533" s="218"/>
      <c r="BH533" s="218"/>
      <c r="BI533" s="218"/>
      <c r="BJ533" s="224"/>
      <c r="BK533" s="224"/>
    </row>
    <row r="534" spans="1:63" hidden="1" outlineLevel="1">
      <c r="A534" s="9"/>
      <c r="B534" s="44"/>
      <c r="C534" s="271" t="str">
        <f>Asset7</f>
        <v>Non-network general assets - Other</v>
      </c>
      <c r="D534" s="9"/>
      <c r="E534" s="9"/>
      <c r="F534" s="9"/>
      <c r="G534" s="207">
        <f>Input!M13</f>
        <v>6.37</v>
      </c>
      <c r="H534" s="122"/>
      <c r="I534" s="122"/>
      <c r="J534" s="122"/>
      <c r="K534" s="122"/>
      <c r="L534" s="122"/>
      <c r="M534" s="110"/>
      <c r="N534" s="110"/>
      <c r="O534" s="110"/>
      <c r="P534" s="110"/>
      <c r="Q534" s="110"/>
      <c r="R534" s="110"/>
      <c r="S534" s="104"/>
      <c r="T534" s="110"/>
      <c r="U534" s="110"/>
      <c r="V534" s="110"/>
      <c r="W534" s="110"/>
      <c r="X534" s="110"/>
      <c r="Y534" s="110"/>
      <c r="Z534" s="110"/>
      <c r="AA534" s="218"/>
      <c r="AB534" s="218"/>
      <c r="AC534" s="218"/>
      <c r="AD534" s="218"/>
      <c r="AE534" s="218"/>
      <c r="AF534" s="218"/>
      <c r="AG534" s="218"/>
      <c r="AH534" s="218"/>
      <c r="AI534" s="218"/>
      <c r="AJ534" s="218"/>
      <c r="AK534" s="218"/>
      <c r="AL534" s="218"/>
      <c r="AM534" s="218"/>
      <c r="AN534" s="218"/>
      <c r="AO534" s="218"/>
      <c r="AP534" s="218"/>
      <c r="AQ534" s="218"/>
      <c r="AR534" s="218"/>
      <c r="AS534" s="218"/>
      <c r="AT534" s="218"/>
      <c r="AU534" s="218"/>
      <c r="AV534" s="218"/>
      <c r="AW534" s="218"/>
      <c r="AX534" s="218"/>
      <c r="AY534" s="218"/>
      <c r="AZ534" s="218"/>
      <c r="BA534" s="218"/>
      <c r="BB534" s="218"/>
      <c r="BC534" s="218"/>
      <c r="BD534" s="218"/>
      <c r="BE534" s="218"/>
      <c r="BF534" s="218"/>
      <c r="BG534" s="218"/>
      <c r="BH534" s="218"/>
      <c r="BI534" s="218"/>
      <c r="BJ534" s="224"/>
      <c r="BK534" s="224"/>
    </row>
    <row r="535" spans="1:63" hidden="1" outlineLevel="1">
      <c r="A535" s="9"/>
      <c r="B535" s="44"/>
      <c r="C535" s="271" t="str">
        <f>Asset8</f>
        <v>Equity Raising Costs</v>
      </c>
      <c r="D535" s="9"/>
      <c r="E535" s="9"/>
      <c r="F535" s="9"/>
      <c r="G535" s="207">
        <f>Input!M14</f>
        <v>0</v>
      </c>
      <c r="H535" s="122"/>
      <c r="I535" s="122"/>
      <c r="J535" s="122"/>
      <c r="K535" s="122"/>
      <c r="L535" s="122"/>
      <c r="M535" s="110"/>
      <c r="N535" s="110"/>
      <c r="O535" s="110"/>
      <c r="P535" s="110"/>
      <c r="Q535" s="110"/>
      <c r="R535" s="110"/>
      <c r="S535" s="104"/>
      <c r="T535" s="110"/>
      <c r="U535" s="110"/>
      <c r="V535" s="110"/>
      <c r="W535" s="110"/>
      <c r="X535" s="110"/>
      <c r="Y535" s="110"/>
      <c r="Z535" s="110"/>
      <c r="AA535" s="218"/>
      <c r="AB535" s="218"/>
      <c r="AC535" s="218"/>
      <c r="AD535" s="218"/>
      <c r="AE535" s="218"/>
      <c r="AF535" s="218"/>
      <c r="AG535" s="218"/>
      <c r="AH535" s="218"/>
      <c r="AI535" s="218"/>
      <c r="AJ535" s="218"/>
      <c r="AK535" s="218"/>
      <c r="AL535" s="218"/>
      <c r="AM535" s="218"/>
      <c r="AN535" s="218"/>
      <c r="AO535" s="218"/>
      <c r="AP535" s="218"/>
      <c r="AQ535" s="218"/>
      <c r="AR535" s="218"/>
      <c r="AS535" s="218"/>
      <c r="AT535" s="218"/>
      <c r="AU535" s="218"/>
      <c r="AV535" s="218"/>
      <c r="AW535" s="218"/>
      <c r="AX535" s="218"/>
      <c r="AY535" s="218"/>
      <c r="AZ535" s="218"/>
      <c r="BA535" s="218"/>
      <c r="BB535" s="218"/>
      <c r="BC535" s="218"/>
      <c r="BD535" s="218"/>
      <c r="BE535" s="218"/>
      <c r="BF535" s="218"/>
      <c r="BG535" s="218"/>
      <c r="BH535" s="218"/>
      <c r="BI535" s="218"/>
      <c r="BJ535" s="224"/>
      <c r="BK535" s="224"/>
    </row>
    <row r="536" spans="1:63" hidden="1" outlineLevel="1">
      <c r="A536" s="9"/>
      <c r="B536" s="44"/>
      <c r="C536" s="271">
        <f>Asset9</f>
        <v>0</v>
      </c>
      <c r="D536" s="9"/>
      <c r="E536" s="9"/>
      <c r="F536" s="9"/>
      <c r="G536" s="207">
        <f>Input!M15</f>
        <v>0</v>
      </c>
      <c r="H536" s="122"/>
      <c r="I536" s="122"/>
      <c r="J536" s="122"/>
      <c r="K536" s="122"/>
      <c r="L536" s="122"/>
      <c r="M536" s="110"/>
      <c r="N536" s="110"/>
      <c r="O536" s="110"/>
      <c r="P536" s="110"/>
      <c r="Q536" s="110"/>
      <c r="R536" s="110"/>
      <c r="S536" s="104"/>
      <c r="T536" s="110"/>
      <c r="U536" s="110"/>
      <c r="V536" s="110"/>
      <c r="W536" s="110"/>
      <c r="X536" s="110"/>
      <c r="Y536" s="110"/>
      <c r="Z536" s="110"/>
      <c r="AA536" s="218"/>
      <c r="AB536" s="218"/>
      <c r="AC536" s="218"/>
      <c r="AD536" s="218"/>
      <c r="AE536" s="218"/>
      <c r="AF536" s="218"/>
      <c r="AG536" s="218"/>
      <c r="AH536" s="218"/>
      <c r="AI536" s="218"/>
      <c r="AJ536" s="218"/>
      <c r="AK536" s="218"/>
      <c r="AL536" s="218"/>
      <c r="AM536" s="218"/>
      <c r="AN536" s="218"/>
      <c r="AO536" s="218"/>
      <c r="AP536" s="218"/>
      <c r="AQ536" s="218"/>
      <c r="AR536" s="218"/>
      <c r="AS536" s="218"/>
      <c r="AT536" s="218"/>
      <c r="AU536" s="218"/>
      <c r="AV536" s="218"/>
      <c r="AW536" s="218"/>
      <c r="AX536" s="218"/>
      <c r="AY536" s="218"/>
      <c r="AZ536" s="218"/>
      <c r="BA536" s="218"/>
      <c r="BB536" s="218"/>
      <c r="BC536" s="218"/>
      <c r="BD536" s="218"/>
      <c r="BE536" s="218"/>
      <c r="BF536" s="218"/>
      <c r="BG536" s="218"/>
      <c r="BH536" s="218"/>
      <c r="BI536" s="218"/>
      <c r="BJ536" s="224"/>
      <c r="BK536" s="224"/>
    </row>
    <row r="537" spans="1:63" hidden="1" outlineLevel="1">
      <c r="A537" s="9"/>
      <c r="B537" s="44"/>
      <c r="C537" s="271">
        <f>Asset10</f>
        <v>0</v>
      </c>
      <c r="D537" s="9"/>
      <c r="E537" s="9"/>
      <c r="F537" s="9"/>
      <c r="G537" s="207">
        <f>Input!M16</f>
        <v>0</v>
      </c>
      <c r="H537" s="122"/>
      <c r="I537" s="122"/>
      <c r="J537" s="122"/>
      <c r="K537" s="122"/>
      <c r="L537" s="122"/>
      <c r="M537" s="110"/>
      <c r="N537" s="110"/>
      <c r="O537" s="110"/>
      <c r="P537" s="110"/>
      <c r="Q537" s="110"/>
      <c r="R537" s="110"/>
      <c r="S537" s="104"/>
      <c r="T537" s="110"/>
      <c r="U537" s="110"/>
      <c r="V537" s="110"/>
      <c r="W537" s="110"/>
      <c r="X537" s="110"/>
      <c r="Y537" s="110"/>
      <c r="Z537" s="110"/>
      <c r="AA537" s="218"/>
      <c r="AB537" s="218"/>
      <c r="AC537" s="218"/>
      <c r="AD537" s="218"/>
      <c r="AE537" s="218"/>
      <c r="AF537" s="218"/>
      <c r="AG537" s="218"/>
      <c r="AH537" s="218"/>
      <c r="AI537" s="218"/>
      <c r="AJ537" s="218"/>
      <c r="AK537" s="218"/>
      <c r="AL537" s="218"/>
      <c r="AM537" s="218"/>
      <c r="AN537" s="218"/>
      <c r="AO537" s="218"/>
      <c r="AP537" s="218"/>
      <c r="AQ537" s="218"/>
      <c r="AR537" s="218"/>
      <c r="AS537" s="218"/>
      <c r="AT537" s="218"/>
      <c r="AU537" s="218"/>
      <c r="AV537" s="218"/>
      <c r="AW537" s="218"/>
      <c r="AX537" s="218"/>
      <c r="AY537" s="218"/>
      <c r="AZ537" s="218"/>
      <c r="BA537" s="218"/>
      <c r="BB537" s="218"/>
      <c r="BC537" s="218"/>
      <c r="BD537" s="218"/>
      <c r="BE537" s="218"/>
      <c r="BF537" s="218"/>
      <c r="BG537" s="218"/>
      <c r="BH537" s="218"/>
      <c r="BI537" s="218"/>
      <c r="BJ537" s="224"/>
      <c r="BK537" s="224"/>
    </row>
    <row r="538" spans="1:63" hidden="1" outlineLevel="1">
      <c r="A538" s="9"/>
      <c r="B538" s="44"/>
      <c r="C538" s="271">
        <f>Asset11</f>
        <v>0</v>
      </c>
      <c r="D538" s="9"/>
      <c r="E538" s="9"/>
      <c r="F538" s="9"/>
      <c r="G538" s="207">
        <f>Input!M17</f>
        <v>0</v>
      </c>
      <c r="H538" s="122"/>
      <c r="I538" s="122"/>
      <c r="J538" s="122"/>
      <c r="K538" s="122"/>
      <c r="L538" s="122"/>
      <c r="M538" s="110"/>
      <c r="N538" s="110"/>
      <c r="O538" s="110"/>
      <c r="P538" s="110"/>
      <c r="Q538" s="110"/>
      <c r="R538" s="110"/>
      <c r="S538" s="104"/>
      <c r="T538" s="110"/>
      <c r="U538" s="110"/>
      <c r="V538" s="110"/>
      <c r="W538" s="110"/>
      <c r="X538" s="110"/>
      <c r="Y538" s="110"/>
      <c r="Z538" s="110"/>
      <c r="AA538" s="218"/>
      <c r="AB538" s="218"/>
      <c r="AC538" s="218"/>
      <c r="AD538" s="218"/>
      <c r="AE538" s="218"/>
      <c r="AF538" s="218"/>
      <c r="AG538" s="218"/>
      <c r="AH538" s="218"/>
      <c r="AI538" s="218"/>
      <c r="AJ538" s="218"/>
      <c r="AK538" s="218"/>
      <c r="AL538" s="218"/>
      <c r="AM538" s="218"/>
      <c r="AN538" s="218"/>
      <c r="AO538" s="218"/>
      <c r="AP538" s="218"/>
      <c r="AQ538" s="218"/>
      <c r="AR538" s="218"/>
      <c r="AS538" s="218"/>
      <c r="AT538" s="218"/>
      <c r="AU538" s="218"/>
      <c r="AV538" s="218"/>
      <c r="AW538" s="218"/>
      <c r="AX538" s="218"/>
      <c r="AY538" s="218"/>
      <c r="AZ538" s="218"/>
      <c r="BA538" s="218"/>
      <c r="BB538" s="218"/>
      <c r="BC538" s="218"/>
      <c r="BD538" s="218"/>
      <c r="BE538" s="218"/>
      <c r="BF538" s="218"/>
      <c r="BG538" s="218"/>
      <c r="BH538" s="218"/>
      <c r="BI538" s="218"/>
      <c r="BJ538" s="224"/>
      <c r="BK538" s="224"/>
    </row>
    <row r="539" spans="1:63" hidden="1" outlineLevel="1">
      <c r="A539" s="9"/>
      <c r="B539" s="44"/>
      <c r="C539" s="271">
        <f>Asset12</f>
        <v>0</v>
      </c>
      <c r="D539" s="9"/>
      <c r="E539" s="9"/>
      <c r="F539" s="9"/>
      <c r="G539" s="207">
        <f>Input!M18</f>
        <v>0</v>
      </c>
      <c r="H539" s="122"/>
      <c r="I539" s="122"/>
      <c r="J539" s="122"/>
      <c r="K539" s="122"/>
      <c r="L539" s="122"/>
      <c r="M539" s="110"/>
      <c r="N539" s="110"/>
      <c r="O539" s="110"/>
      <c r="P539" s="110"/>
      <c r="Q539" s="110"/>
      <c r="R539" s="110"/>
      <c r="S539" s="104"/>
      <c r="T539" s="110"/>
      <c r="U539" s="110"/>
      <c r="V539" s="110"/>
      <c r="W539" s="110"/>
      <c r="X539" s="110"/>
      <c r="Y539" s="110"/>
      <c r="Z539" s="110"/>
      <c r="AA539" s="218"/>
      <c r="AB539" s="218"/>
      <c r="AC539" s="218"/>
      <c r="AD539" s="218"/>
      <c r="AE539" s="218"/>
      <c r="AF539" s="218"/>
      <c r="AG539" s="218"/>
      <c r="AH539" s="218"/>
      <c r="AI539" s="218"/>
      <c r="AJ539" s="218"/>
      <c r="AK539" s="218"/>
      <c r="AL539" s="218"/>
      <c r="AM539" s="218"/>
      <c r="AN539" s="218"/>
      <c r="AO539" s="218"/>
      <c r="AP539" s="218"/>
      <c r="AQ539" s="218"/>
      <c r="AR539" s="218"/>
      <c r="AS539" s="218"/>
      <c r="AT539" s="218"/>
      <c r="AU539" s="218"/>
      <c r="AV539" s="218"/>
      <c r="AW539" s="218"/>
      <c r="AX539" s="218"/>
      <c r="AY539" s="218"/>
      <c r="AZ539" s="218"/>
      <c r="BA539" s="218"/>
      <c r="BB539" s="218"/>
      <c r="BC539" s="218"/>
      <c r="BD539" s="218"/>
      <c r="BE539" s="218"/>
      <c r="BF539" s="218"/>
      <c r="BG539" s="218"/>
      <c r="BH539" s="218"/>
      <c r="BI539" s="218"/>
      <c r="BJ539" s="224"/>
      <c r="BK539" s="224"/>
    </row>
    <row r="540" spans="1:63" hidden="1" outlineLevel="1">
      <c r="A540" s="9"/>
      <c r="B540" s="44"/>
      <c r="C540" s="271">
        <f>Asset13</f>
        <v>0</v>
      </c>
      <c r="D540" s="9"/>
      <c r="E540" s="9"/>
      <c r="F540" s="9"/>
      <c r="G540" s="207">
        <f>Input!M19</f>
        <v>0</v>
      </c>
      <c r="H540" s="122"/>
      <c r="I540" s="122"/>
      <c r="J540" s="122"/>
      <c r="K540" s="122"/>
      <c r="L540" s="122"/>
      <c r="M540" s="110"/>
      <c r="N540" s="110"/>
      <c r="O540" s="110"/>
      <c r="P540" s="110"/>
      <c r="Q540" s="110"/>
      <c r="R540" s="110"/>
      <c r="S540" s="104"/>
      <c r="T540" s="110"/>
      <c r="U540" s="110"/>
      <c r="V540" s="110"/>
      <c r="W540" s="110"/>
      <c r="X540" s="110"/>
      <c r="Y540" s="110"/>
      <c r="Z540" s="110"/>
      <c r="AA540" s="218"/>
      <c r="AB540" s="218"/>
      <c r="AC540" s="218"/>
      <c r="AD540" s="218"/>
      <c r="AE540" s="218"/>
      <c r="AF540" s="218"/>
      <c r="AG540" s="218"/>
      <c r="AH540" s="218"/>
      <c r="AI540" s="218"/>
      <c r="AJ540" s="218"/>
      <c r="AK540" s="218"/>
      <c r="AL540" s="218"/>
      <c r="AM540" s="218"/>
      <c r="AN540" s="218"/>
      <c r="AO540" s="218"/>
      <c r="AP540" s="218"/>
      <c r="AQ540" s="218"/>
      <c r="AR540" s="218"/>
      <c r="AS540" s="218"/>
      <c r="AT540" s="218"/>
      <c r="AU540" s="218"/>
      <c r="AV540" s="218"/>
      <c r="AW540" s="218"/>
      <c r="AX540" s="218"/>
      <c r="AY540" s="218"/>
      <c r="AZ540" s="218"/>
      <c r="BA540" s="218"/>
      <c r="BB540" s="218"/>
      <c r="BC540" s="218"/>
      <c r="BD540" s="218"/>
      <c r="BE540" s="218"/>
      <c r="BF540" s="218"/>
      <c r="BG540" s="218"/>
      <c r="BH540" s="218"/>
      <c r="BI540" s="218"/>
      <c r="BJ540" s="224"/>
      <c r="BK540" s="224"/>
    </row>
    <row r="541" spans="1:63" hidden="1" outlineLevel="1">
      <c r="A541" s="9"/>
      <c r="B541" s="44"/>
      <c r="C541" s="271">
        <f>Asset14</f>
        <v>0</v>
      </c>
      <c r="D541" s="9"/>
      <c r="E541" s="9"/>
      <c r="F541" s="9"/>
      <c r="G541" s="207">
        <f>Input!M20</f>
        <v>0</v>
      </c>
      <c r="H541" s="122"/>
      <c r="I541" s="122"/>
      <c r="J541" s="122"/>
      <c r="K541" s="122"/>
      <c r="L541" s="122"/>
      <c r="M541" s="110"/>
      <c r="N541" s="110"/>
      <c r="O541" s="110"/>
      <c r="P541" s="110"/>
      <c r="Q541" s="110"/>
      <c r="R541" s="110"/>
      <c r="S541" s="104"/>
      <c r="T541" s="110"/>
      <c r="U541" s="110"/>
      <c r="V541" s="110"/>
      <c r="W541" s="110"/>
      <c r="X541" s="110"/>
      <c r="Y541" s="110"/>
      <c r="Z541" s="110"/>
      <c r="AA541" s="218"/>
      <c r="AB541" s="218"/>
      <c r="AC541" s="218"/>
      <c r="AD541" s="218"/>
      <c r="AE541" s="218"/>
      <c r="AF541" s="218"/>
      <c r="AG541" s="218"/>
      <c r="AH541" s="218"/>
      <c r="AI541" s="218"/>
      <c r="AJ541" s="218"/>
      <c r="AK541" s="218"/>
      <c r="AL541" s="218"/>
      <c r="AM541" s="218"/>
      <c r="AN541" s="218"/>
      <c r="AO541" s="218"/>
      <c r="AP541" s="218"/>
      <c r="AQ541" s="218"/>
      <c r="AR541" s="218"/>
      <c r="AS541" s="218"/>
      <c r="AT541" s="218"/>
      <c r="AU541" s="218"/>
      <c r="AV541" s="218"/>
      <c r="AW541" s="218"/>
      <c r="AX541" s="218"/>
      <c r="AY541" s="218"/>
      <c r="AZ541" s="218"/>
      <c r="BA541" s="218"/>
      <c r="BB541" s="218"/>
      <c r="BC541" s="218"/>
      <c r="BD541" s="218"/>
      <c r="BE541" s="218"/>
      <c r="BF541" s="218"/>
      <c r="BG541" s="218"/>
      <c r="BH541" s="218"/>
      <c r="BI541" s="218"/>
      <c r="BJ541" s="224"/>
      <c r="BK541" s="224"/>
    </row>
    <row r="542" spans="1:63" hidden="1" outlineLevel="1">
      <c r="A542" s="9"/>
      <c r="B542" s="44"/>
      <c r="C542" s="271">
        <f>Asset15</f>
        <v>0</v>
      </c>
      <c r="D542" s="9"/>
      <c r="E542" s="9"/>
      <c r="F542" s="9"/>
      <c r="G542" s="207">
        <f>Input!M21</f>
        <v>0</v>
      </c>
      <c r="H542" s="122"/>
      <c r="I542" s="122"/>
      <c r="J542" s="122"/>
      <c r="K542" s="122"/>
      <c r="L542" s="122"/>
      <c r="M542" s="110"/>
      <c r="N542" s="110"/>
      <c r="O542" s="110"/>
      <c r="P542" s="110"/>
      <c r="Q542" s="110"/>
      <c r="R542" s="110"/>
      <c r="S542" s="104"/>
      <c r="T542" s="110"/>
      <c r="U542" s="110"/>
      <c r="V542" s="110"/>
      <c r="W542" s="110"/>
      <c r="X542" s="110"/>
      <c r="Y542" s="110"/>
      <c r="Z542" s="110"/>
      <c r="AA542" s="218"/>
      <c r="AB542" s="218"/>
      <c r="AC542" s="218"/>
      <c r="AD542" s="218"/>
      <c r="AE542" s="218"/>
      <c r="AF542" s="218"/>
      <c r="AG542" s="218"/>
      <c r="AH542" s="218"/>
      <c r="AI542" s="218"/>
      <c r="AJ542" s="218"/>
      <c r="AK542" s="218"/>
      <c r="AL542" s="218"/>
      <c r="AM542" s="218"/>
      <c r="AN542" s="218"/>
      <c r="AO542" s="218"/>
      <c r="AP542" s="218"/>
      <c r="AQ542" s="218"/>
      <c r="AR542" s="218"/>
      <c r="AS542" s="218"/>
      <c r="AT542" s="218"/>
      <c r="AU542" s="218"/>
      <c r="AV542" s="218"/>
      <c r="AW542" s="218"/>
      <c r="AX542" s="218"/>
      <c r="AY542" s="218"/>
      <c r="AZ542" s="218"/>
      <c r="BA542" s="218"/>
      <c r="BB542" s="218"/>
      <c r="BC542" s="218"/>
      <c r="BD542" s="218"/>
      <c r="BE542" s="218"/>
      <c r="BF542" s="218"/>
      <c r="BG542" s="218"/>
      <c r="BH542" s="218"/>
      <c r="BI542" s="218"/>
      <c r="BJ542" s="224"/>
      <c r="BK542" s="224"/>
    </row>
    <row r="543" spans="1:63" hidden="1" outlineLevel="1">
      <c r="A543" s="9"/>
      <c r="B543" s="44"/>
      <c r="C543" s="271">
        <f>Asset16</f>
        <v>0</v>
      </c>
      <c r="D543" s="9"/>
      <c r="E543" s="9"/>
      <c r="F543" s="9"/>
      <c r="G543" s="207">
        <f>Input!M22</f>
        <v>0</v>
      </c>
      <c r="H543" s="122"/>
      <c r="I543" s="122"/>
      <c r="J543" s="122"/>
      <c r="K543" s="122"/>
      <c r="L543" s="122"/>
      <c r="M543" s="110"/>
      <c r="N543" s="110"/>
      <c r="O543" s="110"/>
      <c r="P543" s="110"/>
      <c r="Q543" s="110"/>
      <c r="R543" s="110"/>
      <c r="S543" s="104"/>
      <c r="T543" s="110"/>
      <c r="U543" s="110"/>
      <c r="V543" s="110"/>
      <c r="W543" s="110"/>
      <c r="X543" s="110"/>
      <c r="Y543" s="110"/>
      <c r="Z543" s="110"/>
      <c r="AA543" s="218"/>
      <c r="AB543" s="218"/>
      <c r="AC543" s="218"/>
      <c r="AD543" s="218"/>
      <c r="AE543" s="218"/>
      <c r="AF543" s="218"/>
      <c r="AG543" s="218"/>
      <c r="AH543" s="218"/>
      <c r="AI543" s="218"/>
      <c r="AJ543" s="218"/>
      <c r="AK543" s="218"/>
      <c r="AL543" s="218"/>
      <c r="AM543" s="218"/>
      <c r="AN543" s="218"/>
      <c r="AO543" s="218"/>
      <c r="AP543" s="218"/>
      <c r="AQ543" s="218"/>
      <c r="AR543" s="218"/>
      <c r="AS543" s="218"/>
      <c r="AT543" s="218"/>
      <c r="AU543" s="218"/>
      <c r="AV543" s="218"/>
      <c r="AW543" s="218"/>
      <c r="AX543" s="218"/>
      <c r="AY543" s="218"/>
      <c r="AZ543" s="218"/>
      <c r="BA543" s="218"/>
      <c r="BB543" s="218"/>
      <c r="BC543" s="218"/>
      <c r="BD543" s="218"/>
      <c r="BE543" s="218"/>
      <c r="BF543" s="218"/>
      <c r="BG543" s="218"/>
      <c r="BH543" s="218"/>
      <c r="BI543" s="218"/>
      <c r="BJ543" s="224"/>
      <c r="BK543" s="224"/>
    </row>
    <row r="544" spans="1:63" hidden="1" outlineLevel="1">
      <c r="A544" s="9"/>
      <c r="B544" s="44"/>
      <c r="C544" s="271">
        <f>Asset17</f>
        <v>0</v>
      </c>
      <c r="D544" s="9"/>
      <c r="E544" s="9"/>
      <c r="F544" s="9"/>
      <c r="G544" s="207">
        <f>Input!M23</f>
        <v>0</v>
      </c>
      <c r="H544" s="122"/>
      <c r="I544" s="122"/>
      <c r="J544" s="122"/>
      <c r="K544" s="122"/>
      <c r="L544" s="122"/>
      <c r="M544" s="110"/>
      <c r="N544" s="110"/>
      <c r="O544" s="110"/>
      <c r="P544" s="110"/>
      <c r="Q544" s="110"/>
      <c r="R544" s="110"/>
      <c r="S544" s="104"/>
      <c r="T544" s="110"/>
      <c r="U544" s="110"/>
      <c r="V544" s="110"/>
      <c r="W544" s="110"/>
      <c r="X544" s="110"/>
      <c r="Y544" s="110"/>
      <c r="Z544" s="110"/>
      <c r="AA544" s="218"/>
      <c r="AB544" s="218"/>
      <c r="AC544" s="218"/>
      <c r="AD544" s="218"/>
      <c r="AE544" s="218"/>
      <c r="AF544" s="218"/>
      <c r="AG544" s="218"/>
      <c r="AH544" s="218"/>
      <c r="AI544" s="218"/>
      <c r="AJ544" s="218"/>
      <c r="AK544" s="218"/>
      <c r="AL544" s="218"/>
      <c r="AM544" s="218"/>
      <c r="AN544" s="218"/>
      <c r="AO544" s="218"/>
      <c r="AP544" s="218"/>
      <c r="AQ544" s="218"/>
      <c r="AR544" s="218"/>
      <c r="AS544" s="218"/>
      <c r="AT544" s="218"/>
      <c r="AU544" s="218"/>
      <c r="AV544" s="218"/>
      <c r="AW544" s="218"/>
      <c r="AX544" s="218"/>
      <c r="AY544" s="218"/>
      <c r="AZ544" s="218"/>
      <c r="BA544" s="218"/>
      <c r="BB544" s="218"/>
      <c r="BC544" s="218"/>
      <c r="BD544" s="218"/>
      <c r="BE544" s="218"/>
      <c r="BF544" s="218"/>
      <c r="BG544" s="218"/>
      <c r="BH544" s="218"/>
      <c r="BI544" s="218"/>
      <c r="BJ544" s="224"/>
      <c r="BK544" s="224"/>
    </row>
    <row r="545" spans="1:63" hidden="1" outlineLevel="1">
      <c r="A545" s="9"/>
      <c r="B545" s="44"/>
      <c r="C545" s="271">
        <f>Asset18</f>
        <v>0</v>
      </c>
      <c r="D545" s="9"/>
      <c r="E545" s="9"/>
      <c r="F545" s="9"/>
      <c r="G545" s="207">
        <f>Input!M24</f>
        <v>0</v>
      </c>
      <c r="H545" s="122"/>
      <c r="I545" s="122"/>
      <c r="J545" s="122"/>
      <c r="K545" s="122"/>
      <c r="L545" s="122"/>
      <c r="M545" s="110"/>
      <c r="N545" s="110"/>
      <c r="O545" s="110"/>
      <c r="P545" s="110"/>
      <c r="Q545" s="110"/>
      <c r="R545" s="110"/>
      <c r="S545" s="104"/>
      <c r="T545" s="110"/>
      <c r="U545" s="110"/>
      <c r="V545" s="110"/>
      <c r="W545" s="110"/>
      <c r="X545" s="110"/>
      <c r="Y545" s="110"/>
      <c r="Z545" s="110"/>
      <c r="AA545" s="218"/>
      <c r="AB545" s="218"/>
      <c r="AC545" s="218"/>
      <c r="AD545" s="218"/>
      <c r="AE545" s="218"/>
      <c r="AF545" s="218"/>
      <c r="AG545" s="218"/>
      <c r="AH545" s="218"/>
      <c r="AI545" s="218"/>
      <c r="AJ545" s="218"/>
      <c r="AK545" s="218"/>
      <c r="AL545" s="218"/>
      <c r="AM545" s="218"/>
      <c r="AN545" s="218"/>
      <c r="AO545" s="218"/>
      <c r="AP545" s="218"/>
      <c r="AQ545" s="218"/>
      <c r="AR545" s="218"/>
      <c r="AS545" s="218"/>
      <c r="AT545" s="218"/>
      <c r="AU545" s="218"/>
      <c r="AV545" s="218"/>
      <c r="AW545" s="218"/>
      <c r="AX545" s="218"/>
      <c r="AY545" s="218"/>
      <c r="AZ545" s="218"/>
      <c r="BA545" s="218"/>
      <c r="BB545" s="218"/>
      <c r="BC545" s="218"/>
      <c r="BD545" s="218"/>
      <c r="BE545" s="218"/>
      <c r="BF545" s="218"/>
      <c r="BG545" s="218"/>
      <c r="BH545" s="218"/>
      <c r="BI545" s="218"/>
      <c r="BJ545" s="224"/>
      <c r="BK545" s="224"/>
    </row>
    <row r="546" spans="1:63" hidden="1" outlineLevel="1">
      <c r="A546" s="9"/>
      <c r="B546" s="44"/>
      <c r="C546" s="271">
        <f>Asset19</f>
        <v>0</v>
      </c>
      <c r="D546" s="9"/>
      <c r="E546" s="9"/>
      <c r="F546" s="9"/>
      <c r="G546" s="207">
        <f>Input!M25</f>
        <v>0</v>
      </c>
      <c r="H546" s="122"/>
      <c r="I546" s="122"/>
      <c r="J546" s="122"/>
      <c r="K546" s="122"/>
      <c r="L546" s="122"/>
      <c r="M546" s="110"/>
      <c r="N546" s="110"/>
      <c r="O546" s="110"/>
      <c r="P546" s="110"/>
      <c r="Q546" s="110"/>
      <c r="R546" s="110"/>
      <c r="S546" s="104"/>
      <c r="T546" s="110"/>
      <c r="U546" s="110"/>
      <c r="V546" s="110"/>
      <c r="W546" s="110"/>
      <c r="X546" s="110"/>
      <c r="Y546" s="110"/>
      <c r="Z546" s="110"/>
      <c r="AA546" s="218"/>
      <c r="AB546" s="218"/>
      <c r="AC546" s="218"/>
      <c r="AD546" s="218"/>
      <c r="AE546" s="218"/>
      <c r="AF546" s="218"/>
      <c r="AG546" s="218"/>
      <c r="AH546" s="218"/>
      <c r="AI546" s="218"/>
      <c r="AJ546" s="218"/>
      <c r="AK546" s="218"/>
      <c r="AL546" s="218"/>
      <c r="AM546" s="218"/>
      <c r="AN546" s="218"/>
      <c r="AO546" s="218"/>
      <c r="AP546" s="218"/>
      <c r="AQ546" s="218"/>
      <c r="AR546" s="218"/>
      <c r="AS546" s="218"/>
      <c r="AT546" s="218"/>
      <c r="AU546" s="218"/>
      <c r="AV546" s="218"/>
      <c r="AW546" s="218"/>
      <c r="AX546" s="218"/>
      <c r="AY546" s="218"/>
      <c r="AZ546" s="218"/>
      <c r="BA546" s="218"/>
      <c r="BB546" s="218"/>
      <c r="BC546" s="218"/>
      <c r="BD546" s="218"/>
      <c r="BE546" s="218"/>
      <c r="BF546" s="218"/>
      <c r="BG546" s="218"/>
      <c r="BH546" s="218"/>
      <c r="BI546" s="218"/>
      <c r="BJ546" s="224"/>
      <c r="BK546" s="224"/>
    </row>
    <row r="547" spans="1:63" hidden="1" outlineLevel="1">
      <c r="A547" s="9"/>
      <c r="B547" s="44"/>
      <c r="C547" s="271">
        <f>Asset20</f>
        <v>0</v>
      </c>
      <c r="D547" s="9"/>
      <c r="E547" s="9"/>
      <c r="F547" s="9"/>
      <c r="G547" s="207">
        <f>Input!M26</f>
        <v>0</v>
      </c>
      <c r="H547" s="122"/>
      <c r="I547" s="122"/>
      <c r="J547" s="122"/>
      <c r="K547" s="122"/>
      <c r="L547" s="122"/>
      <c r="M547" s="110"/>
      <c r="N547" s="110"/>
      <c r="O547" s="110"/>
      <c r="P547" s="110"/>
      <c r="Q547" s="110"/>
      <c r="R547" s="110"/>
      <c r="S547" s="104"/>
      <c r="T547" s="110"/>
      <c r="U547" s="110"/>
      <c r="V547" s="110"/>
      <c r="W547" s="110"/>
      <c r="X547" s="110"/>
      <c r="Y547" s="110"/>
      <c r="Z547" s="110"/>
      <c r="AA547" s="218"/>
      <c r="AB547" s="218"/>
      <c r="AC547" s="218"/>
      <c r="AD547" s="218"/>
      <c r="AE547" s="218"/>
      <c r="AF547" s="218"/>
      <c r="AG547" s="218"/>
      <c r="AH547" s="218"/>
      <c r="AI547" s="218"/>
      <c r="AJ547" s="218"/>
      <c r="AK547" s="218"/>
      <c r="AL547" s="218"/>
      <c r="AM547" s="218"/>
      <c r="AN547" s="218"/>
      <c r="AO547" s="218"/>
      <c r="AP547" s="218"/>
      <c r="AQ547" s="218"/>
      <c r="AR547" s="218"/>
      <c r="AS547" s="218"/>
      <c r="AT547" s="218"/>
      <c r="AU547" s="218"/>
      <c r="AV547" s="218"/>
      <c r="AW547" s="218"/>
      <c r="AX547" s="218"/>
      <c r="AY547" s="218"/>
      <c r="AZ547" s="218"/>
      <c r="BA547" s="218"/>
      <c r="BB547" s="218"/>
      <c r="BC547" s="218"/>
      <c r="BD547" s="218"/>
      <c r="BE547" s="218"/>
      <c r="BF547" s="218"/>
      <c r="BG547" s="218"/>
      <c r="BH547" s="218"/>
      <c r="BI547" s="218"/>
      <c r="BJ547" s="224"/>
      <c r="BK547" s="224"/>
    </row>
    <row r="548" spans="1:63" hidden="1" outlineLevel="1">
      <c r="A548" s="9"/>
      <c r="B548" s="44"/>
      <c r="C548" s="271">
        <f>Asset21</f>
        <v>0</v>
      </c>
      <c r="D548" s="9"/>
      <c r="E548" s="9"/>
      <c r="F548" s="9"/>
      <c r="G548" s="207">
        <f>Input!M27</f>
        <v>0</v>
      </c>
      <c r="H548" s="122"/>
      <c r="I548" s="122"/>
      <c r="J548" s="122"/>
      <c r="K548" s="122"/>
      <c r="L548" s="122"/>
      <c r="M548" s="110"/>
      <c r="N548" s="110"/>
      <c r="O548" s="110"/>
      <c r="P548" s="110"/>
      <c r="Q548" s="110"/>
      <c r="R548" s="110"/>
      <c r="S548" s="104"/>
      <c r="T548" s="110"/>
      <c r="U548" s="110"/>
      <c r="V548" s="110"/>
      <c r="W548" s="110"/>
      <c r="X548" s="110"/>
      <c r="Y548" s="110"/>
      <c r="Z548" s="110"/>
      <c r="AA548" s="218"/>
      <c r="AB548" s="218"/>
      <c r="AC548" s="218"/>
      <c r="AD548" s="218"/>
      <c r="AE548" s="218"/>
      <c r="AF548" s="218"/>
      <c r="AG548" s="218"/>
      <c r="AH548" s="218"/>
      <c r="AI548" s="218"/>
      <c r="AJ548" s="218"/>
      <c r="AK548" s="218"/>
      <c r="AL548" s="218"/>
      <c r="AM548" s="218"/>
      <c r="AN548" s="218"/>
      <c r="AO548" s="218"/>
      <c r="AP548" s="218"/>
      <c r="AQ548" s="218"/>
      <c r="AR548" s="218"/>
      <c r="AS548" s="218"/>
      <c r="AT548" s="218"/>
      <c r="AU548" s="218"/>
      <c r="AV548" s="218"/>
      <c r="AW548" s="218"/>
      <c r="AX548" s="218"/>
      <c r="AY548" s="218"/>
      <c r="AZ548" s="218"/>
      <c r="BA548" s="218"/>
      <c r="BB548" s="218"/>
      <c r="BC548" s="218"/>
      <c r="BD548" s="218"/>
      <c r="BE548" s="218"/>
      <c r="BF548" s="218"/>
      <c r="BG548" s="218"/>
      <c r="BH548" s="218"/>
      <c r="BI548" s="218"/>
      <c r="BJ548" s="224"/>
      <c r="BK548" s="224"/>
    </row>
    <row r="549" spans="1:63" hidden="1" outlineLevel="1">
      <c r="A549" s="9"/>
      <c r="B549" s="44"/>
      <c r="C549" s="271">
        <f>Asset22</f>
        <v>0</v>
      </c>
      <c r="D549" s="9"/>
      <c r="E549" s="9"/>
      <c r="F549" s="9"/>
      <c r="G549" s="207">
        <f>Input!M28</f>
        <v>0</v>
      </c>
      <c r="H549" s="122"/>
      <c r="I549" s="122"/>
      <c r="J549" s="122"/>
      <c r="K549" s="122"/>
      <c r="L549" s="122"/>
      <c r="M549" s="110"/>
      <c r="N549" s="110"/>
      <c r="O549" s="110"/>
      <c r="P549" s="110"/>
      <c r="Q549" s="110"/>
      <c r="R549" s="110"/>
      <c r="S549" s="104"/>
      <c r="T549" s="110"/>
      <c r="U549" s="110"/>
      <c r="V549" s="110"/>
      <c r="W549" s="110"/>
      <c r="X549" s="110"/>
      <c r="Y549" s="110"/>
      <c r="Z549" s="110"/>
      <c r="AA549" s="218"/>
      <c r="AB549" s="218"/>
      <c r="AC549" s="218"/>
      <c r="AD549" s="218"/>
      <c r="AE549" s="218"/>
      <c r="AF549" s="218"/>
      <c r="AG549" s="218"/>
      <c r="AH549" s="218"/>
      <c r="AI549" s="218"/>
      <c r="AJ549" s="218"/>
      <c r="AK549" s="218"/>
      <c r="AL549" s="218"/>
      <c r="AM549" s="218"/>
      <c r="AN549" s="218"/>
      <c r="AO549" s="218"/>
      <c r="AP549" s="218"/>
      <c r="AQ549" s="218"/>
      <c r="AR549" s="218"/>
      <c r="AS549" s="218"/>
      <c r="AT549" s="218"/>
      <c r="AU549" s="218"/>
      <c r="AV549" s="218"/>
      <c r="AW549" s="218"/>
      <c r="AX549" s="218"/>
      <c r="AY549" s="218"/>
      <c r="AZ549" s="218"/>
      <c r="BA549" s="218"/>
      <c r="BB549" s="218"/>
      <c r="BC549" s="218"/>
      <c r="BD549" s="218"/>
      <c r="BE549" s="218"/>
      <c r="BF549" s="218"/>
      <c r="BG549" s="218"/>
      <c r="BH549" s="218"/>
      <c r="BI549" s="218"/>
      <c r="BJ549" s="224"/>
      <c r="BK549" s="224"/>
    </row>
    <row r="550" spans="1:63" hidden="1" outlineLevel="1">
      <c r="A550" s="9"/>
      <c r="B550" s="44"/>
      <c r="C550" s="271">
        <f>Asset23</f>
        <v>0</v>
      </c>
      <c r="D550" s="9"/>
      <c r="E550" s="9"/>
      <c r="F550" s="9"/>
      <c r="G550" s="207">
        <f>Input!M29</f>
        <v>0</v>
      </c>
      <c r="H550" s="122"/>
      <c r="I550" s="122"/>
      <c r="J550" s="122"/>
      <c r="K550" s="122"/>
      <c r="L550" s="122"/>
      <c r="M550" s="110"/>
      <c r="N550" s="110"/>
      <c r="O550" s="110"/>
      <c r="P550" s="110"/>
      <c r="Q550" s="110"/>
      <c r="R550" s="110"/>
      <c r="S550" s="104"/>
      <c r="T550" s="110"/>
      <c r="U550" s="110"/>
      <c r="V550" s="110"/>
      <c r="W550" s="110"/>
      <c r="X550" s="110"/>
      <c r="Y550" s="110"/>
      <c r="Z550" s="110"/>
      <c r="AA550" s="218"/>
      <c r="AB550" s="218"/>
      <c r="AC550" s="218"/>
      <c r="AD550" s="218"/>
      <c r="AE550" s="218"/>
      <c r="AF550" s="218"/>
      <c r="AG550" s="218"/>
      <c r="AH550" s="218"/>
      <c r="AI550" s="218"/>
      <c r="AJ550" s="218"/>
      <c r="AK550" s="218"/>
      <c r="AL550" s="218"/>
      <c r="AM550" s="218"/>
      <c r="AN550" s="218"/>
      <c r="AO550" s="218"/>
      <c r="AP550" s="218"/>
      <c r="AQ550" s="218"/>
      <c r="AR550" s="218"/>
      <c r="AS550" s="218"/>
      <c r="AT550" s="218"/>
      <c r="AU550" s="218"/>
      <c r="AV550" s="218"/>
      <c r="AW550" s="218"/>
      <c r="AX550" s="218"/>
      <c r="AY550" s="218"/>
      <c r="AZ550" s="218"/>
      <c r="BA550" s="218"/>
      <c r="BB550" s="218"/>
      <c r="BC550" s="218"/>
      <c r="BD550" s="218"/>
      <c r="BE550" s="218"/>
      <c r="BF550" s="218"/>
      <c r="BG550" s="218"/>
      <c r="BH550" s="218"/>
      <c r="BI550" s="218"/>
      <c r="BJ550" s="224"/>
      <c r="BK550" s="224"/>
    </row>
    <row r="551" spans="1:63" hidden="1" outlineLevel="1">
      <c r="A551" s="9"/>
      <c r="B551" s="44"/>
      <c r="C551" s="271">
        <f>Asset24</f>
        <v>0</v>
      </c>
      <c r="D551" s="9"/>
      <c r="E551" s="9"/>
      <c r="F551" s="9"/>
      <c r="G551" s="207">
        <f>Input!M30</f>
        <v>0</v>
      </c>
      <c r="H551" s="122"/>
      <c r="I551" s="122"/>
      <c r="J551" s="122"/>
      <c r="K551" s="122"/>
      <c r="L551" s="122"/>
      <c r="M551" s="110"/>
      <c r="N551" s="110"/>
      <c r="O551" s="110"/>
      <c r="P551" s="110"/>
      <c r="Q551" s="110"/>
      <c r="R551" s="110"/>
      <c r="S551" s="104"/>
      <c r="T551" s="110"/>
      <c r="U551" s="110"/>
      <c r="V551" s="110"/>
      <c r="W551" s="110"/>
      <c r="X551" s="110"/>
      <c r="Y551" s="110"/>
      <c r="Z551" s="110"/>
      <c r="AA551" s="218"/>
      <c r="AB551" s="218"/>
      <c r="AC551" s="218"/>
      <c r="AD551" s="218"/>
      <c r="AE551" s="218"/>
      <c r="AF551" s="218"/>
      <c r="AG551" s="218"/>
      <c r="AH551" s="218"/>
      <c r="AI551" s="218"/>
      <c r="AJ551" s="218"/>
      <c r="AK551" s="218"/>
      <c r="AL551" s="218"/>
      <c r="AM551" s="218"/>
      <c r="AN551" s="218"/>
      <c r="AO551" s="218"/>
      <c r="AP551" s="218"/>
      <c r="AQ551" s="218"/>
      <c r="AR551" s="218"/>
      <c r="AS551" s="218"/>
      <c r="AT551" s="218"/>
      <c r="AU551" s="218"/>
      <c r="AV551" s="218"/>
      <c r="AW551" s="218"/>
      <c r="AX551" s="218"/>
      <c r="AY551" s="218"/>
      <c r="AZ551" s="218"/>
      <c r="BA551" s="218"/>
      <c r="BB551" s="218"/>
      <c r="BC551" s="218"/>
      <c r="BD551" s="218"/>
      <c r="BE551" s="218"/>
      <c r="BF551" s="218"/>
      <c r="BG551" s="218"/>
      <c r="BH551" s="218"/>
      <c r="BI551" s="218"/>
      <c r="BJ551" s="224"/>
      <c r="BK551" s="224"/>
    </row>
    <row r="552" spans="1:63" hidden="1" outlineLevel="1">
      <c r="A552" s="9"/>
      <c r="B552" s="44"/>
      <c r="C552" s="271">
        <f>Asset25</f>
        <v>0</v>
      </c>
      <c r="D552" s="9"/>
      <c r="E552" s="9"/>
      <c r="F552" s="9"/>
      <c r="G552" s="207">
        <f>Input!M31</f>
        <v>0</v>
      </c>
      <c r="H552" s="122"/>
      <c r="I552" s="122"/>
      <c r="J552" s="122"/>
      <c r="K552" s="122"/>
      <c r="L552" s="122"/>
      <c r="M552" s="110"/>
      <c r="N552" s="110"/>
      <c r="O552" s="110"/>
      <c r="P552" s="110"/>
      <c r="Q552" s="110"/>
      <c r="R552" s="110"/>
      <c r="S552" s="104"/>
      <c r="T552" s="110"/>
      <c r="U552" s="110"/>
      <c r="V552" s="110"/>
      <c r="W552" s="110"/>
      <c r="X552" s="110"/>
      <c r="Y552" s="110"/>
      <c r="Z552" s="110"/>
      <c r="AA552" s="218"/>
      <c r="AB552" s="218"/>
      <c r="AC552" s="218"/>
      <c r="AD552" s="218"/>
      <c r="AE552" s="218"/>
      <c r="AF552" s="218"/>
      <c r="AG552" s="218"/>
      <c r="AH552" s="218"/>
      <c r="AI552" s="218"/>
      <c r="AJ552" s="218"/>
      <c r="AK552" s="218"/>
      <c r="AL552" s="218"/>
      <c r="AM552" s="218"/>
      <c r="AN552" s="218"/>
      <c r="AO552" s="218"/>
      <c r="AP552" s="218"/>
      <c r="AQ552" s="218"/>
      <c r="AR552" s="218"/>
      <c r="AS552" s="218"/>
      <c r="AT552" s="218"/>
      <c r="AU552" s="218"/>
      <c r="AV552" s="218"/>
      <c r="AW552" s="218"/>
      <c r="AX552" s="218"/>
      <c r="AY552" s="218"/>
      <c r="AZ552" s="218"/>
      <c r="BA552" s="218"/>
      <c r="BB552" s="218"/>
      <c r="BC552" s="218"/>
      <c r="BD552" s="218"/>
      <c r="BE552" s="218"/>
      <c r="BF552" s="218"/>
      <c r="BG552" s="218"/>
      <c r="BH552" s="218"/>
      <c r="BI552" s="218"/>
      <c r="BJ552" s="224"/>
      <c r="BK552" s="224"/>
    </row>
    <row r="553" spans="1:63" hidden="1" outlineLevel="1">
      <c r="A553" s="9"/>
      <c r="B553" s="44"/>
      <c r="C553" s="271">
        <f>Asset26</f>
        <v>0</v>
      </c>
      <c r="D553" s="9"/>
      <c r="E553" s="9"/>
      <c r="F553" s="9"/>
      <c r="G553" s="207">
        <f>Input!M32</f>
        <v>0</v>
      </c>
      <c r="H553" s="122"/>
      <c r="I553" s="122"/>
      <c r="J553" s="122"/>
      <c r="K553" s="122"/>
      <c r="L553" s="122"/>
      <c r="M553" s="110"/>
      <c r="N553" s="110"/>
      <c r="O553" s="110"/>
      <c r="P553" s="110"/>
      <c r="Q553" s="110"/>
      <c r="R553" s="110"/>
      <c r="S553" s="104"/>
      <c r="T553" s="110"/>
      <c r="U553" s="110"/>
      <c r="V553" s="110"/>
      <c r="W553" s="110"/>
      <c r="X553" s="110"/>
      <c r="Y553" s="110"/>
      <c r="Z553" s="110"/>
      <c r="AA553" s="218"/>
      <c r="AB553" s="218"/>
      <c r="AC553" s="218"/>
      <c r="AD553" s="218"/>
      <c r="AE553" s="218"/>
      <c r="AF553" s="218"/>
      <c r="AG553" s="218"/>
      <c r="AH553" s="218"/>
      <c r="AI553" s="218"/>
      <c r="AJ553" s="218"/>
      <c r="AK553" s="218"/>
      <c r="AL553" s="218"/>
      <c r="AM553" s="218"/>
      <c r="AN553" s="218"/>
      <c r="AO553" s="218"/>
      <c r="AP553" s="218"/>
      <c r="AQ553" s="218"/>
      <c r="AR553" s="218"/>
      <c r="AS553" s="218"/>
      <c r="AT553" s="218"/>
      <c r="AU553" s="218"/>
      <c r="AV553" s="218"/>
      <c r="AW553" s="218"/>
      <c r="AX553" s="218"/>
      <c r="AY553" s="218"/>
      <c r="AZ553" s="218"/>
      <c r="BA553" s="218"/>
      <c r="BB553" s="218"/>
      <c r="BC553" s="218"/>
      <c r="BD553" s="218"/>
      <c r="BE553" s="218"/>
      <c r="BF553" s="218"/>
      <c r="BG553" s="218"/>
      <c r="BH553" s="218"/>
      <c r="BI553" s="218"/>
      <c r="BJ553" s="224"/>
      <c r="BK553" s="224"/>
    </row>
    <row r="554" spans="1:63" hidden="1" outlineLevel="1">
      <c r="A554" s="9"/>
      <c r="B554" s="44"/>
      <c r="C554" s="271">
        <f>Asset27</f>
        <v>0</v>
      </c>
      <c r="D554" s="9"/>
      <c r="E554" s="9"/>
      <c r="F554" s="9"/>
      <c r="G554" s="207">
        <f>Input!M33</f>
        <v>0</v>
      </c>
      <c r="H554" s="122"/>
      <c r="I554" s="122"/>
      <c r="J554" s="122"/>
      <c r="K554" s="122"/>
      <c r="L554" s="122"/>
      <c r="M554" s="110"/>
      <c r="N554" s="110"/>
      <c r="O554" s="110"/>
      <c r="P554" s="110"/>
      <c r="Q554" s="110"/>
      <c r="R554" s="110"/>
      <c r="S554" s="104"/>
      <c r="T554" s="110"/>
      <c r="U554" s="110"/>
      <c r="V554" s="110"/>
      <c r="W554" s="110"/>
      <c r="X554" s="110"/>
      <c r="Y554" s="110"/>
      <c r="Z554" s="110"/>
      <c r="AA554" s="218"/>
      <c r="AB554" s="218"/>
      <c r="AC554" s="218"/>
      <c r="AD554" s="218"/>
      <c r="AE554" s="218"/>
      <c r="AF554" s="218"/>
      <c r="AG554" s="218"/>
      <c r="AH554" s="218"/>
      <c r="AI554" s="218"/>
      <c r="AJ554" s="218"/>
      <c r="AK554" s="218"/>
      <c r="AL554" s="218"/>
      <c r="AM554" s="218"/>
      <c r="AN554" s="218"/>
      <c r="AO554" s="218"/>
      <c r="AP554" s="218"/>
      <c r="AQ554" s="218"/>
      <c r="AR554" s="218"/>
      <c r="AS554" s="218"/>
      <c r="AT554" s="218"/>
      <c r="AU554" s="218"/>
      <c r="AV554" s="218"/>
      <c r="AW554" s="218"/>
      <c r="AX554" s="218"/>
      <c r="AY554" s="218"/>
      <c r="AZ554" s="218"/>
      <c r="BA554" s="218"/>
      <c r="BB554" s="218"/>
      <c r="BC554" s="218"/>
      <c r="BD554" s="218"/>
      <c r="BE554" s="218"/>
      <c r="BF554" s="218"/>
      <c r="BG554" s="218"/>
      <c r="BH554" s="218"/>
      <c r="BI554" s="218"/>
      <c r="BJ554" s="224"/>
      <c r="BK554" s="224"/>
    </row>
    <row r="555" spans="1:63" hidden="1" outlineLevel="1">
      <c r="A555" s="9"/>
      <c r="B555" s="44"/>
      <c r="C555" s="271">
        <f>Asset28</f>
        <v>0</v>
      </c>
      <c r="D555" s="9"/>
      <c r="E555" s="9"/>
      <c r="F555" s="9"/>
      <c r="G555" s="207">
        <f>Input!M34</f>
        <v>0</v>
      </c>
      <c r="H555" s="122"/>
      <c r="I555" s="122"/>
      <c r="J555" s="122"/>
      <c r="K555" s="122"/>
      <c r="L555" s="122"/>
      <c r="M555" s="110"/>
      <c r="N555" s="110"/>
      <c r="O555" s="110"/>
      <c r="P555" s="110"/>
      <c r="Q555" s="110"/>
      <c r="R555" s="110"/>
      <c r="S555" s="104"/>
      <c r="T555" s="110"/>
      <c r="U555" s="110"/>
      <c r="V555" s="110"/>
      <c r="W555" s="110"/>
      <c r="X555" s="110"/>
      <c r="Y555" s="110"/>
      <c r="Z555" s="110"/>
      <c r="AA555" s="218"/>
      <c r="AB555" s="218"/>
      <c r="AC555" s="218"/>
      <c r="AD555" s="218"/>
      <c r="AE555" s="218"/>
      <c r="AF555" s="218"/>
      <c r="AG555" s="218"/>
      <c r="AH555" s="218"/>
      <c r="AI555" s="218"/>
      <c r="AJ555" s="218"/>
      <c r="AK555" s="218"/>
      <c r="AL555" s="218"/>
      <c r="AM555" s="218"/>
      <c r="AN555" s="218"/>
      <c r="AO555" s="218"/>
      <c r="AP555" s="218"/>
      <c r="AQ555" s="218"/>
      <c r="AR555" s="218"/>
      <c r="AS555" s="218"/>
      <c r="AT555" s="218"/>
      <c r="AU555" s="218"/>
      <c r="AV555" s="218"/>
      <c r="AW555" s="218"/>
      <c r="AX555" s="218"/>
      <c r="AY555" s="218"/>
      <c r="AZ555" s="218"/>
      <c r="BA555" s="218"/>
      <c r="BB555" s="218"/>
      <c r="BC555" s="218"/>
      <c r="BD555" s="218"/>
      <c r="BE555" s="218"/>
      <c r="BF555" s="218"/>
      <c r="BG555" s="218"/>
      <c r="BH555" s="218"/>
      <c r="BI555" s="218"/>
      <c r="BJ555" s="224"/>
      <c r="BK555" s="224"/>
    </row>
    <row r="556" spans="1:63" hidden="1" outlineLevel="1">
      <c r="A556" s="9"/>
      <c r="B556" s="44"/>
      <c r="C556" s="271">
        <f>Asset29</f>
        <v>0</v>
      </c>
      <c r="D556" s="9"/>
      <c r="E556" s="9"/>
      <c r="F556" s="9"/>
      <c r="G556" s="207">
        <f>Input!M35</f>
        <v>0</v>
      </c>
      <c r="H556" s="122"/>
      <c r="I556" s="122"/>
      <c r="J556" s="122"/>
      <c r="K556" s="122"/>
      <c r="L556" s="122"/>
      <c r="M556" s="110"/>
      <c r="N556" s="110"/>
      <c r="O556" s="110"/>
      <c r="P556" s="110"/>
      <c r="Q556" s="110"/>
      <c r="R556" s="110"/>
      <c r="S556" s="104"/>
      <c r="T556" s="110"/>
      <c r="U556" s="110"/>
      <c r="V556" s="110"/>
      <c r="W556" s="110"/>
      <c r="X556" s="110"/>
      <c r="Y556" s="110"/>
      <c r="Z556" s="110"/>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24"/>
      <c r="BK556" s="224"/>
    </row>
    <row r="557" spans="1:63" hidden="1" outlineLevel="1">
      <c r="A557" s="9"/>
      <c r="B557" s="44"/>
      <c r="C557" s="271">
        <f>Asset30</f>
        <v>0</v>
      </c>
      <c r="D557" s="9"/>
      <c r="E557" s="9"/>
      <c r="F557" s="9"/>
      <c r="G557" s="207">
        <f>Input!M36</f>
        <v>0</v>
      </c>
      <c r="H557" s="122"/>
      <c r="I557" s="122"/>
      <c r="J557" s="122"/>
      <c r="K557" s="122"/>
      <c r="L557" s="122"/>
      <c r="M557" s="110"/>
      <c r="N557" s="110"/>
      <c r="O557" s="110"/>
      <c r="P557" s="110"/>
      <c r="Q557" s="110"/>
      <c r="R557" s="110"/>
      <c r="S557" s="104"/>
      <c r="T557" s="110"/>
      <c r="U557" s="110"/>
      <c r="V557" s="110"/>
      <c r="W557" s="110"/>
      <c r="X557" s="110"/>
      <c r="Y557" s="110"/>
      <c r="Z557" s="110"/>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24"/>
      <c r="BK557" s="224"/>
    </row>
    <row r="558" spans="1:63" collapsed="1">
      <c r="A558" s="9"/>
      <c r="B558" s="44"/>
      <c r="C558" s="117"/>
      <c r="D558" s="9"/>
      <c r="E558" s="9"/>
      <c r="F558" s="28"/>
      <c r="G558" s="208"/>
      <c r="H558" s="122"/>
      <c r="I558" s="122"/>
      <c r="J558" s="122"/>
      <c r="K558" s="122"/>
      <c r="L558" s="122"/>
      <c r="M558" s="110"/>
      <c r="N558" s="110"/>
      <c r="O558" s="110"/>
      <c r="P558" s="110"/>
      <c r="Q558" s="110"/>
      <c r="R558" s="110"/>
      <c r="S558" s="110"/>
      <c r="T558" s="110"/>
      <c r="U558" s="110"/>
      <c r="V558" s="110"/>
      <c r="W558" s="110"/>
      <c r="X558" s="110"/>
      <c r="Y558" s="110"/>
      <c r="Z558" s="110"/>
      <c r="AA558" s="218"/>
      <c r="AB558" s="218"/>
      <c r="AC558" s="218"/>
      <c r="AD558" s="218"/>
      <c r="AE558" s="218"/>
      <c r="AF558" s="218"/>
      <c r="AG558" s="218"/>
      <c r="AH558" s="218"/>
      <c r="AI558" s="218"/>
      <c r="AJ558" s="218"/>
      <c r="AK558" s="218"/>
      <c r="AL558" s="218"/>
      <c r="AM558" s="218"/>
      <c r="AN558" s="218"/>
      <c r="AO558" s="218"/>
      <c r="AP558" s="218"/>
      <c r="AQ558" s="218"/>
      <c r="AR558" s="218"/>
      <c r="AS558" s="218"/>
      <c r="AT558" s="218"/>
      <c r="AU558" s="218"/>
      <c r="AV558" s="218"/>
      <c r="AW558" s="218"/>
      <c r="AX558" s="218"/>
      <c r="AY558" s="218"/>
      <c r="AZ558" s="218"/>
      <c r="BA558" s="218"/>
      <c r="BB558" s="218"/>
      <c r="BC558" s="218"/>
      <c r="BD558" s="218"/>
      <c r="BE558" s="218"/>
      <c r="BF558" s="218"/>
      <c r="BG558" s="218"/>
      <c r="BH558" s="218"/>
      <c r="BI558" s="218"/>
      <c r="BJ558" s="224"/>
      <c r="BK558" s="224"/>
    </row>
    <row r="559" spans="1:63">
      <c r="A559" s="9"/>
      <c r="B559" s="94" t="s">
        <v>47</v>
      </c>
      <c r="C559" s="12"/>
      <c r="D559" s="9"/>
      <c r="E559" s="9"/>
      <c r="F559" s="9"/>
      <c r="G559" s="205">
        <f>SUM(G560:G589)</f>
        <v>-85.497842544496294</v>
      </c>
      <c r="H559" s="122"/>
      <c r="I559" s="122"/>
      <c r="J559" s="122"/>
      <c r="K559" s="122"/>
      <c r="L559" s="122"/>
      <c r="M559" s="110"/>
      <c r="N559" s="110"/>
      <c r="O559" s="110"/>
      <c r="P559" s="110"/>
      <c r="Q559" s="110"/>
      <c r="R559" s="110"/>
      <c r="S559" s="110"/>
      <c r="T559" s="110"/>
      <c r="U559" s="110"/>
      <c r="V559" s="110"/>
      <c r="W559" s="110"/>
      <c r="X559" s="110"/>
      <c r="Y559" s="110"/>
      <c r="Z559" s="110"/>
      <c r="AA559" s="218"/>
      <c r="AB559" s="218"/>
      <c r="AC559" s="218"/>
      <c r="AD559" s="218"/>
      <c r="AE559" s="218"/>
      <c r="AF559" s="218"/>
      <c r="AG559" s="218"/>
      <c r="AH559" s="218"/>
      <c r="AI559" s="218"/>
      <c r="AJ559" s="218"/>
      <c r="AK559" s="218"/>
      <c r="AL559" s="218"/>
      <c r="AM559" s="218"/>
      <c r="AN559" s="218"/>
      <c r="AO559" s="218"/>
      <c r="AP559" s="218"/>
      <c r="AQ559" s="218"/>
      <c r="AR559" s="218"/>
      <c r="AS559" s="218"/>
      <c r="AT559" s="218"/>
      <c r="AU559" s="218"/>
      <c r="AV559" s="218"/>
      <c r="AW559" s="218"/>
      <c r="AX559" s="218"/>
      <c r="AY559" s="218"/>
      <c r="AZ559" s="218"/>
      <c r="BA559" s="218"/>
      <c r="BB559" s="218"/>
      <c r="BC559" s="218"/>
      <c r="BD559" s="218"/>
      <c r="BE559" s="218"/>
      <c r="BF559" s="218"/>
      <c r="BG559" s="218"/>
      <c r="BH559" s="218"/>
      <c r="BI559" s="218"/>
      <c r="BJ559" s="224"/>
      <c r="BK559" s="224"/>
    </row>
    <row r="560" spans="1:63" hidden="1" outlineLevel="1">
      <c r="A560" s="9"/>
      <c r="B560" s="44"/>
      <c r="C560" s="271" t="str">
        <f>Asset1</f>
        <v>Subtransmission</v>
      </c>
      <c r="D560" s="9"/>
      <c r="E560" s="9"/>
      <c r="F560" s="28"/>
      <c r="G560" s="207">
        <f>-Input!P7</f>
        <v>-6.6911891775343548</v>
      </c>
      <c r="H560" s="122"/>
      <c r="I560" s="122"/>
      <c r="J560" s="122"/>
      <c r="K560" s="122"/>
      <c r="L560" s="122"/>
      <c r="M560" s="110"/>
      <c r="N560" s="110"/>
      <c r="O560" s="110"/>
      <c r="P560" s="110"/>
      <c r="Q560" s="110"/>
      <c r="R560" s="110"/>
      <c r="S560" s="110"/>
      <c r="T560" s="110"/>
      <c r="U560" s="110"/>
      <c r="V560" s="110"/>
      <c r="W560" s="110"/>
      <c r="X560" s="110"/>
      <c r="Y560" s="110"/>
      <c r="Z560" s="110"/>
      <c r="AA560" s="218"/>
      <c r="AB560" s="218"/>
      <c r="AC560" s="218"/>
      <c r="AD560" s="218"/>
      <c r="AE560" s="218"/>
      <c r="AF560" s="218"/>
      <c r="AG560" s="218"/>
      <c r="AH560" s="218"/>
      <c r="AI560" s="218"/>
      <c r="AJ560" s="218"/>
      <c r="AK560" s="218"/>
      <c r="AL560" s="218"/>
      <c r="AM560" s="218"/>
      <c r="AN560" s="218"/>
      <c r="AO560" s="218"/>
      <c r="AP560" s="218"/>
      <c r="AQ560" s="218"/>
      <c r="AR560" s="218"/>
      <c r="AS560" s="218"/>
      <c r="AT560" s="218"/>
      <c r="AU560" s="218"/>
      <c r="AV560" s="218"/>
      <c r="AW560" s="218"/>
      <c r="AX560" s="218"/>
      <c r="AY560" s="218"/>
      <c r="AZ560" s="218"/>
      <c r="BA560" s="218"/>
      <c r="BB560" s="218"/>
      <c r="BC560" s="218"/>
      <c r="BD560" s="218"/>
      <c r="BE560" s="218"/>
      <c r="BF560" s="218"/>
      <c r="BG560" s="218"/>
      <c r="BH560" s="218"/>
      <c r="BI560" s="218"/>
      <c r="BJ560" s="224"/>
      <c r="BK560" s="224"/>
    </row>
    <row r="561" spans="1:63" hidden="1" outlineLevel="1">
      <c r="A561" s="9"/>
      <c r="B561" s="44"/>
      <c r="C561" s="271" t="str">
        <f>Asset2</f>
        <v>Distribution system assets</v>
      </c>
      <c r="D561" s="9"/>
      <c r="E561" s="9"/>
      <c r="F561" s="28"/>
      <c r="G561" s="207">
        <f>-Input!P8</f>
        <v>-30.502351015154549</v>
      </c>
      <c r="H561" s="122"/>
      <c r="I561" s="122"/>
      <c r="J561" s="122"/>
      <c r="K561" s="122"/>
      <c r="L561" s="122"/>
      <c r="M561" s="110"/>
      <c r="N561" s="110"/>
      <c r="O561" s="110"/>
      <c r="P561" s="110"/>
      <c r="Q561" s="110"/>
      <c r="R561" s="110"/>
      <c r="S561" s="110"/>
      <c r="T561" s="110"/>
      <c r="U561" s="110"/>
      <c r="V561" s="110"/>
      <c r="W561" s="110"/>
      <c r="X561" s="110"/>
      <c r="Y561" s="110"/>
      <c r="Z561" s="110"/>
      <c r="AA561" s="218"/>
      <c r="AB561" s="218"/>
      <c r="AC561" s="218"/>
      <c r="AD561" s="218"/>
      <c r="AE561" s="218"/>
      <c r="AF561" s="218"/>
      <c r="AG561" s="218"/>
      <c r="AH561" s="218"/>
      <c r="AI561" s="218"/>
      <c r="AJ561" s="218"/>
      <c r="AK561" s="218"/>
      <c r="AL561" s="218"/>
      <c r="AM561" s="218"/>
      <c r="AN561" s="218"/>
      <c r="AO561" s="218"/>
      <c r="AP561" s="218"/>
      <c r="AQ561" s="218"/>
      <c r="AR561" s="218"/>
      <c r="AS561" s="218"/>
      <c r="AT561" s="218"/>
      <c r="AU561" s="218"/>
      <c r="AV561" s="218"/>
      <c r="AW561" s="218"/>
      <c r="AX561" s="218"/>
      <c r="AY561" s="218"/>
      <c r="AZ561" s="218"/>
      <c r="BA561" s="218"/>
      <c r="BB561" s="218"/>
      <c r="BC561" s="218"/>
      <c r="BD561" s="218"/>
      <c r="BE561" s="218"/>
      <c r="BF561" s="218"/>
      <c r="BG561" s="218"/>
      <c r="BH561" s="218"/>
      <c r="BI561" s="218"/>
      <c r="BJ561" s="224"/>
      <c r="BK561" s="224"/>
    </row>
    <row r="562" spans="1:63" hidden="1" outlineLevel="1">
      <c r="A562" s="9"/>
      <c r="B562" s="44"/>
      <c r="C562" s="271" t="str">
        <f>Asset3</f>
        <v>Standard metering</v>
      </c>
      <c r="D562" s="9"/>
      <c r="E562" s="9"/>
      <c r="F562" s="28"/>
      <c r="G562" s="207">
        <f>-Input!P9</f>
        <v>-13.489445516505549</v>
      </c>
      <c r="H562" s="122"/>
      <c r="I562" s="122"/>
      <c r="J562" s="122"/>
      <c r="K562" s="122"/>
      <c r="L562" s="122"/>
      <c r="M562" s="110"/>
      <c r="N562" s="110"/>
      <c r="O562" s="110"/>
      <c r="P562" s="110"/>
      <c r="Q562" s="110"/>
      <c r="R562" s="110"/>
      <c r="S562" s="110"/>
      <c r="T562" s="110"/>
      <c r="U562" s="110"/>
      <c r="V562" s="110"/>
      <c r="W562" s="110"/>
      <c r="X562" s="110"/>
      <c r="Y562" s="110"/>
      <c r="Z562" s="110"/>
      <c r="AA562" s="218"/>
      <c r="AB562" s="218"/>
      <c r="AC562" s="218"/>
      <c r="AD562" s="218"/>
      <c r="AE562" s="218"/>
      <c r="AF562" s="218"/>
      <c r="AG562" s="218"/>
      <c r="AH562" s="218"/>
      <c r="AI562" s="218"/>
      <c r="AJ562" s="218"/>
      <c r="AK562" s="218"/>
      <c r="AL562" s="218"/>
      <c r="AM562" s="218"/>
      <c r="AN562" s="218"/>
      <c r="AO562" s="218"/>
      <c r="AP562" s="218"/>
      <c r="AQ562" s="218"/>
      <c r="AR562" s="218"/>
      <c r="AS562" s="218"/>
      <c r="AT562" s="218"/>
      <c r="AU562" s="218"/>
      <c r="AV562" s="218"/>
      <c r="AW562" s="218"/>
      <c r="AX562" s="218"/>
      <c r="AY562" s="218"/>
      <c r="AZ562" s="218"/>
      <c r="BA562" s="218"/>
      <c r="BB562" s="218"/>
      <c r="BC562" s="218"/>
      <c r="BD562" s="218"/>
      <c r="BE562" s="218"/>
      <c r="BF562" s="218"/>
      <c r="BG562" s="218"/>
      <c r="BH562" s="218"/>
      <c r="BI562" s="218"/>
      <c r="BJ562" s="224"/>
      <c r="BK562" s="224"/>
    </row>
    <row r="563" spans="1:63" hidden="1" outlineLevel="1">
      <c r="A563" s="9"/>
      <c r="B563" s="44"/>
      <c r="C563" s="271" t="str">
        <f>Asset4</f>
        <v>Public lighting</v>
      </c>
      <c r="D563" s="9"/>
      <c r="E563" s="9"/>
      <c r="F563" s="28"/>
      <c r="G563" s="207">
        <f>-Input!P10</f>
        <v>-6.5389223827045004</v>
      </c>
      <c r="H563" s="122"/>
      <c r="I563" s="122"/>
      <c r="J563" s="122"/>
      <c r="K563" s="122"/>
      <c r="L563" s="122"/>
      <c r="M563" s="110"/>
      <c r="N563" s="110"/>
      <c r="O563" s="110"/>
      <c r="P563" s="110"/>
      <c r="Q563" s="110"/>
      <c r="R563" s="110"/>
      <c r="S563" s="110"/>
      <c r="T563" s="110"/>
      <c r="U563" s="110"/>
      <c r="V563" s="110"/>
      <c r="W563" s="110"/>
      <c r="X563" s="110"/>
      <c r="Y563" s="110"/>
      <c r="Z563" s="110"/>
      <c r="AA563" s="218"/>
      <c r="AB563" s="218"/>
      <c r="AC563" s="218"/>
      <c r="AD563" s="218"/>
      <c r="AE563" s="218"/>
      <c r="AF563" s="218"/>
      <c r="AG563" s="218"/>
      <c r="AH563" s="218"/>
      <c r="AI563" s="218"/>
      <c r="AJ563" s="218"/>
      <c r="AK563" s="218"/>
      <c r="AL563" s="218"/>
      <c r="AM563" s="218"/>
      <c r="AN563" s="218"/>
      <c r="AO563" s="218"/>
      <c r="AP563" s="218"/>
      <c r="AQ563" s="218"/>
      <c r="AR563" s="218"/>
      <c r="AS563" s="218"/>
      <c r="AT563" s="218"/>
      <c r="AU563" s="218"/>
      <c r="AV563" s="218"/>
      <c r="AW563" s="218"/>
      <c r="AX563" s="218"/>
      <c r="AY563" s="218"/>
      <c r="AZ563" s="218"/>
      <c r="BA563" s="218"/>
      <c r="BB563" s="218"/>
      <c r="BC563" s="218"/>
      <c r="BD563" s="218"/>
      <c r="BE563" s="218"/>
      <c r="BF563" s="218"/>
      <c r="BG563" s="218"/>
      <c r="BH563" s="218"/>
      <c r="BI563" s="218"/>
      <c r="BJ563" s="224"/>
      <c r="BK563" s="224"/>
    </row>
    <row r="564" spans="1:63" hidden="1" outlineLevel="1">
      <c r="A564" s="9"/>
      <c r="B564" s="44"/>
      <c r="C564" s="271" t="str">
        <f>Asset5</f>
        <v>SCADA/Network control</v>
      </c>
      <c r="D564" s="9"/>
      <c r="E564" s="9"/>
      <c r="F564" s="28"/>
      <c r="G564" s="207">
        <f>-Input!P11</f>
        <v>-9.9973617177477241</v>
      </c>
      <c r="H564" s="122"/>
      <c r="I564" s="122"/>
      <c r="J564" s="122"/>
      <c r="K564" s="122"/>
      <c r="L564" s="122"/>
      <c r="M564" s="110"/>
      <c r="N564" s="110"/>
      <c r="O564" s="110"/>
      <c r="P564" s="110"/>
      <c r="Q564" s="110"/>
      <c r="R564" s="110"/>
      <c r="S564" s="110"/>
      <c r="T564" s="110"/>
      <c r="U564" s="110"/>
      <c r="V564" s="110"/>
      <c r="W564" s="110"/>
      <c r="X564" s="110"/>
      <c r="Y564" s="110"/>
      <c r="Z564" s="110"/>
      <c r="AA564" s="218"/>
      <c r="AB564" s="218"/>
      <c r="AC564" s="218"/>
      <c r="AD564" s="218"/>
      <c r="AE564" s="218"/>
      <c r="AF564" s="218"/>
      <c r="AG564" s="218"/>
      <c r="AH564" s="218"/>
      <c r="AI564" s="218"/>
      <c r="AJ564" s="218"/>
      <c r="AK564" s="218"/>
      <c r="AL564" s="218"/>
      <c r="AM564" s="218"/>
      <c r="AN564" s="218"/>
      <c r="AO564" s="218"/>
      <c r="AP564" s="218"/>
      <c r="AQ564" s="218"/>
      <c r="AR564" s="218"/>
      <c r="AS564" s="218"/>
      <c r="AT564" s="218"/>
      <c r="AU564" s="218"/>
      <c r="AV564" s="218"/>
      <c r="AW564" s="218"/>
      <c r="AX564" s="218"/>
      <c r="AY564" s="218"/>
      <c r="AZ564" s="218"/>
      <c r="BA564" s="218"/>
      <c r="BB564" s="218"/>
      <c r="BC564" s="218"/>
      <c r="BD564" s="218"/>
      <c r="BE564" s="218"/>
      <c r="BF564" s="218"/>
      <c r="BG564" s="218"/>
      <c r="BH564" s="218"/>
      <c r="BI564" s="218"/>
      <c r="BJ564" s="224"/>
      <c r="BK564" s="224"/>
    </row>
    <row r="565" spans="1:63" hidden="1" outlineLevel="1">
      <c r="A565" s="9"/>
      <c r="B565" s="44"/>
      <c r="C565" s="271" t="str">
        <f>Asset6</f>
        <v>Non-network general assets - IT</v>
      </c>
      <c r="D565" s="9"/>
      <c r="E565" s="9"/>
      <c r="F565" s="28"/>
      <c r="G565" s="207">
        <f>-Input!P12</f>
        <v>-18.232941669919043</v>
      </c>
      <c r="H565" s="122"/>
      <c r="I565" s="122"/>
      <c r="J565" s="122"/>
      <c r="K565" s="122"/>
      <c r="L565" s="122"/>
      <c r="M565" s="110"/>
      <c r="N565" s="110"/>
      <c r="O565" s="110"/>
      <c r="P565" s="110"/>
      <c r="Q565" s="110"/>
      <c r="R565" s="110"/>
      <c r="S565" s="110"/>
      <c r="T565" s="110"/>
      <c r="U565" s="110"/>
      <c r="V565" s="110"/>
      <c r="W565" s="110"/>
      <c r="X565" s="110"/>
      <c r="Y565" s="110"/>
      <c r="Z565" s="110"/>
      <c r="AA565" s="218"/>
      <c r="AB565" s="218"/>
      <c r="AC565" s="218"/>
      <c r="AD565" s="218"/>
      <c r="AE565" s="218"/>
      <c r="AF565" s="218"/>
      <c r="AG565" s="218"/>
      <c r="AH565" s="218"/>
      <c r="AI565" s="218"/>
      <c r="AJ565" s="218"/>
      <c r="AK565" s="218"/>
      <c r="AL565" s="218"/>
      <c r="AM565" s="218"/>
      <c r="AN565" s="218"/>
      <c r="AO565" s="218"/>
      <c r="AP565" s="218"/>
      <c r="AQ565" s="218"/>
      <c r="AR565" s="218"/>
      <c r="AS565" s="218"/>
      <c r="AT565" s="218"/>
      <c r="AU565" s="218"/>
      <c r="AV565" s="218"/>
      <c r="AW565" s="218"/>
      <c r="AX565" s="218"/>
      <c r="AY565" s="218"/>
      <c r="AZ565" s="218"/>
      <c r="BA565" s="218"/>
      <c r="BB565" s="218"/>
      <c r="BC565" s="218"/>
      <c r="BD565" s="218"/>
      <c r="BE565" s="218"/>
      <c r="BF565" s="218"/>
      <c r="BG565" s="218"/>
      <c r="BH565" s="218"/>
      <c r="BI565" s="218"/>
      <c r="BJ565" s="224"/>
      <c r="BK565" s="224"/>
    </row>
    <row r="566" spans="1:63" hidden="1" outlineLevel="1">
      <c r="A566" s="9"/>
      <c r="B566" s="44"/>
      <c r="C566" s="271" t="str">
        <f>Asset7</f>
        <v>Non-network general assets - Other</v>
      </c>
      <c r="D566" s="9"/>
      <c r="E566" s="9"/>
      <c r="F566" s="28"/>
      <c r="G566" s="207">
        <f>-Input!P13</f>
        <v>-4.5631064930580612E-2</v>
      </c>
      <c r="H566" s="122"/>
      <c r="I566" s="122"/>
      <c r="J566" s="122"/>
      <c r="K566" s="122"/>
      <c r="L566" s="122"/>
      <c r="M566" s="110"/>
      <c r="N566" s="110"/>
      <c r="O566" s="110"/>
      <c r="P566" s="110"/>
      <c r="Q566" s="110"/>
      <c r="R566" s="110"/>
      <c r="S566" s="110"/>
      <c r="T566" s="110"/>
      <c r="U566" s="110"/>
      <c r="V566" s="110"/>
      <c r="W566" s="110"/>
      <c r="X566" s="110"/>
      <c r="Y566" s="110"/>
      <c r="Z566" s="110"/>
      <c r="AA566" s="218"/>
      <c r="AB566" s="218"/>
      <c r="AC566" s="218"/>
      <c r="AD566" s="218"/>
      <c r="AE566" s="218"/>
      <c r="AF566" s="218"/>
      <c r="AG566" s="218"/>
      <c r="AH566" s="218"/>
      <c r="AI566" s="218"/>
      <c r="AJ566" s="218"/>
      <c r="AK566" s="218"/>
      <c r="AL566" s="218"/>
      <c r="AM566" s="218"/>
      <c r="AN566" s="218"/>
      <c r="AO566" s="218"/>
      <c r="AP566" s="218"/>
      <c r="AQ566" s="218"/>
      <c r="AR566" s="218"/>
      <c r="AS566" s="218"/>
      <c r="AT566" s="218"/>
      <c r="AU566" s="218"/>
      <c r="AV566" s="218"/>
      <c r="AW566" s="218"/>
      <c r="AX566" s="218"/>
      <c r="AY566" s="218"/>
      <c r="AZ566" s="218"/>
      <c r="BA566" s="218"/>
      <c r="BB566" s="218"/>
      <c r="BC566" s="218"/>
      <c r="BD566" s="218"/>
      <c r="BE566" s="218"/>
      <c r="BF566" s="218"/>
      <c r="BG566" s="218"/>
      <c r="BH566" s="218"/>
      <c r="BI566" s="218"/>
      <c r="BJ566" s="224"/>
      <c r="BK566" s="224"/>
    </row>
    <row r="567" spans="1:63" hidden="1" outlineLevel="1">
      <c r="A567" s="9"/>
      <c r="B567" s="44"/>
      <c r="C567" s="271" t="str">
        <f>Asset8</f>
        <v>Equity Raising Costs</v>
      </c>
      <c r="D567" s="9"/>
      <c r="E567" s="9"/>
      <c r="F567" s="28"/>
      <c r="G567" s="207">
        <f>-Input!P14</f>
        <v>0</v>
      </c>
      <c r="H567" s="122"/>
      <c r="I567" s="122"/>
      <c r="J567" s="122"/>
      <c r="K567" s="122"/>
      <c r="L567" s="122"/>
      <c r="M567" s="110"/>
      <c r="N567" s="110"/>
      <c r="O567" s="110"/>
      <c r="P567" s="110"/>
      <c r="Q567" s="110"/>
      <c r="R567" s="110"/>
      <c r="S567" s="110"/>
      <c r="T567" s="110"/>
      <c r="U567" s="110"/>
      <c r="V567" s="110"/>
      <c r="W567" s="110"/>
      <c r="X567" s="110"/>
      <c r="Y567" s="110"/>
      <c r="Z567" s="110"/>
      <c r="AA567" s="218"/>
      <c r="AB567" s="218"/>
      <c r="AC567" s="218"/>
      <c r="AD567" s="218"/>
      <c r="AE567" s="218"/>
      <c r="AF567" s="218"/>
      <c r="AG567" s="218"/>
      <c r="AH567" s="218"/>
      <c r="AI567" s="218"/>
      <c r="AJ567" s="218"/>
      <c r="AK567" s="218"/>
      <c r="AL567" s="218"/>
      <c r="AM567" s="218"/>
      <c r="AN567" s="218"/>
      <c r="AO567" s="218"/>
      <c r="AP567" s="218"/>
      <c r="AQ567" s="218"/>
      <c r="AR567" s="218"/>
      <c r="AS567" s="218"/>
      <c r="AT567" s="218"/>
      <c r="AU567" s="218"/>
      <c r="AV567" s="218"/>
      <c r="AW567" s="218"/>
      <c r="AX567" s="218"/>
      <c r="AY567" s="218"/>
      <c r="AZ567" s="218"/>
      <c r="BA567" s="218"/>
      <c r="BB567" s="218"/>
      <c r="BC567" s="218"/>
      <c r="BD567" s="218"/>
      <c r="BE567" s="218"/>
      <c r="BF567" s="218"/>
      <c r="BG567" s="218"/>
      <c r="BH567" s="218"/>
      <c r="BI567" s="218"/>
      <c r="BJ567" s="224"/>
      <c r="BK567" s="224"/>
    </row>
    <row r="568" spans="1:63" hidden="1" outlineLevel="1">
      <c r="A568" s="9"/>
      <c r="B568" s="44"/>
      <c r="C568" s="271">
        <f>Asset9</f>
        <v>0</v>
      </c>
      <c r="D568" s="9"/>
      <c r="E568" s="9"/>
      <c r="F568" s="28"/>
      <c r="G568" s="207">
        <f>-Input!P15</f>
        <v>0</v>
      </c>
      <c r="H568" s="122"/>
      <c r="I568" s="122"/>
      <c r="J568" s="122"/>
      <c r="K568" s="122"/>
      <c r="L568" s="122"/>
      <c r="M568" s="110"/>
      <c r="N568" s="110"/>
      <c r="O568" s="110"/>
      <c r="P568" s="110"/>
      <c r="Q568" s="110"/>
      <c r="R568" s="110"/>
      <c r="S568" s="110"/>
      <c r="T568" s="110"/>
      <c r="U568" s="110"/>
      <c r="V568" s="110"/>
      <c r="W568" s="110"/>
      <c r="X568" s="110"/>
      <c r="Y568" s="110"/>
      <c r="Z568" s="110"/>
      <c r="AA568" s="218"/>
      <c r="AB568" s="218"/>
      <c r="AC568" s="218"/>
      <c r="AD568" s="218"/>
      <c r="AE568" s="218"/>
      <c r="AF568" s="218"/>
      <c r="AG568" s="218"/>
      <c r="AH568" s="218"/>
      <c r="AI568" s="218"/>
      <c r="AJ568" s="218"/>
      <c r="AK568" s="218"/>
      <c r="AL568" s="218"/>
      <c r="AM568" s="218"/>
      <c r="AN568" s="218"/>
      <c r="AO568" s="218"/>
      <c r="AP568" s="218"/>
      <c r="AQ568" s="218"/>
      <c r="AR568" s="218"/>
      <c r="AS568" s="218"/>
      <c r="AT568" s="218"/>
      <c r="AU568" s="218"/>
      <c r="AV568" s="218"/>
      <c r="AW568" s="218"/>
      <c r="AX568" s="218"/>
      <c r="AY568" s="218"/>
      <c r="AZ568" s="218"/>
      <c r="BA568" s="218"/>
      <c r="BB568" s="218"/>
      <c r="BC568" s="218"/>
      <c r="BD568" s="218"/>
      <c r="BE568" s="218"/>
      <c r="BF568" s="218"/>
      <c r="BG568" s="218"/>
      <c r="BH568" s="218"/>
      <c r="BI568" s="218"/>
      <c r="BJ568" s="224"/>
      <c r="BK568" s="224"/>
    </row>
    <row r="569" spans="1:63" hidden="1" outlineLevel="1">
      <c r="A569" s="9"/>
      <c r="B569" s="44"/>
      <c r="C569" s="271">
        <f>Asset10</f>
        <v>0</v>
      </c>
      <c r="D569" s="9"/>
      <c r="E569" s="9"/>
      <c r="F569" s="28"/>
      <c r="G569" s="207">
        <f>-Input!P16</f>
        <v>0</v>
      </c>
      <c r="H569" s="122"/>
      <c r="I569" s="122"/>
      <c r="J569" s="122"/>
      <c r="K569" s="122"/>
      <c r="L569" s="122"/>
      <c r="M569" s="110"/>
      <c r="N569" s="110"/>
      <c r="O569" s="110"/>
      <c r="P569" s="110"/>
      <c r="Q569" s="110"/>
      <c r="R569" s="110"/>
      <c r="S569" s="110"/>
      <c r="T569" s="110"/>
      <c r="U569" s="110"/>
      <c r="V569" s="110"/>
      <c r="W569" s="110"/>
      <c r="X569" s="110"/>
      <c r="Y569" s="110"/>
      <c r="Z569" s="110"/>
      <c r="AA569" s="218"/>
      <c r="AB569" s="218"/>
      <c r="AC569" s="218"/>
      <c r="AD569" s="218"/>
      <c r="AE569" s="218"/>
      <c r="AF569" s="218"/>
      <c r="AG569" s="218"/>
      <c r="AH569" s="218"/>
      <c r="AI569" s="218"/>
      <c r="AJ569" s="218"/>
      <c r="AK569" s="218"/>
      <c r="AL569" s="218"/>
      <c r="AM569" s="218"/>
      <c r="AN569" s="218"/>
      <c r="AO569" s="218"/>
      <c r="AP569" s="218"/>
      <c r="AQ569" s="218"/>
      <c r="AR569" s="218"/>
      <c r="AS569" s="218"/>
      <c r="AT569" s="218"/>
      <c r="AU569" s="218"/>
      <c r="AV569" s="218"/>
      <c r="AW569" s="218"/>
      <c r="AX569" s="218"/>
      <c r="AY569" s="218"/>
      <c r="AZ569" s="218"/>
      <c r="BA569" s="218"/>
      <c r="BB569" s="218"/>
      <c r="BC569" s="218"/>
      <c r="BD569" s="218"/>
      <c r="BE569" s="218"/>
      <c r="BF569" s="218"/>
      <c r="BG569" s="218"/>
      <c r="BH569" s="218"/>
      <c r="BI569" s="218"/>
      <c r="BJ569" s="224"/>
      <c r="BK569" s="224"/>
    </row>
    <row r="570" spans="1:63" hidden="1" outlineLevel="1">
      <c r="A570" s="9"/>
      <c r="B570" s="44"/>
      <c r="C570" s="271">
        <f>Asset11</f>
        <v>0</v>
      </c>
      <c r="D570" s="9"/>
      <c r="E570" s="9"/>
      <c r="F570" s="28"/>
      <c r="G570" s="207">
        <f>-Input!P17</f>
        <v>0</v>
      </c>
      <c r="H570" s="122"/>
      <c r="I570" s="122"/>
      <c r="J570" s="122"/>
      <c r="K570" s="122"/>
      <c r="L570" s="122"/>
      <c r="M570" s="110"/>
      <c r="N570" s="110"/>
      <c r="O570" s="110"/>
      <c r="P570" s="110"/>
      <c r="Q570" s="110"/>
      <c r="R570" s="110"/>
      <c r="S570" s="110"/>
      <c r="T570" s="110"/>
      <c r="U570" s="110"/>
      <c r="V570" s="110"/>
      <c r="W570" s="110"/>
      <c r="X570" s="110"/>
      <c r="Y570" s="110"/>
      <c r="Z570" s="110"/>
      <c r="AA570" s="218"/>
      <c r="AB570" s="218"/>
      <c r="AC570" s="218"/>
      <c r="AD570" s="218"/>
      <c r="AE570" s="218"/>
      <c r="AF570" s="218"/>
      <c r="AG570" s="218"/>
      <c r="AH570" s="218"/>
      <c r="AI570" s="218"/>
      <c r="AJ570" s="218"/>
      <c r="AK570" s="218"/>
      <c r="AL570" s="218"/>
      <c r="AM570" s="218"/>
      <c r="AN570" s="218"/>
      <c r="AO570" s="218"/>
      <c r="AP570" s="218"/>
      <c r="AQ570" s="218"/>
      <c r="AR570" s="218"/>
      <c r="AS570" s="218"/>
      <c r="AT570" s="218"/>
      <c r="AU570" s="218"/>
      <c r="AV570" s="218"/>
      <c r="AW570" s="218"/>
      <c r="AX570" s="218"/>
      <c r="AY570" s="218"/>
      <c r="AZ570" s="218"/>
      <c r="BA570" s="218"/>
      <c r="BB570" s="218"/>
      <c r="BC570" s="218"/>
      <c r="BD570" s="218"/>
      <c r="BE570" s="218"/>
      <c r="BF570" s="218"/>
      <c r="BG570" s="218"/>
      <c r="BH570" s="218"/>
      <c r="BI570" s="218"/>
      <c r="BJ570" s="224"/>
      <c r="BK570" s="224"/>
    </row>
    <row r="571" spans="1:63" hidden="1" outlineLevel="1">
      <c r="A571" s="9"/>
      <c r="B571" s="44"/>
      <c r="C571" s="271">
        <f>Asset12</f>
        <v>0</v>
      </c>
      <c r="D571" s="9"/>
      <c r="E571" s="9"/>
      <c r="F571" s="28"/>
      <c r="G571" s="207">
        <f>-Input!P18</f>
        <v>0</v>
      </c>
      <c r="H571" s="122"/>
      <c r="I571" s="122"/>
      <c r="J571" s="122"/>
      <c r="K571" s="122"/>
      <c r="L571" s="122"/>
      <c r="M571" s="110"/>
      <c r="N571" s="110"/>
      <c r="O571" s="110"/>
      <c r="P571" s="110"/>
      <c r="Q571" s="110"/>
      <c r="R571" s="110"/>
      <c r="S571" s="110"/>
      <c r="T571" s="110"/>
      <c r="U571" s="110"/>
      <c r="V571" s="110"/>
      <c r="W571" s="110"/>
      <c r="X571" s="110"/>
      <c r="Y571" s="110"/>
      <c r="Z571" s="110"/>
      <c r="AA571" s="218"/>
      <c r="AB571" s="218"/>
      <c r="AC571" s="218"/>
      <c r="AD571" s="218"/>
      <c r="AE571" s="218"/>
      <c r="AF571" s="218"/>
      <c r="AG571" s="218"/>
      <c r="AH571" s="218"/>
      <c r="AI571" s="218"/>
      <c r="AJ571" s="218"/>
      <c r="AK571" s="218"/>
      <c r="AL571" s="218"/>
      <c r="AM571" s="218"/>
      <c r="AN571" s="218"/>
      <c r="AO571" s="218"/>
      <c r="AP571" s="218"/>
      <c r="AQ571" s="218"/>
      <c r="AR571" s="218"/>
      <c r="AS571" s="218"/>
      <c r="AT571" s="218"/>
      <c r="AU571" s="218"/>
      <c r="AV571" s="218"/>
      <c r="AW571" s="218"/>
      <c r="AX571" s="218"/>
      <c r="AY571" s="218"/>
      <c r="AZ571" s="218"/>
      <c r="BA571" s="218"/>
      <c r="BB571" s="218"/>
      <c r="BC571" s="218"/>
      <c r="BD571" s="218"/>
      <c r="BE571" s="218"/>
      <c r="BF571" s="218"/>
      <c r="BG571" s="218"/>
      <c r="BH571" s="218"/>
      <c r="BI571" s="218"/>
      <c r="BJ571" s="224"/>
      <c r="BK571" s="224"/>
    </row>
    <row r="572" spans="1:63" hidden="1" outlineLevel="1">
      <c r="A572" s="9"/>
      <c r="B572" s="44"/>
      <c r="C572" s="271">
        <f>Asset13</f>
        <v>0</v>
      </c>
      <c r="D572" s="9"/>
      <c r="E572" s="9"/>
      <c r="F572" s="28"/>
      <c r="G572" s="207">
        <f>-Input!P19</f>
        <v>0</v>
      </c>
      <c r="H572" s="122"/>
      <c r="I572" s="122"/>
      <c r="J572" s="122"/>
      <c r="K572" s="122"/>
      <c r="L572" s="122"/>
      <c r="M572" s="110"/>
      <c r="N572" s="110"/>
      <c r="O572" s="110"/>
      <c r="P572" s="110"/>
      <c r="Q572" s="110"/>
      <c r="R572" s="110"/>
      <c r="S572" s="110"/>
      <c r="T572" s="110"/>
      <c r="U572" s="110"/>
      <c r="V572" s="110"/>
      <c r="W572" s="110"/>
      <c r="X572" s="110"/>
      <c r="Y572" s="110"/>
      <c r="Z572" s="110"/>
      <c r="AA572" s="218"/>
      <c r="AB572" s="218"/>
      <c r="AC572" s="218"/>
      <c r="AD572" s="218"/>
      <c r="AE572" s="218"/>
      <c r="AF572" s="218"/>
      <c r="AG572" s="218"/>
      <c r="AH572" s="218"/>
      <c r="AI572" s="218"/>
      <c r="AJ572" s="218"/>
      <c r="AK572" s="218"/>
      <c r="AL572" s="218"/>
      <c r="AM572" s="218"/>
      <c r="AN572" s="218"/>
      <c r="AO572" s="218"/>
      <c r="AP572" s="218"/>
      <c r="AQ572" s="218"/>
      <c r="AR572" s="218"/>
      <c r="AS572" s="218"/>
      <c r="AT572" s="218"/>
      <c r="AU572" s="218"/>
      <c r="AV572" s="218"/>
      <c r="AW572" s="218"/>
      <c r="AX572" s="218"/>
      <c r="AY572" s="218"/>
      <c r="AZ572" s="218"/>
      <c r="BA572" s="218"/>
      <c r="BB572" s="218"/>
      <c r="BC572" s="218"/>
      <c r="BD572" s="218"/>
      <c r="BE572" s="218"/>
      <c r="BF572" s="218"/>
      <c r="BG572" s="218"/>
      <c r="BH572" s="218"/>
      <c r="BI572" s="218"/>
      <c r="BJ572" s="224"/>
      <c r="BK572" s="224"/>
    </row>
    <row r="573" spans="1:63" hidden="1" outlineLevel="1">
      <c r="A573" s="9"/>
      <c r="B573" s="44"/>
      <c r="C573" s="271">
        <f>Asset14</f>
        <v>0</v>
      </c>
      <c r="D573" s="9"/>
      <c r="E573" s="9"/>
      <c r="F573" s="28"/>
      <c r="G573" s="207">
        <f>-Input!P20</f>
        <v>0</v>
      </c>
      <c r="H573" s="122"/>
      <c r="I573" s="122"/>
      <c r="J573" s="122"/>
      <c r="K573" s="122"/>
      <c r="L573" s="122"/>
      <c r="M573" s="110"/>
      <c r="N573" s="110"/>
      <c r="O573" s="110"/>
      <c r="P573" s="110"/>
      <c r="Q573" s="110"/>
      <c r="R573" s="110"/>
      <c r="S573" s="110"/>
      <c r="T573" s="110"/>
      <c r="U573" s="110"/>
      <c r="V573" s="110"/>
      <c r="W573" s="110"/>
      <c r="X573" s="110"/>
      <c r="Y573" s="110"/>
      <c r="Z573" s="110"/>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218"/>
      <c r="BE573" s="218"/>
      <c r="BF573" s="218"/>
      <c r="BG573" s="218"/>
      <c r="BH573" s="218"/>
      <c r="BI573" s="218"/>
      <c r="BJ573" s="224"/>
      <c r="BK573" s="224"/>
    </row>
    <row r="574" spans="1:63" hidden="1" outlineLevel="1">
      <c r="A574" s="9"/>
      <c r="B574" s="44"/>
      <c r="C574" s="271">
        <f>Asset15</f>
        <v>0</v>
      </c>
      <c r="D574" s="9"/>
      <c r="E574" s="9"/>
      <c r="F574" s="28"/>
      <c r="G574" s="207">
        <f>-Input!P21</f>
        <v>0</v>
      </c>
      <c r="H574" s="122"/>
      <c r="I574" s="122"/>
      <c r="J574" s="122"/>
      <c r="K574" s="122"/>
      <c r="L574" s="122"/>
      <c r="M574" s="110"/>
      <c r="N574" s="110"/>
      <c r="O574" s="110"/>
      <c r="P574" s="110"/>
      <c r="Q574" s="110"/>
      <c r="R574" s="110"/>
      <c r="S574" s="110"/>
      <c r="T574" s="110"/>
      <c r="U574" s="110"/>
      <c r="V574" s="110"/>
      <c r="W574" s="110"/>
      <c r="X574" s="110"/>
      <c r="Y574" s="110"/>
      <c r="Z574" s="110"/>
      <c r="AA574" s="218"/>
      <c r="AB574" s="218"/>
      <c r="AC574" s="218"/>
      <c r="AD574" s="218"/>
      <c r="AE574" s="218"/>
      <c r="AF574" s="218"/>
      <c r="AG574" s="218"/>
      <c r="AH574" s="218"/>
      <c r="AI574" s="218"/>
      <c r="AJ574" s="218"/>
      <c r="AK574" s="218"/>
      <c r="AL574" s="218"/>
      <c r="AM574" s="218"/>
      <c r="AN574" s="218"/>
      <c r="AO574" s="218"/>
      <c r="AP574" s="218"/>
      <c r="AQ574" s="218"/>
      <c r="AR574" s="218"/>
      <c r="AS574" s="218"/>
      <c r="AT574" s="218"/>
      <c r="AU574" s="218"/>
      <c r="AV574" s="218"/>
      <c r="AW574" s="218"/>
      <c r="AX574" s="218"/>
      <c r="AY574" s="218"/>
      <c r="AZ574" s="218"/>
      <c r="BA574" s="218"/>
      <c r="BB574" s="218"/>
      <c r="BC574" s="218"/>
      <c r="BD574" s="218"/>
      <c r="BE574" s="218"/>
      <c r="BF574" s="218"/>
      <c r="BG574" s="218"/>
      <c r="BH574" s="218"/>
      <c r="BI574" s="218"/>
      <c r="BJ574" s="224"/>
      <c r="BK574" s="224"/>
    </row>
    <row r="575" spans="1:63" hidden="1" outlineLevel="1">
      <c r="A575" s="9"/>
      <c r="B575" s="44"/>
      <c r="C575" s="271">
        <f>Asset16</f>
        <v>0</v>
      </c>
      <c r="D575" s="9"/>
      <c r="E575" s="9"/>
      <c r="F575" s="28"/>
      <c r="G575" s="207">
        <f>-Input!P22</f>
        <v>0</v>
      </c>
      <c r="H575" s="122"/>
      <c r="I575" s="122"/>
      <c r="J575" s="122"/>
      <c r="K575" s="122"/>
      <c r="L575" s="122"/>
      <c r="M575" s="110"/>
      <c r="N575" s="110"/>
      <c r="O575" s="110"/>
      <c r="P575" s="110"/>
      <c r="Q575" s="110"/>
      <c r="R575" s="110"/>
      <c r="S575" s="110"/>
      <c r="T575" s="110"/>
      <c r="U575" s="110"/>
      <c r="V575" s="110"/>
      <c r="W575" s="110"/>
      <c r="X575" s="110"/>
      <c r="Y575" s="110"/>
      <c r="Z575" s="110"/>
      <c r="AA575" s="218"/>
      <c r="AB575" s="218"/>
      <c r="AC575" s="218"/>
      <c r="AD575" s="218"/>
      <c r="AE575" s="218"/>
      <c r="AF575" s="218"/>
      <c r="AG575" s="218"/>
      <c r="AH575" s="218"/>
      <c r="AI575" s="218"/>
      <c r="AJ575" s="218"/>
      <c r="AK575" s="218"/>
      <c r="AL575" s="218"/>
      <c r="AM575" s="218"/>
      <c r="AN575" s="218"/>
      <c r="AO575" s="218"/>
      <c r="AP575" s="218"/>
      <c r="AQ575" s="218"/>
      <c r="AR575" s="218"/>
      <c r="AS575" s="218"/>
      <c r="AT575" s="218"/>
      <c r="AU575" s="218"/>
      <c r="AV575" s="218"/>
      <c r="AW575" s="218"/>
      <c r="AX575" s="218"/>
      <c r="AY575" s="218"/>
      <c r="AZ575" s="218"/>
      <c r="BA575" s="218"/>
      <c r="BB575" s="218"/>
      <c r="BC575" s="218"/>
      <c r="BD575" s="218"/>
      <c r="BE575" s="218"/>
      <c r="BF575" s="218"/>
      <c r="BG575" s="218"/>
      <c r="BH575" s="218"/>
      <c r="BI575" s="218"/>
      <c r="BJ575" s="224"/>
      <c r="BK575" s="224"/>
    </row>
    <row r="576" spans="1:63" hidden="1" outlineLevel="1">
      <c r="A576" s="9"/>
      <c r="B576" s="44"/>
      <c r="C576" s="271">
        <f>Asset17</f>
        <v>0</v>
      </c>
      <c r="D576" s="9"/>
      <c r="E576" s="9"/>
      <c r="F576" s="28"/>
      <c r="G576" s="207">
        <f>-Input!P23</f>
        <v>0</v>
      </c>
      <c r="H576" s="122"/>
      <c r="I576" s="122"/>
      <c r="J576" s="122"/>
      <c r="K576" s="122"/>
      <c r="L576" s="122"/>
      <c r="M576" s="110"/>
      <c r="N576" s="110"/>
      <c r="O576" s="110"/>
      <c r="P576" s="110"/>
      <c r="Q576" s="110"/>
      <c r="R576" s="110"/>
      <c r="S576" s="110"/>
      <c r="T576" s="110"/>
      <c r="U576" s="110"/>
      <c r="V576" s="110"/>
      <c r="W576" s="110"/>
      <c r="X576" s="110"/>
      <c r="Y576" s="110"/>
      <c r="Z576" s="110"/>
      <c r="AA576" s="218"/>
      <c r="AB576" s="218"/>
      <c r="AC576" s="218"/>
      <c r="AD576" s="218"/>
      <c r="AE576" s="218"/>
      <c r="AF576" s="218"/>
      <c r="AG576" s="218"/>
      <c r="AH576" s="218"/>
      <c r="AI576" s="218"/>
      <c r="AJ576" s="218"/>
      <c r="AK576" s="218"/>
      <c r="AL576" s="218"/>
      <c r="AM576" s="218"/>
      <c r="AN576" s="218"/>
      <c r="AO576" s="218"/>
      <c r="AP576" s="218"/>
      <c r="AQ576" s="218"/>
      <c r="AR576" s="218"/>
      <c r="AS576" s="218"/>
      <c r="AT576" s="218"/>
      <c r="AU576" s="218"/>
      <c r="AV576" s="218"/>
      <c r="AW576" s="218"/>
      <c r="AX576" s="218"/>
      <c r="AY576" s="218"/>
      <c r="AZ576" s="218"/>
      <c r="BA576" s="218"/>
      <c r="BB576" s="218"/>
      <c r="BC576" s="218"/>
      <c r="BD576" s="218"/>
      <c r="BE576" s="218"/>
      <c r="BF576" s="218"/>
      <c r="BG576" s="218"/>
      <c r="BH576" s="218"/>
      <c r="BI576" s="218"/>
      <c r="BJ576" s="224"/>
      <c r="BK576" s="224"/>
    </row>
    <row r="577" spans="1:63" hidden="1" outlineLevel="1">
      <c r="A577" s="9"/>
      <c r="B577" s="44"/>
      <c r="C577" s="271">
        <f>Asset18</f>
        <v>0</v>
      </c>
      <c r="D577" s="9"/>
      <c r="E577" s="9"/>
      <c r="F577" s="28"/>
      <c r="G577" s="207">
        <f>-Input!P24</f>
        <v>0</v>
      </c>
      <c r="H577" s="122"/>
      <c r="I577" s="122"/>
      <c r="J577" s="122"/>
      <c r="K577" s="122"/>
      <c r="L577" s="122"/>
      <c r="M577" s="110"/>
      <c r="N577" s="110"/>
      <c r="O577" s="110"/>
      <c r="P577" s="110"/>
      <c r="Q577" s="110"/>
      <c r="R577" s="110"/>
      <c r="S577" s="110"/>
      <c r="T577" s="110"/>
      <c r="U577" s="110"/>
      <c r="V577" s="110"/>
      <c r="W577" s="110"/>
      <c r="X577" s="110"/>
      <c r="Y577" s="110"/>
      <c r="Z577" s="110"/>
      <c r="AA577" s="218"/>
      <c r="AB577" s="218"/>
      <c r="AC577" s="218"/>
      <c r="AD577" s="218"/>
      <c r="AE577" s="218"/>
      <c r="AF577" s="218"/>
      <c r="AG577" s="218"/>
      <c r="AH577" s="218"/>
      <c r="AI577" s="218"/>
      <c r="AJ577" s="218"/>
      <c r="AK577" s="218"/>
      <c r="AL577" s="218"/>
      <c r="AM577" s="218"/>
      <c r="AN577" s="218"/>
      <c r="AO577" s="218"/>
      <c r="AP577" s="218"/>
      <c r="AQ577" s="218"/>
      <c r="AR577" s="218"/>
      <c r="AS577" s="218"/>
      <c r="AT577" s="218"/>
      <c r="AU577" s="218"/>
      <c r="AV577" s="218"/>
      <c r="AW577" s="218"/>
      <c r="AX577" s="218"/>
      <c r="AY577" s="218"/>
      <c r="AZ577" s="218"/>
      <c r="BA577" s="218"/>
      <c r="BB577" s="218"/>
      <c r="BC577" s="218"/>
      <c r="BD577" s="218"/>
      <c r="BE577" s="218"/>
      <c r="BF577" s="218"/>
      <c r="BG577" s="218"/>
      <c r="BH577" s="218"/>
      <c r="BI577" s="218"/>
      <c r="BJ577" s="224"/>
      <c r="BK577" s="224"/>
    </row>
    <row r="578" spans="1:63" hidden="1" outlineLevel="1">
      <c r="A578" s="9"/>
      <c r="B578" s="44"/>
      <c r="C578" s="271">
        <f>Asset19</f>
        <v>0</v>
      </c>
      <c r="D578" s="9"/>
      <c r="E578" s="9"/>
      <c r="F578" s="28"/>
      <c r="G578" s="207">
        <f>-Input!P25</f>
        <v>0</v>
      </c>
      <c r="H578" s="122"/>
      <c r="I578" s="122"/>
      <c r="J578" s="122"/>
      <c r="K578" s="122"/>
      <c r="L578" s="122"/>
      <c r="M578" s="110"/>
      <c r="N578" s="110"/>
      <c r="O578" s="110"/>
      <c r="P578" s="110"/>
      <c r="Q578" s="110"/>
      <c r="R578" s="110"/>
      <c r="S578" s="110"/>
      <c r="T578" s="110"/>
      <c r="U578" s="110"/>
      <c r="V578" s="110"/>
      <c r="W578" s="110"/>
      <c r="X578" s="110"/>
      <c r="Y578" s="110"/>
      <c r="Z578" s="110"/>
      <c r="AA578" s="218"/>
      <c r="AB578" s="218"/>
      <c r="AC578" s="218"/>
      <c r="AD578" s="218"/>
      <c r="AE578" s="218"/>
      <c r="AF578" s="218"/>
      <c r="AG578" s="218"/>
      <c r="AH578" s="218"/>
      <c r="AI578" s="218"/>
      <c r="AJ578" s="218"/>
      <c r="AK578" s="218"/>
      <c r="AL578" s="218"/>
      <c r="AM578" s="218"/>
      <c r="AN578" s="218"/>
      <c r="AO578" s="218"/>
      <c r="AP578" s="218"/>
      <c r="AQ578" s="218"/>
      <c r="AR578" s="218"/>
      <c r="AS578" s="218"/>
      <c r="AT578" s="218"/>
      <c r="AU578" s="218"/>
      <c r="AV578" s="218"/>
      <c r="AW578" s="218"/>
      <c r="AX578" s="218"/>
      <c r="AY578" s="218"/>
      <c r="AZ578" s="218"/>
      <c r="BA578" s="218"/>
      <c r="BB578" s="218"/>
      <c r="BC578" s="218"/>
      <c r="BD578" s="218"/>
      <c r="BE578" s="218"/>
      <c r="BF578" s="218"/>
      <c r="BG578" s="218"/>
      <c r="BH578" s="218"/>
      <c r="BI578" s="218"/>
      <c r="BJ578" s="224"/>
      <c r="BK578" s="224"/>
    </row>
    <row r="579" spans="1:63" hidden="1" outlineLevel="1">
      <c r="A579" s="9"/>
      <c r="B579" s="44"/>
      <c r="C579" s="271">
        <f>Asset20</f>
        <v>0</v>
      </c>
      <c r="D579" s="9"/>
      <c r="E579" s="9"/>
      <c r="F579" s="28"/>
      <c r="G579" s="207">
        <f>-Input!P26</f>
        <v>0</v>
      </c>
      <c r="H579" s="122"/>
      <c r="I579" s="122"/>
      <c r="J579" s="122"/>
      <c r="K579" s="122"/>
      <c r="L579" s="122"/>
      <c r="M579" s="110"/>
      <c r="N579" s="110"/>
      <c r="O579" s="110"/>
      <c r="P579" s="110"/>
      <c r="Q579" s="110"/>
      <c r="R579" s="110"/>
      <c r="S579" s="110"/>
      <c r="T579" s="110"/>
      <c r="U579" s="110"/>
      <c r="V579" s="110"/>
      <c r="W579" s="110"/>
      <c r="X579" s="110"/>
      <c r="Y579" s="110"/>
      <c r="Z579" s="110"/>
      <c r="AA579" s="218"/>
      <c r="AB579" s="218"/>
      <c r="AC579" s="218"/>
      <c r="AD579" s="218"/>
      <c r="AE579" s="218"/>
      <c r="AF579" s="218"/>
      <c r="AG579" s="218"/>
      <c r="AH579" s="218"/>
      <c r="AI579" s="218"/>
      <c r="AJ579" s="218"/>
      <c r="AK579" s="218"/>
      <c r="AL579" s="218"/>
      <c r="AM579" s="218"/>
      <c r="AN579" s="218"/>
      <c r="AO579" s="218"/>
      <c r="AP579" s="218"/>
      <c r="AQ579" s="218"/>
      <c r="AR579" s="218"/>
      <c r="AS579" s="218"/>
      <c r="AT579" s="218"/>
      <c r="AU579" s="218"/>
      <c r="AV579" s="218"/>
      <c r="AW579" s="218"/>
      <c r="AX579" s="218"/>
      <c r="AY579" s="218"/>
      <c r="AZ579" s="218"/>
      <c r="BA579" s="218"/>
      <c r="BB579" s="218"/>
      <c r="BC579" s="218"/>
      <c r="BD579" s="218"/>
      <c r="BE579" s="218"/>
      <c r="BF579" s="218"/>
      <c r="BG579" s="218"/>
      <c r="BH579" s="218"/>
      <c r="BI579" s="218"/>
      <c r="BJ579" s="224"/>
      <c r="BK579" s="224"/>
    </row>
    <row r="580" spans="1:63" hidden="1" outlineLevel="1">
      <c r="A580" s="9"/>
      <c r="B580" s="44"/>
      <c r="C580" s="271">
        <f>Asset21</f>
        <v>0</v>
      </c>
      <c r="D580" s="9"/>
      <c r="E580" s="9"/>
      <c r="F580" s="28"/>
      <c r="G580" s="207">
        <f>-Input!P27</f>
        <v>0</v>
      </c>
      <c r="H580" s="122"/>
      <c r="I580" s="122"/>
      <c r="J580" s="122"/>
      <c r="K580" s="122"/>
      <c r="L580" s="122"/>
      <c r="M580" s="110"/>
      <c r="N580" s="110"/>
      <c r="O580" s="110"/>
      <c r="P580" s="110"/>
      <c r="Q580" s="110"/>
      <c r="R580" s="110"/>
      <c r="S580" s="110"/>
      <c r="T580" s="110"/>
      <c r="U580" s="110"/>
      <c r="V580" s="110"/>
      <c r="W580" s="110"/>
      <c r="X580" s="110"/>
      <c r="Y580" s="110"/>
      <c r="Z580" s="110"/>
      <c r="AA580" s="218"/>
      <c r="AB580" s="218"/>
      <c r="AC580" s="218"/>
      <c r="AD580" s="218"/>
      <c r="AE580" s="218"/>
      <c r="AF580" s="218"/>
      <c r="AG580" s="218"/>
      <c r="AH580" s="218"/>
      <c r="AI580" s="218"/>
      <c r="AJ580" s="218"/>
      <c r="AK580" s="218"/>
      <c r="AL580" s="218"/>
      <c r="AM580" s="218"/>
      <c r="AN580" s="218"/>
      <c r="AO580" s="218"/>
      <c r="AP580" s="218"/>
      <c r="AQ580" s="218"/>
      <c r="AR580" s="218"/>
      <c r="AS580" s="218"/>
      <c r="AT580" s="218"/>
      <c r="AU580" s="218"/>
      <c r="AV580" s="218"/>
      <c r="AW580" s="218"/>
      <c r="AX580" s="218"/>
      <c r="AY580" s="218"/>
      <c r="AZ580" s="218"/>
      <c r="BA580" s="218"/>
      <c r="BB580" s="218"/>
      <c r="BC580" s="218"/>
      <c r="BD580" s="218"/>
      <c r="BE580" s="218"/>
      <c r="BF580" s="218"/>
      <c r="BG580" s="218"/>
      <c r="BH580" s="218"/>
      <c r="BI580" s="218"/>
      <c r="BJ580" s="224"/>
      <c r="BK580" s="224"/>
    </row>
    <row r="581" spans="1:63" hidden="1" outlineLevel="1">
      <c r="A581" s="9"/>
      <c r="B581" s="44"/>
      <c r="C581" s="271">
        <f>Asset22</f>
        <v>0</v>
      </c>
      <c r="D581" s="9"/>
      <c r="E581" s="9"/>
      <c r="F581" s="28"/>
      <c r="G581" s="207">
        <f>-Input!P28</f>
        <v>0</v>
      </c>
      <c r="H581" s="122"/>
      <c r="I581" s="122"/>
      <c r="J581" s="122"/>
      <c r="K581" s="122"/>
      <c r="L581" s="122"/>
      <c r="M581" s="110"/>
      <c r="N581" s="110"/>
      <c r="O581" s="110"/>
      <c r="P581" s="110"/>
      <c r="Q581" s="110"/>
      <c r="R581" s="110"/>
      <c r="S581" s="110"/>
      <c r="T581" s="110"/>
      <c r="U581" s="110"/>
      <c r="V581" s="110"/>
      <c r="W581" s="110"/>
      <c r="X581" s="110"/>
      <c r="Y581" s="110"/>
      <c r="Z581" s="110"/>
      <c r="AA581" s="218"/>
      <c r="AB581" s="218"/>
      <c r="AC581" s="218"/>
      <c r="AD581" s="218"/>
      <c r="AE581" s="218"/>
      <c r="AF581" s="218"/>
      <c r="AG581" s="218"/>
      <c r="AH581" s="218"/>
      <c r="AI581" s="218"/>
      <c r="AJ581" s="218"/>
      <c r="AK581" s="218"/>
      <c r="AL581" s="218"/>
      <c r="AM581" s="218"/>
      <c r="AN581" s="218"/>
      <c r="AO581" s="218"/>
      <c r="AP581" s="218"/>
      <c r="AQ581" s="218"/>
      <c r="AR581" s="218"/>
      <c r="AS581" s="218"/>
      <c r="AT581" s="218"/>
      <c r="AU581" s="218"/>
      <c r="AV581" s="218"/>
      <c r="AW581" s="218"/>
      <c r="AX581" s="218"/>
      <c r="AY581" s="218"/>
      <c r="AZ581" s="218"/>
      <c r="BA581" s="218"/>
      <c r="BB581" s="218"/>
      <c r="BC581" s="218"/>
      <c r="BD581" s="218"/>
      <c r="BE581" s="218"/>
      <c r="BF581" s="218"/>
      <c r="BG581" s="218"/>
      <c r="BH581" s="218"/>
      <c r="BI581" s="218"/>
      <c r="BJ581" s="224"/>
      <c r="BK581" s="224"/>
    </row>
    <row r="582" spans="1:63" hidden="1" outlineLevel="1">
      <c r="A582" s="9"/>
      <c r="B582" s="44"/>
      <c r="C582" s="271">
        <f>Asset23</f>
        <v>0</v>
      </c>
      <c r="D582" s="9"/>
      <c r="E582" s="9"/>
      <c r="F582" s="28"/>
      <c r="G582" s="207">
        <f>-Input!P29</f>
        <v>0</v>
      </c>
      <c r="H582" s="122"/>
      <c r="I582" s="122"/>
      <c r="J582" s="122"/>
      <c r="K582" s="122"/>
      <c r="L582" s="122"/>
      <c r="M582" s="110"/>
      <c r="N582" s="110"/>
      <c r="O582" s="110"/>
      <c r="P582" s="110"/>
      <c r="Q582" s="110"/>
      <c r="R582" s="110"/>
      <c r="S582" s="110"/>
      <c r="T582" s="110"/>
      <c r="U582" s="110"/>
      <c r="V582" s="110"/>
      <c r="W582" s="110"/>
      <c r="X582" s="110"/>
      <c r="Y582" s="110"/>
      <c r="Z582" s="110"/>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218"/>
      <c r="BE582" s="218"/>
      <c r="BF582" s="218"/>
      <c r="BG582" s="218"/>
      <c r="BH582" s="218"/>
      <c r="BI582" s="218"/>
      <c r="BJ582" s="224"/>
      <c r="BK582" s="224"/>
    </row>
    <row r="583" spans="1:63" hidden="1" outlineLevel="1">
      <c r="A583" s="9"/>
      <c r="B583" s="44"/>
      <c r="C583" s="271">
        <f>Asset24</f>
        <v>0</v>
      </c>
      <c r="D583" s="9"/>
      <c r="E583" s="9"/>
      <c r="F583" s="28"/>
      <c r="G583" s="207">
        <f>-Input!P30</f>
        <v>0</v>
      </c>
      <c r="H583" s="122"/>
      <c r="I583" s="122"/>
      <c r="J583" s="122"/>
      <c r="K583" s="122"/>
      <c r="L583" s="122"/>
      <c r="M583" s="110"/>
      <c r="N583" s="110"/>
      <c r="O583" s="110"/>
      <c r="P583" s="110"/>
      <c r="Q583" s="110"/>
      <c r="R583" s="110"/>
      <c r="S583" s="110"/>
      <c r="T583" s="110"/>
      <c r="U583" s="110"/>
      <c r="V583" s="110"/>
      <c r="W583" s="110"/>
      <c r="X583" s="110"/>
      <c r="Y583" s="110"/>
      <c r="Z583" s="110"/>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218"/>
      <c r="BE583" s="218"/>
      <c r="BF583" s="218"/>
      <c r="BG583" s="218"/>
      <c r="BH583" s="218"/>
      <c r="BI583" s="218"/>
      <c r="BJ583" s="224"/>
      <c r="BK583" s="224"/>
    </row>
    <row r="584" spans="1:63" hidden="1" outlineLevel="1">
      <c r="A584" s="9"/>
      <c r="B584" s="44"/>
      <c r="C584" s="271">
        <f>Asset25</f>
        <v>0</v>
      </c>
      <c r="D584" s="9"/>
      <c r="E584" s="9"/>
      <c r="F584" s="28"/>
      <c r="G584" s="207">
        <f>-Input!P31</f>
        <v>0</v>
      </c>
      <c r="H584" s="122"/>
      <c r="I584" s="122"/>
      <c r="J584" s="122"/>
      <c r="K584" s="122"/>
      <c r="L584" s="122"/>
      <c r="M584" s="110"/>
      <c r="N584" s="110"/>
      <c r="O584" s="110"/>
      <c r="P584" s="110"/>
      <c r="Q584" s="110"/>
      <c r="R584" s="110"/>
      <c r="S584" s="110"/>
      <c r="T584" s="110"/>
      <c r="U584" s="110"/>
      <c r="V584" s="110"/>
      <c r="W584" s="110"/>
      <c r="X584" s="110"/>
      <c r="Y584" s="110"/>
      <c r="Z584" s="110"/>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218"/>
      <c r="BJ584" s="224"/>
      <c r="BK584" s="224"/>
    </row>
    <row r="585" spans="1:63" hidden="1" outlineLevel="1">
      <c r="A585" s="9"/>
      <c r="B585" s="44"/>
      <c r="C585" s="271">
        <f>Asset26</f>
        <v>0</v>
      </c>
      <c r="D585" s="9"/>
      <c r="E585" s="9"/>
      <c r="F585" s="28"/>
      <c r="G585" s="207">
        <f>-Input!P32</f>
        <v>0</v>
      </c>
      <c r="H585" s="122"/>
      <c r="I585" s="122"/>
      <c r="J585" s="122"/>
      <c r="K585" s="122"/>
      <c r="L585" s="122"/>
      <c r="M585" s="110"/>
      <c r="N585" s="110"/>
      <c r="O585" s="110"/>
      <c r="P585" s="110"/>
      <c r="Q585" s="110"/>
      <c r="R585" s="110"/>
      <c r="S585" s="110"/>
      <c r="T585" s="110"/>
      <c r="U585" s="110"/>
      <c r="V585" s="110"/>
      <c r="W585" s="110"/>
      <c r="X585" s="110"/>
      <c r="Y585" s="110"/>
      <c r="Z585" s="110"/>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218"/>
      <c r="AW585" s="218"/>
      <c r="AX585" s="218"/>
      <c r="AY585" s="218"/>
      <c r="AZ585" s="218"/>
      <c r="BA585" s="218"/>
      <c r="BB585" s="218"/>
      <c r="BC585" s="218"/>
      <c r="BD585" s="218"/>
      <c r="BE585" s="218"/>
      <c r="BF585" s="218"/>
      <c r="BG585" s="218"/>
      <c r="BH585" s="218"/>
      <c r="BI585" s="218"/>
      <c r="BJ585" s="224"/>
      <c r="BK585" s="224"/>
    </row>
    <row r="586" spans="1:63" hidden="1" outlineLevel="1">
      <c r="A586" s="9"/>
      <c r="B586" s="44"/>
      <c r="C586" s="271">
        <f>Asset27</f>
        <v>0</v>
      </c>
      <c r="D586" s="9"/>
      <c r="E586" s="9"/>
      <c r="F586" s="28"/>
      <c r="G586" s="207">
        <f>-Input!P33</f>
        <v>0</v>
      </c>
      <c r="H586" s="122"/>
      <c r="I586" s="122"/>
      <c r="J586" s="122"/>
      <c r="K586" s="122"/>
      <c r="L586" s="122"/>
      <c r="M586" s="110"/>
      <c r="N586" s="110"/>
      <c r="O586" s="110"/>
      <c r="P586" s="110"/>
      <c r="Q586" s="110"/>
      <c r="R586" s="110"/>
      <c r="S586" s="110"/>
      <c r="T586" s="110"/>
      <c r="U586" s="110"/>
      <c r="V586" s="110"/>
      <c r="W586" s="110"/>
      <c r="X586" s="110"/>
      <c r="Y586" s="110"/>
      <c r="Z586" s="110"/>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218"/>
      <c r="AW586" s="218"/>
      <c r="AX586" s="218"/>
      <c r="AY586" s="218"/>
      <c r="AZ586" s="218"/>
      <c r="BA586" s="218"/>
      <c r="BB586" s="218"/>
      <c r="BC586" s="218"/>
      <c r="BD586" s="218"/>
      <c r="BE586" s="218"/>
      <c r="BF586" s="218"/>
      <c r="BG586" s="218"/>
      <c r="BH586" s="218"/>
      <c r="BI586" s="218"/>
      <c r="BJ586" s="224"/>
      <c r="BK586" s="224"/>
    </row>
    <row r="587" spans="1:63" hidden="1" outlineLevel="1">
      <c r="A587" s="9"/>
      <c r="B587" s="44"/>
      <c r="C587" s="271">
        <f>Asset28</f>
        <v>0</v>
      </c>
      <c r="D587" s="9"/>
      <c r="E587" s="9"/>
      <c r="F587" s="28"/>
      <c r="G587" s="207">
        <f>-Input!P34</f>
        <v>0</v>
      </c>
      <c r="H587" s="122"/>
      <c r="I587" s="122"/>
      <c r="J587" s="122"/>
      <c r="K587" s="122"/>
      <c r="L587" s="122"/>
      <c r="M587" s="110"/>
      <c r="N587" s="110"/>
      <c r="O587" s="110"/>
      <c r="P587" s="110"/>
      <c r="Q587" s="110"/>
      <c r="R587" s="110"/>
      <c r="S587" s="110"/>
      <c r="T587" s="110"/>
      <c r="U587" s="110"/>
      <c r="V587" s="110"/>
      <c r="W587" s="110"/>
      <c r="X587" s="110"/>
      <c r="Y587" s="110"/>
      <c r="Z587" s="110"/>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218"/>
      <c r="AW587" s="218"/>
      <c r="AX587" s="218"/>
      <c r="AY587" s="218"/>
      <c r="AZ587" s="218"/>
      <c r="BA587" s="218"/>
      <c r="BB587" s="218"/>
      <c r="BC587" s="218"/>
      <c r="BD587" s="218"/>
      <c r="BE587" s="218"/>
      <c r="BF587" s="218"/>
      <c r="BG587" s="218"/>
      <c r="BH587" s="218"/>
      <c r="BI587" s="218"/>
      <c r="BJ587" s="224"/>
      <c r="BK587" s="224"/>
    </row>
    <row r="588" spans="1:63" hidden="1" outlineLevel="1">
      <c r="A588" s="9"/>
      <c r="B588" s="44"/>
      <c r="C588" s="271">
        <f>Asset29</f>
        <v>0</v>
      </c>
      <c r="D588" s="9"/>
      <c r="E588" s="9"/>
      <c r="F588" s="28"/>
      <c r="G588" s="207">
        <f>-Input!P35</f>
        <v>0</v>
      </c>
      <c r="H588" s="122"/>
      <c r="I588" s="122"/>
      <c r="J588" s="122"/>
      <c r="K588" s="122"/>
      <c r="L588" s="122"/>
      <c r="M588" s="110"/>
      <c r="N588" s="110"/>
      <c r="O588" s="110"/>
      <c r="P588" s="110"/>
      <c r="Q588" s="110"/>
      <c r="R588" s="110"/>
      <c r="S588" s="110"/>
      <c r="T588" s="110"/>
      <c r="U588" s="110"/>
      <c r="V588" s="110"/>
      <c r="W588" s="110"/>
      <c r="X588" s="110"/>
      <c r="Y588" s="110"/>
      <c r="Z588" s="110"/>
      <c r="AA588" s="218"/>
      <c r="AB588" s="218"/>
      <c r="AC588" s="218"/>
      <c r="AD588" s="218"/>
      <c r="AE588" s="218"/>
      <c r="AF588" s="218"/>
      <c r="AG588" s="218"/>
      <c r="AH588" s="218"/>
      <c r="AI588" s="218"/>
      <c r="AJ588" s="218"/>
      <c r="AK588" s="218"/>
      <c r="AL588" s="218"/>
      <c r="AM588" s="218"/>
      <c r="AN588" s="218"/>
      <c r="AO588" s="218"/>
      <c r="AP588" s="218"/>
      <c r="AQ588" s="218"/>
      <c r="AR588" s="218"/>
      <c r="AS588" s="218"/>
      <c r="AT588" s="218"/>
      <c r="AU588" s="218"/>
      <c r="AV588" s="218"/>
      <c r="AW588" s="218"/>
      <c r="AX588" s="218"/>
      <c r="AY588" s="218"/>
      <c r="AZ588" s="218"/>
      <c r="BA588" s="218"/>
      <c r="BB588" s="218"/>
      <c r="BC588" s="218"/>
      <c r="BD588" s="218"/>
      <c r="BE588" s="218"/>
      <c r="BF588" s="218"/>
      <c r="BG588" s="218"/>
      <c r="BH588" s="218"/>
      <c r="BI588" s="218"/>
      <c r="BJ588" s="224"/>
      <c r="BK588" s="224"/>
    </row>
    <row r="589" spans="1:63" hidden="1" outlineLevel="1">
      <c r="A589" s="9"/>
      <c r="B589" s="44"/>
      <c r="C589" s="271">
        <f>Asset30</f>
        <v>0</v>
      </c>
      <c r="D589" s="9"/>
      <c r="E589" s="9"/>
      <c r="F589" s="28"/>
      <c r="G589" s="207">
        <f>-Input!P36</f>
        <v>0</v>
      </c>
      <c r="H589" s="122"/>
      <c r="I589" s="122"/>
      <c r="J589" s="122"/>
      <c r="K589" s="122"/>
      <c r="L589" s="122"/>
      <c r="M589" s="110"/>
      <c r="N589" s="110"/>
      <c r="O589" s="110"/>
      <c r="P589" s="110"/>
      <c r="Q589" s="110"/>
      <c r="R589" s="110"/>
      <c r="S589" s="110"/>
      <c r="T589" s="110"/>
      <c r="U589" s="110"/>
      <c r="V589" s="110"/>
      <c r="W589" s="110"/>
      <c r="X589" s="110"/>
      <c r="Y589" s="110"/>
      <c r="Z589" s="110"/>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8"/>
      <c r="AY589" s="218"/>
      <c r="AZ589" s="218"/>
      <c r="BA589" s="218"/>
      <c r="BB589" s="218"/>
      <c r="BC589" s="218"/>
      <c r="BD589" s="218"/>
      <c r="BE589" s="218"/>
      <c r="BF589" s="218"/>
      <c r="BG589" s="218"/>
      <c r="BH589" s="218"/>
      <c r="BI589" s="218"/>
      <c r="BJ589" s="224"/>
      <c r="BK589" s="224"/>
    </row>
    <row r="590" spans="1:63" collapsed="1">
      <c r="A590" s="9"/>
      <c r="B590" s="44"/>
      <c r="C590" s="131"/>
      <c r="D590" s="9"/>
      <c r="E590" s="9"/>
      <c r="F590" s="28"/>
      <c r="G590" s="208"/>
      <c r="H590" s="122"/>
      <c r="I590" s="122"/>
      <c r="J590" s="122"/>
      <c r="K590" s="122"/>
      <c r="L590" s="122"/>
      <c r="M590" s="110"/>
      <c r="N590" s="110"/>
      <c r="O590" s="110"/>
      <c r="P590" s="110"/>
      <c r="Q590" s="110"/>
      <c r="R590" s="110"/>
      <c r="S590" s="110"/>
      <c r="T590" s="110"/>
      <c r="U590" s="110"/>
      <c r="V590" s="110"/>
      <c r="W590" s="110"/>
      <c r="X590" s="110"/>
      <c r="Y590" s="110"/>
      <c r="Z590" s="110"/>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218"/>
      <c r="BJ590" s="224"/>
      <c r="BK590" s="224"/>
    </row>
    <row r="591" spans="1:63">
      <c r="A591" s="9"/>
      <c r="B591" s="44" t="s">
        <v>26</v>
      </c>
      <c r="C591" s="131"/>
      <c r="D591" s="9"/>
      <c r="E591" s="9"/>
      <c r="F591" s="143"/>
      <c r="G591" s="206">
        <f>SUM(G592:G621)</f>
        <v>27.807906237003301</v>
      </c>
      <c r="H591" s="502"/>
      <c r="I591" s="122"/>
      <c r="J591" s="122"/>
      <c r="K591" s="122"/>
      <c r="L591" s="122"/>
      <c r="M591" s="110"/>
      <c r="N591" s="110"/>
      <c r="O591" s="110"/>
      <c r="P591" s="110"/>
      <c r="Q591" s="110"/>
      <c r="R591" s="110"/>
      <c r="S591" s="110"/>
      <c r="T591" s="110"/>
      <c r="U591" s="110"/>
      <c r="V591" s="110"/>
      <c r="W591" s="110"/>
      <c r="X591" s="110"/>
      <c r="Y591" s="110"/>
      <c r="Z591" s="110"/>
      <c r="AA591" s="218"/>
      <c r="AB591" s="218"/>
      <c r="AC591" s="218"/>
      <c r="AD591" s="218"/>
      <c r="AE591" s="218"/>
      <c r="AF591" s="218"/>
      <c r="AG591" s="218"/>
      <c r="AH591" s="218"/>
      <c r="AI591" s="218"/>
      <c r="AJ591" s="218"/>
      <c r="AK591" s="218"/>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218"/>
      <c r="BJ591" s="224"/>
      <c r="BK591" s="224"/>
    </row>
    <row r="592" spans="1:63" hidden="1" outlineLevel="1">
      <c r="A592" s="9"/>
      <c r="B592" s="9"/>
      <c r="C592" s="271" t="str">
        <f>Asset1</f>
        <v>Subtransmission</v>
      </c>
      <c r="D592" s="9"/>
      <c r="E592" s="9"/>
      <c r="F592" s="143"/>
      <c r="G592" s="204">
        <f>Input!Q7</f>
        <v>-25.319625562178441</v>
      </c>
      <c r="H592" s="122"/>
      <c r="I592" s="122"/>
      <c r="J592" s="122"/>
      <c r="K592" s="122"/>
      <c r="L592" s="122"/>
      <c r="M592" s="110"/>
      <c r="N592" s="110"/>
      <c r="O592" s="110"/>
      <c r="P592" s="110"/>
      <c r="Q592" s="110"/>
      <c r="R592" s="110"/>
      <c r="S592" s="110"/>
      <c r="T592" s="110"/>
      <c r="U592" s="110"/>
      <c r="V592" s="110"/>
      <c r="W592" s="110"/>
      <c r="X592" s="110"/>
      <c r="Y592" s="110"/>
      <c r="Z592" s="110"/>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218"/>
      <c r="AW592" s="218"/>
      <c r="AX592" s="218"/>
      <c r="AY592" s="218"/>
      <c r="AZ592" s="218"/>
      <c r="BA592" s="218"/>
      <c r="BB592" s="218"/>
      <c r="BC592" s="218"/>
      <c r="BD592" s="218"/>
      <c r="BE592" s="218"/>
      <c r="BF592" s="218"/>
      <c r="BG592" s="218"/>
      <c r="BH592" s="218"/>
      <c r="BI592" s="218"/>
      <c r="BJ592" s="224"/>
      <c r="BK592" s="224"/>
    </row>
    <row r="593" spans="1:63" hidden="1" outlineLevel="1">
      <c r="A593" s="9"/>
      <c r="B593" s="44"/>
      <c r="C593" s="271" t="str">
        <f>Asset2</f>
        <v>Distribution system assets</v>
      </c>
      <c r="D593" s="9"/>
      <c r="E593" s="9"/>
      <c r="F593" s="143"/>
      <c r="G593" s="204">
        <f>Input!Q8</f>
        <v>32.156560835536396</v>
      </c>
      <c r="H593" s="122"/>
      <c r="I593" s="122"/>
      <c r="J593" s="122"/>
      <c r="K593" s="122"/>
      <c r="L593" s="122"/>
      <c r="M593" s="110"/>
      <c r="N593" s="110"/>
      <c r="O593" s="110"/>
      <c r="P593" s="110"/>
      <c r="Q593" s="110"/>
      <c r="R593" s="110"/>
      <c r="S593" s="110"/>
      <c r="T593" s="110"/>
      <c r="U593" s="110"/>
      <c r="V593" s="110"/>
      <c r="W593" s="110"/>
      <c r="X593" s="110"/>
      <c r="Y593" s="110"/>
      <c r="Z593" s="110"/>
      <c r="AA593" s="218"/>
      <c r="AB593" s="218"/>
      <c r="AC593" s="218"/>
      <c r="AD593" s="218"/>
      <c r="AE593" s="218"/>
      <c r="AF593" s="218"/>
      <c r="AG593" s="218"/>
      <c r="AH593" s="218"/>
      <c r="AI593" s="218"/>
      <c r="AJ593" s="218"/>
      <c r="AK593" s="218"/>
      <c r="AL593" s="218"/>
      <c r="AM593" s="218"/>
      <c r="AN593" s="218"/>
      <c r="AO593" s="218"/>
      <c r="AP593" s="218"/>
      <c r="AQ593" s="218"/>
      <c r="AR593" s="218"/>
      <c r="AS593" s="218"/>
      <c r="AT593" s="218"/>
      <c r="AU593" s="218"/>
      <c r="AV593" s="218"/>
      <c r="AW593" s="218"/>
      <c r="AX593" s="218"/>
      <c r="AY593" s="218"/>
      <c r="AZ593" s="218"/>
      <c r="BA593" s="218"/>
      <c r="BB593" s="218"/>
      <c r="BC593" s="218"/>
      <c r="BD593" s="218"/>
      <c r="BE593" s="218"/>
      <c r="BF593" s="218"/>
      <c r="BG593" s="218"/>
      <c r="BH593" s="218"/>
      <c r="BI593" s="218"/>
      <c r="BJ593" s="224"/>
      <c r="BK593" s="224"/>
    </row>
    <row r="594" spans="1:63" hidden="1" outlineLevel="1">
      <c r="A594" s="9"/>
      <c r="B594" s="44"/>
      <c r="C594" s="271" t="str">
        <f>Asset3</f>
        <v>Standard metering</v>
      </c>
      <c r="D594" s="9"/>
      <c r="E594" s="9"/>
      <c r="F594" s="143"/>
      <c r="G594" s="204">
        <f>Input!Q9</f>
        <v>9.7325555754664421</v>
      </c>
      <c r="H594" s="122"/>
      <c r="I594" s="122"/>
      <c r="J594" s="122"/>
      <c r="K594" s="122"/>
      <c r="L594" s="122"/>
      <c r="M594" s="110"/>
      <c r="N594" s="110"/>
      <c r="O594" s="110"/>
      <c r="P594" s="110"/>
      <c r="Q594" s="110"/>
      <c r="R594" s="110"/>
      <c r="S594" s="110"/>
      <c r="T594" s="110"/>
      <c r="U594" s="110"/>
      <c r="V594" s="110"/>
      <c r="W594" s="110"/>
      <c r="X594" s="110"/>
      <c r="Y594" s="110"/>
      <c r="Z594" s="110"/>
      <c r="AA594" s="218"/>
      <c r="AB594" s="218"/>
      <c r="AC594" s="218"/>
      <c r="AD594" s="218"/>
      <c r="AE594" s="218"/>
      <c r="AF594" s="218"/>
      <c r="AG594" s="218"/>
      <c r="AH594" s="218"/>
      <c r="AI594" s="218"/>
      <c r="AJ594" s="218"/>
      <c r="AK594" s="218"/>
      <c r="AL594" s="218"/>
      <c r="AM594" s="218"/>
      <c r="AN594" s="218"/>
      <c r="AO594" s="218"/>
      <c r="AP594" s="218"/>
      <c r="AQ594" s="218"/>
      <c r="AR594" s="218"/>
      <c r="AS594" s="218"/>
      <c r="AT594" s="218"/>
      <c r="AU594" s="218"/>
      <c r="AV594" s="218"/>
      <c r="AW594" s="218"/>
      <c r="AX594" s="218"/>
      <c r="AY594" s="218"/>
      <c r="AZ594" s="218"/>
      <c r="BA594" s="218"/>
      <c r="BB594" s="218"/>
      <c r="BC594" s="218"/>
      <c r="BD594" s="218"/>
      <c r="BE594" s="218"/>
      <c r="BF594" s="218"/>
      <c r="BG594" s="218"/>
      <c r="BH594" s="218"/>
      <c r="BI594" s="218"/>
      <c r="BJ594" s="224"/>
      <c r="BK594" s="224"/>
    </row>
    <row r="595" spans="1:63" hidden="1" outlineLevel="1">
      <c r="A595" s="9"/>
      <c r="B595" s="44"/>
      <c r="C595" s="271" t="str">
        <f>Asset4</f>
        <v>Public lighting</v>
      </c>
      <c r="D595" s="9"/>
      <c r="E595" s="9"/>
      <c r="F595" s="143"/>
      <c r="G595" s="204">
        <f>Input!Q10</f>
        <v>0</v>
      </c>
      <c r="H595" s="122"/>
      <c r="I595" s="122"/>
      <c r="J595" s="122"/>
      <c r="K595" s="122"/>
      <c r="L595" s="122"/>
      <c r="M595" s="110"/>
      <c r="N595" s="110"/>
      <c r="O595" s="110"/>
      <c r="P595" s="110"/>
      <c r="Q595" s="110"/>
      <c r="R595" s="110"/>
      <c r="S595" s="110"/>
      <c r="T595" s="110"/>
      <c r="U595" s="110"/>
      <c r="V595" s="110"/>
      <c r="W595" s="110"/>
      <c r="X595" s="110"/>
      <c r="Y595" s="110"/>
      <c r="Z595" s="110"/>
      <c r="AA595" s="218"/>
      <c r="AB595" s="218"/>
      <c r="AC595" s="218"/>
      <c r="AD595" s="218"/>
      <c r="AE595" s="218"/>
      <c r="AF595" s="218"/>
      <c r="AG595" s="218"/>
      <c r="AH595" s="218"/>
      <c r="AI595" s="218"/>
      <c r="AJ595" s="218"/>
      <c r="AK595" s="218"/>
      <c r="AL595" s="218"/>
      <c r="AM595" s="218"/>
      <c r="AN595" s="218"/>
      <c r="AO595" s="218"/>
      <c r="AP595" s="218"/>
      <c r="AQ595" s="218"/>
      <c r="AR595" s="218"/>
      <c r="AS595" s="218"/>
      <c r="AT595" s="218"/>
      <c r="AU595" s="218"/>
      <c r="AV595" s="218"/>
      <c r="AW595" s="218"/>
      <c r="AX595" s="218"/>
      <c r="AY595" s="218"/>
      <c r="AZ595" s="218"/>
      <c r="BA595" s="218"/>
      <c r="BB595" s="218"/>
      <c r="BC595" s="218"/>
      <c r="BD595" s="218"/>
      <c r="BE595" s="218"/>
      <c r="BF595" s="218"/>
      <c r="BG595" s="218"/>
      <c r="BH595" s="218"/>
      <c r="BI595" s="218"/>
      <c r="BJ595" s="224"/>
      <c r="BK595" s="224"/>
    </row>
    <row r="596" spans="1:63" hidden="1" outlineLevel="1">
      <c r="A596" s="9"/>
      <c r="B596" s="44"/>
      <c r="C596" s="271" t="str">
        <f>Asset5</f>
        <v>SCADA/Network control</v>
      </c>
      <c r="D596" s="9"/>
      <c r="E596" s="9"/>
      <c r="F596" s="143"/>
      <c r="G596" s="204">
        <f>Input!Q11</f>
        <v>2.4654834392613107</v>
      </c>
      <c r="H596" s="122"/>
      <c r="I596" s="122"/>
      <c r="J596" s="122"/>
      <c r="K596" s="122"/>
      <c r="L596" s="122"/>
      <c r="M596" s="110"/>
      <c r="N596" s="110"/>
      <c r="O596" s="110"/>
      <c r="P596" s="110"/>
      <c r="Q596" s="110"/>
      <c r="R596" s="110"/>
      <c r="S596" s="110"/>
      <c r="T596" s="110"/>
      <c r="U596" s="110"/>
      <c r="V596" s="110"/>
      <c r="W596" s="110"/>
      <c r="X596" s="110"/>
      <c r="Y596" s="110"/>
      <c r="Z596" s="110"/>
      <c r="AA596" s="218"/>
      <c r="AB596" s="218"/>
      <c r="AC596" s="218"/>
      <c r="AD596" s="218"/>
      <c r="AE596" s="218"/>
      <c r="AF596" s="218"/>
      <c r="AG596" s="218"/>
      <c r="AH596" s="218"/>
      <c r="AI596" s="218"/>
      <c r="AJ596" s="218"/>
      <c r="AK596" s="218"/>
      <c r="AL596" s="218"/>
      <c r="AM596" s="218"/>
      <c r="AN596" s="218"/>
      <c r="AO596" s="218"/>
      <c r="AP596" s="218"/>
      <c r="AQ596" s="218"/>
      <c r="AR596" s="218"/>
      <c r="AS596" s="218"/>
      <c r="AT596" s="218"/>
      <c r="AU596" s="218"/>
      <c r="AV596" s="218"/>
      <c r="AW596" s="218"/>
      <c r="AX596" s="218"/>
      <c r="AY596" s="218"/>
      <c r="AZ596" s="218"/>
      <c r="BA596" s="218"/>
      <c r="BB596" s="218"/>
      <c r="BC596" s="218"/>
      <c r="BD596" s="218"/>
      <c r="BE596" s="218"/>
      <c r="BF596" s="218"/>
      <c r="BG596" s="218"/>
      <c r="BH596" s="218"/>
      <c r="BI596" s="218"/>
      <c r="BJ596" s="224"/>
      <c r="BK596" s="224"/>
    </row>
    <row r="597" spans="1:63" hidden="1" outlineLevel="1">
      <c r="A597" s="9"/>
      <c r="B597" s="44"/>
      <c r="C597" s="271" t="str">
        <f>Asset6</f>
        <v>Non-network general assets - IT</v>
      </c>
      <c r="D597" s="9"/>
      <c r="E597" s="9"/>
      <c r="F597" s="143"/>
      <c r="G597" s="204">
        <f>Input!Q12</f>
        <v>5.9967896688978106</v>
      </c>
      <c r="H597" s="122"/>
      <c r="I597" s="122"/>
      <c r="J597" s="122"/>
      <c r="K597" s="122"/>
      <c r="L597" s="122"/>
      <c r="M597" s="110"/>
      <c r="N597" s="110"/>
      <c r="O597" s="110"/>
      <c r="P597" s="110"/>
      <c r="Q597" s="110"/>
      <c r="R597" s="110"/>
      <c r="S597" s="110"/>
      <c r="T597" s="110"/>
      <c r="U597" s="110"/>
      <c r="V597" s="110"/>
      <c r="W597" s="110"/>
      <c r="X597" s="110"/>
      <c r="Y597" s="110"/>
      <c r="Z597" s="110"/>
      <c r="AA597" s="218"/>
      <c r="AB597" s="218"/>
      <c r="AC597" s="218"/>
      <c r="AD597" s="218"/>
      <c r="AE597" s="218"/>
      <c r="AF597" s="218"/>
      <c r="AG597" s="218"/>
      <c r="AH597" s="218"/>
      <c r="AI597" s="218"/>
      <c r="AJ597" s="218"/>
      <c r="AK597" s="218"/>
      <c r="AL597" s="218"/>
      <c r="AM597" s="218"/>
      <c r="AN597" s="218"/>
      <c r="AO597" s="218"/>
      <c r="AP597" s="218"/>
      <c r="AQ597" s="218"/>
      <c r="AR597" s="218"/>
      <c r="AS597" s="218"/>
      <c r="AT597" s="218"/>
      <c r="AU597" s="218"/>
      <c r="AV597" s="218"/>
      <c r="AW597" s="218"/>
      <c r="AX597" s="218"/>
      <c r="AY597" s="218"/>
      <c r="AZ597" s="218"/>
      <c r="BA597" s="218"/>
      <c r="BB597" s="218"/>
      <c r="BC597" s="218"/>
      <c r="BD597" s="218"/>
      <c r="BE597" s="218"/>
      <c r="BF597" s="218"/>
      <c r="BG597" s="218"/>
      <c r="BH597" s="218"/>
      <c r="BI597" s="218"/>
      <c r="BJ597" s="224"/>
      <c r="BK597" s="224"/>
    </row>
    <row r="598" spans="1:63" hidden="1" outlineLevel="1">
      <c r="A598" s="9"/>
      <c r="B598" s="44"/>
      <c r="C598" s="271" t="str">
        <f>Asset7</f>
        <v>Non-network general assets - Other</v>
      </c>
      <c r="D598" s="9"/>
      <c r="E598" s="9"/>
      <c r="F598" s="143"/>
      <c r="G598" s="204">
        <f>Input!Q13</f>
        <v>2.7761422800197848</v>
      </c>
      <c r="H598" s="122"/>
      <c r="I598" s="122"/>
      <c r="J598" s="122"/>
      <c r="K598" s="122"/>
      <c r="L598" s="122"/>
      <c r="M598" s="110"/>
      <c r="N598" s="110"/>
      <c r="O598" s="110"/>
      <c r="P598" s="110"/>
      <c r="Q598" s="110"/>
      <c r="R598" s="110"/>
      <c r="S598" s="110"/>
      <c r="T598" s="110"/>
      <c r="U598" s="110"/>
      <c r="V598" s="110"/>
      <c r="W598" s="110"/>
      <c r="X598" s="110"/>
      <c r="Y598" s="110"/>
      <c r="Z598" s="110"/>
      <c r="AA598" s="218"/>
      <c r="AB598" s="218"/>
      <c r="AC598" s="218"/>
      <c r="AD598" s="218"/>
      <c r="AE598" s="218"/>
      <c r="AF598" s="218"/>
      <c r="AG598" s="218"/>
      <c r="AH598" s="218"/>
      <c r="AI598" s="218"/>
      <c r="AJ598" s="218"/>
      <c r="AK598" s="218"/>
      <c r="AL598" s="218"/>
      <c r="AM598" s="218"/>
      <c r="AN598" s="218"/>
      <c r="AO598" s="218"/>
      <c r="AP598" s="218"/>
      <c r="AQ598" s="218"/>
      <c r="AR598" s="218"/>
      <c r="AS598" s="218"/>
      <c r="AT598" s="218"/>
      <c r="AU598" s="218"/>
      <c r="AV598" s="218"/>
      <c r="AW598" s="218"/>
      <c r="AX598" s="218"/>
      <c r="AY598" s="218"/>
      <c r="AZ598" s="218"/>
      <c r="BA598" s="218"/>
      <c r="BB598" s="218"/>
      <c r="BC598" s="218"/>
      <c r="BD598" s="218"/>
      <c r="BE598" s="218"/>
      <c r="BF598" s="218"/>
      <c r="BG598" s="218"/>
      <c r="BH598" s="218"/>
      <c r="BI598" s="218"/>
      <c r="BJ598" s="224"/>
      <c r="BK598" s="224"/>
    </row>
    <row r="599" spans="1:63" hidden="1" outlineLevel="1">
      <c r="A599" s="9"/>
      <c r="B599" s="44"/>
      <c r="C599" s="271" t="str">
        <f>Asset8</f>
        <v>Equity Raising Costs</v>
      </c>
      <c r="D599" s="9"/>
      <c r="E599" s="9"/>
      <c r="F599" s="143"/>
      <c r="G599" s="204">
        <f>Input!Q14</f>
        <v>0</v>
      </c>
      <c r="H599" s="122"/>
      <c r="I599" s="122"/>
      <c r="J599" s="122"/>
      <c r="K599" s="122"/>
      <c r="L599" s="122"/>
      <c r="M599" s="110"/>
      <c r="N599" s="110"/>
      <c r="O599" s="110"/>
      <c r="P599" s="110"/>
      <c r="Q599" s="110"/>
      <c r="R599" s="110"/>
      <c r="S599" s="110"/>
      <c r="T599" s="110"/>
      <c r="U599" s="110"/>
      <c r="V599" s="110"/>
      <c r="W599" s="110"/>
      <c r="X599" s="110"/>
      <c r="Y599" s="110"/>
      <c r="Z599" s="110"/>
      <c r="AA599" s="218"/>
      <c r="AB599" s="218"/>
      <c r="AC599" s="218"/>
      <c r="AD599" s="218"/>
      <c r="AE599" s="218"/>
      <c r="AF599" s="218"/>
      <c r="AG599" s="218"/>
      <c r="AH599" s="218"/>
      <c r="AI599" s="218"/>
      <c r="AJ599" s="218"/>
      <c r="AK599" s="218"/>
      <c r="AL599" s="218"/>
      <c r="AM599" s="218"/>
      <c r="AN599" s="218"/>
      <c r="AO599" s="218"/>
      <c r="AP599" s="218"/>
      <c r="AQ599" s="218"/>
      <c r="AR599" s="218"/>
      <c r="AS599" s="218"/>
      <c r="AT599" s="218"/>
      <c r="AU599" s="218"/>
      <c r="AV599" s="218"/>
      <c r="AW599" s="218"/>
      <c r="AX599" s="218"/>
      <c r="AY599" s="218"/>
      <c r="AZ599" s="218"/>
      <c r="BA599" s="218"/>
      <c r="BB599" s="218"/>
      <c r="BC599" s="218"/>
      <c r="BD599" s="218"/>
      <c r="BE599" s="218"/>
      <c r="BF599" s="218"/>
      <c r="BG599" s="218"/>
      <c r="BH599" s="218"/>
      <c r="BI599" s="218"/>
      <c r="BJ599" s="224"/>
      <c r="BK599" s="224"/>
    </row>
    <row r="600" spans="1:63" hidden="1" outlineLevel="1">
      <c r="A600" s="9"/>
      <c r="B600" s="44"/>
      <c r="C600" s="271">
        <f>Asset9</f>
        <v>0</v>
      </c>
      <c r="D600" s="9"/>
      <c r="E600" s="9"/>
      <c r="F600" s="143"/>
      <c r="G600" s="204">
        <f>Input!Q15</f>
        <v>0</v>
      </c>
      <c r="H600" s="122"/>
      <c r="I600" s="122"/>
      <c r="J600" s="122"/>
      <c r="K600" s="122"/>
      <c r="L600" s="122"/>
      <c r="M600" s="110"/>
      <c r="N600" s="110"/>
      <c r="O600" s="110"/>
      <c r="P600" s="110"/>
      <c r="Q600" s="110"/>
      <c r="R600" s="110"/>
      <c r="S600" s="110"/>
      <c r="T600" s="110"/>
      <c r="U600" s="110"/>
      <c r="V600" s="110"/>
      <c r="W600" s="110"/>
      <c r="X600" s="110"/>
      <c r="Y600" s="110"/>
      <c r="Z600" s="110"/>
      <c r="AA600" s="218"/>
      <c r="AB600" s="218"/>
      <c r="AC600" s="218"/>
      <c r="AD600" s="218"/>
      <c r="AE600" s="218"/>
      <c r="AF600" s="218"/>
      <c r="AG600" s="218"/>
      <c r="AH600" s="218"/>
      <c r="AI600" s="218"/>
      <c r="AJ600" s="218"/>
      <c r="AK600" s="218"/>
      <c r="AL600" s="218"/>
      <c r="AM600" s="218"/>
      <c r="AN600" s="218"/>
      <c r="AO600" s="218"/>
      <c r="AP600" s="218"/>
      <c r="AQ600" s="218"/>
      <c r="AR600" s="218"/>
      <c r="AS600" s="218"/>
      <c r="AT600" s="218"/>
      <c r="AU600" s="218"/>
      <c r="AV600" s="218"/>
      <c r="AW600" s="218"/>
      <c r="AX600" s="218"/>
      <c r="AY600" s="218"/>
      <c r="AZ600" s="218"/>
      <c r="BA600" s="218"/>
      <c r="BB600" s="218"/>
      <c r="BC600" s="218"/>
      <c r="BD600" s="218"/>
      <c r="BE600" s="218"/>
      <c r="BF600" s="218"/>
      <c r="BG600" s="218"/>
      <c r="BH600" s="218"/>
      <c r="BI600" s="218"/>
      <c r="BJ600" s="224"/>
      <c r="BK600" s="224"/>
    </row>
    <row r="601" spans="1:63" hidden="1" outlineLevel="1">
      <c r="A601" s="9"/>
      <c r="B601" s="44"/>
      <c r="C601" s="271">
        <f>Asset10</f>
        <v>0</v>
      </c>
      <c r="D601" s="9"/>
      <c r="E601" s="9"/>
      <c r="F601" s="143"/>
      <c r="G601" s="204">
        <f>Input!Q16</f>
        <v>0</v>
      </c>
      <c r="H601" s="122"/>
      <c r="I601" s="122"/>
      <c r="J601" s="122"/>
      <c r="K601" s="122"/>
      <c r="L601" s="122"/>
      <c r="M601" s="110"/>
      <c r="N601" s="110"/>
      <c r="O601" s="110"/>
      <c r="P601" s="110"/>
      <c r="Q601" s="110"/>
      <c r="R601" s="110"/>
      <c r="S601" s="110"/>
      <c r="T601" s="110"/>
      <c r="U601" s="110"/>
      <c r="V601" s="110"/>
      <c r="W601" s="110"/>
      <c r="X601" s="110"/>
      <c r="Y601" s="110"/>
      <c r="Z601" s="110"/>
      <c r="AA601" s="218"/>
      <c r="AB601" s="218"/>
      <c r="AC601" s="218"/>
      <c r="AD601" s="218"/>
      <c r="AE601" s="218"/>
      <c r="AF601" s="218"/>
      <c r="AG601" s="218"/>
      <c r="AH601" s="218"/>
      <c r="AI601" s="218"/>
      <c r="AJ601" s="218"/>
      <c r="AK601" s="218"/>
      <c r="AL601" s="218"/>
      <c r="AM601" s="218"/>
      <c r="AN601" s="218"/>
      <c r="AO601" s="218"/>
      <c r="AP601" s="218"/>
      <c r="AQ601" s="218"/>
      <c r="AR601" s="218"/>
      <c r="AS601" s="218"/>
      <c r="AT601" s="218"/>
      <c r="AU601" s="218"/>
      <c r="AV601" s="218"/>
      <c r="AW601" s="218"/>
      <c r="AX601" s="218"/>
      <c r="AY601" s="218"/>
      <c r="AZ601" s="218"/>
      <c r="BA601" s="218"/>
      <c r="BB601" s="218"/>
      <c r="BC601" s="218"/>
      <c r="BD601" s="218"/>
      <c r="BE601" s="218"/>
      <c r="BF601" s="218"/>
      <c r="BG601" s="218"/>
      <c r="BH601" s="218"/>
      <c r="BI601" s="218"/>
      <c r="BJ601" s="224"/>
      <c r="BK601" s="224"/>
    </row>
    <row r="602" spans="1:63" hidden="1" outlineLevel="1">
      <c r="A602" s="9"/>
      <c r="B602" s="44"/>
      <c r="C602" s="271">
        <f>Asset11</f>
        <v>0</v>
      </c>
      <c r="D602" s="9"/>
      <c r="E602" s="9"/>
      <c r="F602" s="143"/>
      <c r="G602" s="204">
        <f>Input!Q17</f>
        <v>0</v>
      </c>
      <c r="H602" s="122"/>
      <c r="I602" s="122"/>
      <c r="J602" s="122"/>
      <c r="K602" s="122"/>
      <c r="L602" s="122"/>
      <c r="M602" s="110"/>
      <c r="N602" s="110"/>
      <c r="O602" s="110"/>
      <c r="P602" s="110"/>
      <c r="Q602" s="110"/>
      <c r="R602" s="110"/>
      <c r="S602" s="110"/>
      <c r="T602" s="110"/>
      <c r="U602" s="110"/>
      <c r="V602" s="110"/>
      <c r="W602" s="110"/>
      <c r="X602" s="110"/>
      <c r="Y602" s="110"/>
      <c r="Z602" s="110"/>
      <c r="AA602" s="218"/>
      <c r="AB602" s="218"/>
      <c r="AC602" s="218"/>
      <c r="AD602" s="218"/>
      <c r="AE602" s="218"/>
      <c r="AF602" s="218"/>
      <c r="AG602" s="218"/>
      <c r="AH602" s="218"/>
      <c r="AI602" s="218"/>
      <c r="AJ602" s="218"/>
      <c r="AK602" s="218"/>
      <c r="AL602" s="218"/>
      <c r="AM602" s="218"/>
      <c r="AN602" s="218"/>
      <c r="AO602" s="218"/>
      <c r="AP602" s="218"/>
      <c r="AQ602" s="218"/>
      <c r="AR602" s="218"/>
      <c r="AS602" s="218"/>
      <c r="AT602" s="218"/>
      <c r="AU602" s="218"/>
      <c r="AV602" s="218"/>
      <c r="AW602" s="218"/>
      <c r="AX602" s="218"/>
      <c r="AY602" s="218"/>
      <c r="AZ602" s="218"/>
      <c r="BA602" s="218"/>
      <c r="BB602" s="218"/>
      <c r="BC602" s="218"/>
      <c r="BD602" s="218"/>
      <c r="BE602" s="218"/>
      <c r="BF602" s="218"/>
      <c r="BG602" s="218"/>
      <c r="BH602" s="218"/>
      <c r="BI602" s="218"/>
      <c r="BJ602" s="224"/>
      <c r="BK602" s="224"/>
    </row>
    <row r="603" spans="1:63" hidden="1" outlineLevel="1">
      <c r="A603" s="9"/>
      <c r="B603" s="44"/>
      <c r="C603" s="271">
        <f>Asset12</f>
        <v>0</v>
      </c>
      <c r="D603" s="9"/>
      <c r="E603" s="9"/>
      <c r="F603" s="143"/>
      <c r="G603" s="204">
        <f>Input!Q18</f>
        <v>0</v>
      </c>
      <c r="H603" s="122"/>
      <c r="I603" s="122"/>
      <c r="J603" s="122"/>
      <c r="K603" s="122"/>
      <c r="L603" s="122"/>
      <c r="M603" s="110"/>
      <c r="N603" s="110"/>
      <c r="O603" s="110"/>
      <c r="P603" s="110"/>
      <c r="Q603" s="110"/>
      <c r="R603" s="110"/>
      <c r="S603" s="110"/>
      <c r="T603" s="110"/>
      <c r="U603" s="110"/>
      <c r="V603" s="110"/>
      <c r="W603" s="110"/>
      <c r="X603" s="110"/>
      <c r="Y603" s="110"/>
      <c r="Z603" s="110"/>
      <c r="AA603" s="218"/>
      <c r="AB603" s="218"/>
      <c r="AC603" s="218"/>
      <c r="AD603" s="218"/>
      <c r="AE603" s="218"/>
      <c r="AF603" s="218"/>
      <c r="AG603" s="218"/>
      <c r="AH603" s="218"/>
      <c r="AI603" s="218"/>
      <c r="AJ603" s="218"/>
      <c r="AK603" s="218"/>
      <c r="AL603" s="218"/>
      <c r="AM603" s="218"/>
      <c r="AN603" s="218"/>
      <c r="AO603" s="218"/>
      <c r="AP603" s="218"/>
      <c r="AQ603" s="218"/>
      <c r="AR603" s="218"/>
      <c r="AS603" s="218"/>
      <c r="AT603" s="218"/>
      <c r="AU603" s="218"/>
      <c r="AV603" s="218"/>
      <c r="AW603" s="218"/>
      <c r="AX603" s="218"/>
      <c r="AY603" s="218"/>
      <c r="AZ603" s="218"/>
      <c r="BA603" s="218"/>
      <c r="BB603" s="218"/>
      <c r="BC603" s="218"/>
      <c r="BD603" s="218"/>
      <c r="BE603" s="218"/>
      <c r="BF603" s="218"/>
      <c r="BG603" s="218"/>
      <c r="BH603" s="218"/>
      <c r="BI603" s="218"/>
      <c r="BJ603" s="224"/>
      <c r="BK603" s="224"/>
    </row>
    <row r="604" spans="1:63" hidden="1" outlineLevel="1">
      <c r="A604" s="9"/>
      <c r="B604" s="44"/>
      <c r="C604" s="271">
        <f>Asset13</f>
        <v>0</v>
      </c>
      <c r="D604" s="9"/>
      <c r="E604" s="9"/>
      <c r="F604" s="143"/>
      <c r="G604" s="204">
        <f>Input!Q19</f>
        <v>0</v>
      </c>
      <c r="H604" s="122"/>
      <c r="I604" s="122"/>
      <c r="J604" s="122"/>
      <c r="K604" s="122"/>
      <c r="L604" s="122"/>
      <c r="M604" s="110"/>
      <c r="N604" s="110"/>
      <c r="O604" s="110"/>
      <c r="P604" s="110"/>
      <c r="Q604" s="110"/>
      <c r="R604" s="110"/>
      <c r="S604" s="110"/>
      <c r="T604" s="110"/>
      <c r="U604" s="110"/>
      <c r="V604" s="110"/>
      <c r="W604" s="110"/>
      <c r="X604" s="110"/>
      <c r="Y604" s="110"/>
      <c r="Z604" s="110"/>
      <c r="AA604" s="218"/>
      <c r="AB604" s="218"/>
      <c r="AC604" s="218"/>
      <c r="AD604" s="218"/>
      <c r="AE604" s="218"/>
      <c r="AF604" s="218"/>
      <c r="AG604" s="218"/>
      <c r="AH604" s="218"/>
      <c r="AI604" s="218"/>
      <c r="AJ604" s="218"/>
      <c r="AK604" s="218"/>
      <c r="AL604" s="218"/>
      <c r="AM604" s="218"/>
      <c r="AN604" s="218"/>
      <c r="AO604" s="218"/>
      <c r="AP604" s="218"/>
      <c r="AQ604" s="218"/>
      <c r="AR604" s="218"/>
      <c r="AS604" s="218"/>
      <c r="AT604" s="218"/>
      <c r="AU604" s="218"/>
      <c r="AV604" s="218"/>
      <c r="AW604" s="218"/>
      <c r="AX604" s="218"/>
      <c r="AY604" s="218"/>
      <c r="AZ604" s="218"/>
      <c r="BA604" s="218"/>
      <c r="BB604" s="218"/>
      <c r="BC604" s="218"/>
      <c r="BD604" s="218"/>
      <c r="BE604" s="218"/>
      <c r="BF604" s="218"/>
      <c r="BG604" s="218"/>
      <c r="BH604" s="218"/>
      <c r="BI604" s="218"/>
      <c r="BJ604" s="224"/>
      <c r="BK604" s="224"/>
    </row>
    <row r="605" spans="1:63" hidden="1" outlineLevel="1">
      <c r="A605" s="9"/>
      <c r="B605" s="44"/>
      <c r="C605" s="271">
        <f>Asset14</f>
        <v>0</v>
      </c>
      <c r="D605" s="9"/>
      <c r="E605" s="9"/>
      <c r="F605" s="143"/>
      <c r="G605" s="204">
        <f>Input!Q20</f>
        <v>0</v>
      </c>
      <c r="H605" s="122"/>
      <c r="I605" s="122"/>
      <c r="J605" s="122"/>
      <c r="K605" s="122"/>
      <c r="L605" s="122"/>
      <c r="M605" s="110"/>
      <c r="N605" s="110"/>
      <c r="O605" s="110"/>
      <c r="P605" s="110"/>
      <c r="Q605" s="110"/>
      <c r="R605" s="110"/>
      <c r="S605" s="110"/>
      <c r="T605" s="110"/>
      <c r="U605" s="110"/>
      <c r="V605" s="110"/>
      <c r="W605" s="110"/>
      <c r="X605" s="110"/>
      <c r="Y605" s="110"/>
      <c r="Z605" s="110"/>
      <c r="AA605" s="218"/>
      <c r="AB605" s="218"/>
      <c r="AC605" s="218"/>
      <c r="AD605" s="218"/>
      <c r="AE605" s="218"/>
      <c r="AF605" s="218"/>
      <c r="AG605" s="218"/>
      <c r="AH605" s="218"/>
      <c r="AI605" s="218"/>
      <c r="AJ605" s="218"/>
      <c r="AK605" s="218"/>
      <c r="AL605" s="218"/>
      <c r="AM605" s="218"/>
      <c r="AN605" s="218"/>
      <c r="AO605" s="218"/>
      <c r="AP605" s="218"/>
      <c r="AQ605" s="218"/>
      <c r="AR605" s="218"/>
      <c r="AS605" s="218"/>
      <c r="AT605" s="218"/>
      <c r="AU605" s="218"/>
      <c r="AV605" s="218"/>
      <c r="AW605" s="218"/>
      <c r="AX605" s="218"/>
      <c r="AY605" s="218"/>
      <c r="AZ605" s="218"/>
      <c r="BA605" s="218"/>
      <c r="BB605" s="218"/>
      <c r="BC605" s="218"/>
      <c r="BD605" s="218"/>
      <c r="BE605" s="218"/>
      <c r="BF605" s="218"/>
      <c r="BG605" s="218"/>
      <c r="BH605" s="218"/>
      <c r="BI605" s="218"/>
      <c r="BJ605" s="224"/>
      <c r="BK605" s="224"/>
    </row>
    <row r="606" spans="1:63" hidden="1" outlineLevel="1">
      <c r="A606" s="9"/>
      <c r="B606" s="44"/>
      <c r="C606" s="271">
        <f>Asset15</f>
        <v>0</v>
      </c>
      <c r="D606" s="9"/>
      <c r="E606" s="9"/>
      <c r="F606" s="143"/>
      <c r="G606" s="204">
        <f>Input!Q21</f>
        <v>0</v>
      </c>
      <c r="H606" s="122"/>
      <c r="I606" s="122"/>
      <c r="J606" s="122"/>
      <c r="K606" s="122"/>
      <c r="L606" s="122"/>
      <c r="M606" s="110"/>
      <c r="N606" s="110"/>
      <c r="O606" s="110"/>
      <c r="P606" s="110"/>
      <c r="Q606" s="110"/>
      <c r="R606" s="110"/>
      <c r="S606" s="110"/>
      <c r="T606" s="110"/>
      <c r="U606" s="110"/>
      <c r="V606" s="110"/>
      <c r="W606" s="110"/>
      <c r="X606" s="110"/>
      <c r="Y606" s="110"/>
      <c r="Z606" s="110"/>
      <c r="AA606" s="218"/>
      <c r="AB606" s="218"/>
      <c r="AC606" s="218"/>
      <c r="AD606" s="218"/>
      <c r="AE606" s="218"/>
      <c r="AF606" s="218"/>
      <c r="AG606" s="218"/>
      <c r="AH606" s="218"/>
      <c r="AI606" s="218"/>
      <c r="AJ606" s="218"/>
      <c r="AK606" s="218"/>
      <c r="AL606" s="218"/>
      <c r="AM606" s="218"/>
      <c r="AN606" s="218"/>
      <c r="AO606" s="218"/>
      <c r="AP606" s="218"/>
      <c r="AQ606" s="218"/>
      <c r="AR606" s="218"/>
      <c r="AS606" s="218"/>
      <c r="AT606" s="218"/>
      <c r="AU606" s="218"/>
      <c r="AV606" s="218"/>
      <c r="AW606" s="218"/>
      <c r="AX606" s="218"/>
      <c r="AY606" s="218"/>
      <c r="AZ606" s="218"/>
      <c r="BA606" s="218"/>
      <c r="BB606" s="218"/>
      <c r="BC606" s="218"/>
      <c r="BD606" s="218"/>
      <c r="BE606" s="218"/>
      <c r="BF606" s="218"/>
      <c r="BG606" s="218"/>
      <c r="BH606" s="218"/>
      <c r="BI606" s="218"/>
      <c r="BJ606" s="224"/>
      <c r="BK606" s="224"/>
    </row>
    <row r="607" spans="1:63" hidden="1" outlineLevel="1">
      <c r="A607" s="9"/>
      <c r="B607" s="44"/>
      <c r="C607" s="271">
        <f>Asset16</f>
        <v>0</v>
      </c>
      <c r="D607" s="9"/>
      <c r="E607" s="9"/>
      <c r="F607" s="143"/>
      <c r="G607" s="204">
        <f>Input!Q22</f>
        <v>0</v>
      </c>
      <c r="H607" s="122"/>
      <c r="I607" s="122"/>
      <c r="J607" s="122"/>
      <c r="K607" s="122"/>
      <c r="L607" s="122"/>
      <c r="M607" s="110"/>
      <c r="N607" s="110"/>
      <c r="O607" s="110"/>
      <c r="P607" s="110"/>
      <c r="Q607" s="110"/>
      <c r="R607" s="110"/>
      <c r="S607" s="110"/>
      <c r="T607" s="110"/>
      <c r="U607" s="110"/>
      <c r="V607" s="110"/>
      <c r="W607" s="110"/>
      <c r="X607" s="110"/>
      <c r="Y607" s="110"/>
      <c r="Z607" s="110"/>
      <c r="AA607" s="218"/>
      <c r="AB607" s="218"/>
      <c r="AC607" s="218"/>
      <c r="AD607" s="218"/>
      <c r="AE607" s="218"/>
      <c r="AF607" s="218"/>
      <c r="AG607" s="218"/>
      <c r="AH607" s="218"/>
      <c r="AI607" s="218"/>
      <c r="AJ607" s="218"/>
      <c r="AK607" s="218"/>
      <c r="AL607" s="218"/>
      <c r="AM607" s="218"/>
      <c r="AN607" s="218"/>
      <c r="AO607" s="218"/>
      <c r="AP607" s="218"/>
      <c r="AQ607" s="218"/>
      <c r="AR607" s="218"/>
      <c r="AS607" s="218"/>
      <c r="AT607" s="218"/>
      <c r="AU607" s="218"/>
      <c r="AV607" s="218"/>
      <c r="AW607" s="218"/>
      <c r="AX607" s="218"/>
      <c r="AY607" s="218"/>
      <c r="AZ607" s="218"/>
      <c r="BA607" s="218"/>
      <c r="BB607" s="218"/>
      <c r="BC607" s="218"/>
      <c r="BD607" s="218"/>
      <c r="BE607" s="218"/>
      <c r="BF607" s="218"/>
      <c r="BG607" s="218"/>
      <c r="BH607" s="218"/>
      <c r="BI607" s="218"/>
      <c r="BJ607" s="224"/>
      <c r="BK607" s="224"/>
    </row>
    <row r="608" spans="1:63" hidden="1" outlineLevel="1">
      <c r="A608" s="9"/>
      <c r="B608" s="44"/>
      <c r="C608" s="271">
        <f>Asset17</f>
        <v>0</v>
      </c>
      <c r="D608" s="9"/>
      <c r="E608" s="9"/>
      <c r="F608" s="143"/>
      <c r="G608" s="204">
        <f>Input!Q23</f>
        <v>0</v>
      </c>
      <c r="H608" s="122"/>
      <c r="I608" s="122"/>
      <c r="J608" s="122"/>
      <c r="K608" s="122"/>
      <c r="L608" s="122"/>
      <c r="M608" s="110"/>
      <c r="N608" s="110"/>
      <c r="O608" s="110"/>
      <c r="P608" s="110"/>
      <c r="Q608" s="110"/>
      <c r="R608" s="110"/>
      <c r="S608" s="110"/>
      <c r="T608" s="110"/>
      <c r="U608" s="110"/>
      <c r="V608" s="110"/>
      <c r="W608" s="110"/>
      <c r="X608" s="110"/>
      <c r="Y608" s="110"/>
      <c r="Z608" s="110"/>
      <c r="AA608" s="218"/>
      <c r="AB608" s="218"/>
      <c r="AC608" s="218"/>
      <c r="AD608" s="218"/>
      <c r="AE608" s="218"/>
      <c r="AF608" s="218"/>
      <c r="AG608" s="218"/>
      <c r="AH608" s="218"/>
      <c r="AI608" s="218"/>
      <c r="AJ608" s="218"/>
      <c r="AK608" s="218"/>
      <c r="AL608" s="218"/>
      <c r="AM608" s="218"/>
      <c r="AN608" s="218"/>
      <c r="AO608" s="218"/>
      <c r="AP608" s="218"/>
      <c r="AQ608" s="218"/>
      <c r="AR608" s="218"/>
      <c r="AS608" s="218"/>
      <c r="AT608" s="218"/>
      <c r="AU608" s="218"/>
      <c r="AV608" s="218"/>
      <c r="AW608" s="218"/>
      <c r="AX608" s="218"/>
      <c r="AY608" s="218"/>
      <c r="AZ608" s="218"/>
      <c r="BA608" s="218"/>
      <c r="BB608" s="218"/>
      <c r="BC608" s="218"/>
      <c r="BD608" s="218"/>
      <c r="BE608" s="218"/>
      <c r="BF608" s="218"/>
      <c r="BG608" s="218"/>
      <c r="BH608" s="218"/>
      <c r="BI608" s="218"/>
      <c r="BJ608" s="224"/>
      <c r="BK608" s="224"/>
    </row>
    <row r="609" spans="1:63" hidden="1" outlineLevel="1">
      <c r="A609" s="9"/>
      <c r="B609" s="44"/>
      <c r="C609" s="271">
        <f>Asset18</f>
        <v>0</v>
      </c>
      <c r="D609" s="9"/>
      <c r="E609" s="9"/>
      <c r="F609" s="143"/>
      <c r="G609" s="204">
        <f>Input!Q24</f>
        <v>0</v>
      </c>
      <c r="H609" s="122"/>
      <c r="I609" s="122"/>
      <c r="J609" s="122"/>
      <c r="K609" s="122"/>
      <c r="L609" s="122"/>
      <c r="M609" s="110"/>
      <c r="N609" s="110"/>
      <c r="O609" s="110"/>
      <c r="P609" s="110"/>
      <c r="Q609" s="110"/>
      <c r="R609" s="110"/>
      <c r="S609" s="110"/>
      <c r="T609" s="110"/>
      <c r="U609" s="110"/>
      <c r="V609" s="110"/>
      <c r="W609" s="110"/>
      <c r="X609" s="110"/>
      <c r="Y609" s="110"/>
      <c r="Z609" s="110"/>
      <c r="AA609" s="218"/>
      <c r="AB609" s="218"/>
      <c r="AC609" s="218"/>
      <c r="AD609" s="218"/>
      <c r="AE609" s="218"/>
      <c r="AF609" s="218"/>
      <c r="AG609" s="218"/>
      <c r="AH609" s="218"/>
      <c r="AI609" s="218"/>
      <c r="AJ609" s="218"/>
      <c r="AK609" s="218"/>
      <c r="AL609" s="218"/>
      <c r="AM609" s="218"/>
      <c r="AN609" s="218"/>
      <c r="AO609" s="218"/>
      <c r="AP609" s="218"/>
      <c r="AQ609" s="218"/>
      <c r="AR609" s="218"/>
      <c r="AS609" s="218"/>
      <c r="AT609" s="218"/>
      <c r="AU609" s="218"/>
      <c r="AV609" s="218"/>
      <c r="AW609" s="218"/>
      <c r="AX609" s="218"/>
      <c r="AY609" s="218"/>
      <c r="AZ609" s="218"/>
      <c r="BA609" s="218"/>
      <c r="BB609" s="218"/>
      <c r="BC609" s="218"/>
      <c r="BD609" s="218"/>
      <c r="BE609" s="218"/>
      <c r="BF609" s="218"/>
      <c r="BG609" s="218"/>
      <c r="BH609" s="218"/>
      <c r="BI609" s="218"/>
      <c r="BJ609" s="224"/>
      <c r="BK609" s="224"/>
    </row>
    <row r="610" spans="1:63" hidden="1" outlineLevel="1">
      <c r="A610" s="9"/>
      <c r="B610" s="44"/>
      <c r="C610" s="271">
        <f>Asset19</f>
        <v>0</v>
      </c>
      <c r="D610" s="9"/>
      <c r="E610" s="9"/>
      <c r="F610" s="143"/>
      <c r="G610" s="204">
        <f>Input!Q25</f>
        <v>0</v>
      </c>
      <c r="H610" s="122"/>
      <c r="I610" s="122"/>
      <c r="J610" s="122"/>
      <c r="K610" s="122"/>
      <c r="L610" s="122"/>
      <c r="M610" s="110"/>
      <c r="N610" s="110"/>
      <c r="O610" s="110"/>
      <c r="P610" s="110"/>
      <c r="Q610" s="110"/>
      <c r="R610" s="110"/>
      <c r="S610" s="110"/>
      <c r="T610" s="110"/>
      <c r="U610" s="110"/>
      <c r="V610" s="110"/>
      <c r="W610" s="110"/>
      <c r="X610" s="110"/>
      <c r="Y610" s="110"/>
      <c r="Z610" s="110"/>
      <c r="AA610" s="218"/>
      <c r="AB610" s="218"/>
      <c r="AC610" s="218"/>
      <c r="AD610" s="218"/>
      <c r="AE610" s="218"/>
      <c r="AF610" s="218"/>
      <c r="AG610" s="218"/>
      <c r="AH610" s="218"/>
      <c r="AI610" s="218"/>
      <c r="AJ610" s="218"/>
      <c r="AK610" s="218"/>
      <c r="AL610" s="218"/>
      <c r="AM610" s="218"/>
      <c r="AN610" s="218"/>
      <c r="AO610" s="218"/>
      <c r="AP610" s="218"/>
      <c r="AQ610" s="218"/>
      <c r="AR610" s="218"/>
      <c r="AS610" s="218"/>
      <c r="AT610" s="218"/>
      <c r="AU610" s="218"/>
      <c r="AV610" s="218"/>
      <c r="AW610" s="218"/>
      <c r="AX610" s="218"/>
      <c r="AY610" s="218"/>
      <c r="AZ610" s="218"/>
      <c r="BA610" s="218"/>
      <c r="BB610" s="218"/>
      <c r="BC610" s="218"/>
      <c r="BD610" s="218"/>
      <c r="BE610" s="218"/>
      <c r="BF610" s="218"/>
      <c r="BG610" s="218"/>
      <c r="BH610" s="218"/>
      <c r="BI610" s="218"/>
      <c r="BJ610" s="224"/>
      <c r="BK610" s="224"/>
    </row>
    <row r="611" spans="1:63" hidden="1" outlineLevel="1">
      <c r="A611" s="9"/>
      <c r="B611" s="44"/>
      <c r="C611" s="271">
        <f>Asset20</f>
        <v>0</v>
      </c>
      <c r="D611" s="9"/>
      <c r="E611" s="9"/>
      <c r="F611" s="143"/>
      <c r="G611" s="204">
        <f>Input!Q26</f>
        <v>0</v>
      </c>
      <c r="H611" s="122"/>
      <c r="I611" s="122"/>
      <c r="J611" s="122"/>
      <c r="K611" s="122"/>
      <c r="L611" s="122"/>
      <c r="M611" s="110"/>
      <c r="N611" s="110"/>
      <c r="O611" s="110"/>
      <c r="P611" s="110"/>
      <c r="Q611" s="110"/>
      <c r="R611" s="110"/>
      <c r="S611" s="110"/>
      <c r="T611" s="110"/>
      <c r="U611" s="110"/>
      <c r="V611" s="110"/>
      <c r="W611" s="110"/>
      <c r="X611" s="110"/>
      <c r="Y611" s="110"/>
      <c r="Z611" s="110"/>
      <c r="AA611" s="218"/>
      <c r="AB611" s="218"/>
      <c r="AC611" s="218"/>
      <c r="AD611" s="218"/>
      <c r="AE611" s="218"/>
      <c r="AF611" s="218"/>
      <c r="AG611" s="218"/>
      <c r="AH611" s="218"/>
      <c r="AI611" s="218"/>
      <c r="AJ611" s="218"/>
      <c r="AK611" s="218"/>
      <c r="AL611" s="218"/>
      <c r="AM611" s="218"/>
      <c r="AN611" s="218"/>
      <c r="AO611" s="218"/>
      <c r="AP611" s="218"/>
      <c r="AQ611" s="218"/>
      <c r="AR611" s="218"/>
      <c r="AS611" s="218"/>
      <c r="AT611" s="218"/>
      <c r="AU611" s="218"/>
      <c r="AV611" s="218"/>
      <c r="AW611" s="218"/>
      <c r="AX611" s="218"/>
      <c r="AY611" s="218"/>
      <c r="AZ611" s="218"/>
      <c r="BA611" s="218"/>
      <c r="BB611" s="218"/>
      <c r="BC611" s="218"/>
      <c r="BD611" s="218"/>
      <c r="BE611" s="218"/>
      <c r="BF611" s="218"/>
      <c r="BG611" s="218"/>
      <c r="BH611" s="218"/>
      <c r="BI611" s="218"/>
      <c r="BJ611" s="224"/>
      <c r="BK611" s="224"/>
    </row>
    <row r="612" spans="1:63" hidden="1" outlineLevel="1">
      <c r="A612" s="9"/>
      <c r="B612" s="44"/>
      <c r="C612" s="271">
        <f>Asset21</f>
        <v>0</v>
      </c>
      <c r="D612" s="9"/>
      <c r="E612" s="9"/>
      <c r="F612" s="143"/>
      <c r="G612" s="204">
        <f>Input!Q27</f>
        <v>0</v>
      </c>
      <c r="H612" s="122"/>
      <c r="I612" s="122"/>
      <c r="J612" s="122"/>
      <c r="K612" s="122"/>
      <c r="L612" s="122"/>
      <c r="M612" s="110"/>
      <c r="N612" s="110"/>
      <c r="O612" s="110"/>
      <c r="P612" s="110"/>
      <c r="Q612" s="110"/>
      <c r="R612" s="110"/>
      <c r="S612" s="110"/>
      <c r="T612" s="110"/>
      <c r="U612" s="110"/>
      <c r="V612" s="110"/>
      <c r="W612" s="110"/>
      <c r="X612" s="110"/>
      <c r="Y612" s="110"/>
      <c r="Z612" s="110"/>
      <c r="AA612" s="218"/>
      <c r="AB612" s="218"/>
      <c r="AC612" s="218"/>
      <c r="AD612" s="218"/>
      <c r="AE612" s="218"/>
      <c r="AF612" s="218"/>
      <c r="AG612" s="218"/>
      <c r="AH612" s="218"/>
      <c r="AI612" s="218"/>
      <c r="AJ612" s="218"/>
      <c r="AK612" s="218"/>
      <c r="AL612" s="218"/>
      <c r="AM612" s="218"/>
      <c r="AN612" s="218"/>
      <c r="AO612" s="218"/>
      <c r="AP612" s="218"/>
      <c r="AQ612" s="218"/>
      <c r="AR612" s="218"/>
      <c r="AS612" s="218"/>
      <c r="AT612" s="218"/>
      <c r="AU612" s="218"/>
      <c r="AV612" s="218"/>
      <c r="AW612" s="218"/>
      <c r="AX612" s="218"/>
      <c r="AY612" s="218"/>
      <c r="AZ612" s="218"/>
      <c r="BA612" s="218"/>
      <c r="BB612" s="218"/>
      <c r="BC612" s="218"/>
      <c r="BD612" s="218"/>
      <c r="BE612" s="218"/>
      <c r="BF612" s="218"/>
      <c r="BG612" s="218"/>
      <c r="BH612" s="218"/>
      <c r="BI612" s="218"/>
      <c r="BJ612" s="224"/>
      <c r="BK612" s="224"/>
    </row>
    <row r="613" spans="1:63" hidden="1" outlineLevel="1">
      <c r="A613" s="9"/>
      <c r="B613" s="44"/>
      <c r="C613" s="271">
        <f>Asset22</f>
        <v>0</v>
      </c>
      <c r="D613" s="9"/>
      <c r="E613" s="9"/>
      <c r="F613" s="143"/>
      <c r="G613" s="204">
        <f>Input!Q28</f>
        <v>0</v>
      </c>
      <c r="H613" s="122"/>
      <c r="I613" s="122"/>
      <c r="J613" s="122"/>
      <c r="K613" s="122"/>
      <c r="L613" s="122"/>
      <c r="M613" s="110"/>
      <c r="N613" s="110"/>
      <c r="O613" s="110"/>
      <c r="P613" s="110"/>
      <c r="Q613" s="110"/>
      <c r="R613" s="110"/>
      <c r="S613" s="110"/>
      <c r="T613" s="110"/>
      <c r="U613" s="110"/>
      <c r="V613" s="110"/>
      <c r="W613" s="110"/>
      <c r="X613" s="110"/>
      <c r="Y613" s="110"/>
      <c r="Z613" s="110"/>
      <c r="AA613" s="218"/>
      <c r="AB613" s="218"/>
      <c r="AC613" s="218"/>
      <c r="AD613" s="218"/>
      <c r="AE613" s="218"/>
      <c r="AF613" s="218"/>
      <c r="AG613" s="218"/>
      <c r="AH613" s="218"/>
      <c r="AI613" s="218"/>
      <c r="AJ613" s="218"/>
      <c r="AK613" s="218"/>
      <c r="AL613" s="218"/>
      <c r="AM613" s="218"/>
      <c r="AN613" s="218"/>
      <c r="AO613" s="218"/>
      <c r="AP613" s="218"/>
      <c r="AQ613" s="218"/>
      <c r="AR613" s="218"/>
      <c r="AS613" s="218"/>
      <c r="AT613" s="218"/>
      <c r="AU613" s="218"/>
      <c r="AV613" s="218"/>
      <c r="AW613" s="218"/>
      <c r="AX613" s="218"/>
      <c r="AY613" s="218"/>
      <c r="AZ613" s="218"/>
      <c r="BA613" s="218"/>
      <c r="BB613" s="218"/>
      <c r="BC613" s="218"/>
      <c r="BD613" s="218"/>
      <c r="BE613" s="218"/>
      <c r="BF613" s="218"/>
      <c r="BG613" s="218"/>
      <c r="BH613" s="218"/>
      <c r="BI613" s="218"/>
      <c r="BJ613" s="224"/>
      <c r="BK613" s="224"/>
    </row>
    <row r="614" spans="1:63" hidden="1" outlineLevel="1">
      <c r="A614" s="9"/>
      <c r="B614" s="44"/>
      <c r="C614" s="271">
        <f>Asset23</f>
        <v>0</v>
      </c>
      <c r="D614" s="9"/>
      <c r="E614" s="9"/>
      <c r="F614" s="143"/>
      <c r="G614" s="204">
        <f>Input!Q29</f>
        <v>0</v>
      </c>
      <c r="H614" s="122"/>
      <c r="I614" s="122"/>
      <c r="J614" s="122"/>
      <c r="K614" s="122"/>
      <c r="L614" s="122"/>
      <c r="M614" s="110"/>
      <c r="N614" s="110"/>
      <c r="O614" s="110"/>
      <c r="P614" s="110"/>
      <c r="Q614" s="110"/>
      <c r="R614" s="110"/>
      <c r="S614" s="110"/>
      <c r="T614" s="110"/>
      <c r="U614" s="110"/>
      <c r="V614" s="110"/>
      <c r="W614" s="110"/>
      <c r="X614" s="110"/>
      <c r="Y614" s="110"/>
      <c r="Z614" s="110"/>
      <c r="AA614" s="218"/>
      <c r="AB614" s="218"/>
      <c r="AC614" s="218"/>
      <c r="AD614" s="218"/>
      <c r="AE614" s="218"/>
      <c r="AF614" s="218"/>
      <c r="AG614" s="218"/>
      <c r="AH614" s="218"/>
      <c r="AI614" s="218"/>
      <c r="AJ614" s="218"/>
      <c r="AK614" s="218"/>
      <c r="AL614" s="218"/>
      <c r="AM614" s="218"/>
      <c r="AN614" s="218"/>
      <c r="AO614" s="218"/>
      <c r="AP614" s="218"/>
      <c r="AQ614" s="218"/>
      <c r="AR614" s="218"/>
      <c r="AS614" s="218"/>
      <c r="AT614" s="218"/>
      <c r="AU614" s="218"/>
      <c r="AV614" s="218"/>
      <c r="AW614" s="218"/>
      <c r="AX614" s="218"/>
      <c r="AY614" s="218"/>
      <c r="AZ614" s="218"/>
      <c r="BA614" s="218"/>
      <c r="BB614" s="218"/>
      <c r="BC614" s="218"/>
      <c r="BD614" s="218"/>
      <c r="BE614" s="218"/>
      <c r="BF614" s="218"/>
      <c r="BG614" s="218"/>
      <c r="BH614" s="218"/>
      <c r="BI614" s="218"/>
      <c r="BJ614" s="224"/>
      <c r="BK614" s="224"/>
    </row>
    <row r="615" spans="1:63" hidden="1" outlineLevel="1">
      <c r="A615" s="9"/>
      <c r="B615" s="44"/>
      <c r="C615" s="271">
        <f>Asset24</f>
        <v>0</v>
      </c>
      <c r="D615" s="9"/>
      <c r="E615" s="9"/>
      <c r="F615" s="143"/>
      <c r="G615" s="204">
        <f>Input!Q30</f>
        <v>0</v>
      </c>
      <c r="H615" s="122"/>
      <c r="I615" s="122"/>
      <c r="J615" s="122"/>
      <c r="K615" s="122"/>
      <c r="L615" s="122"/>
      <c r="M615" s="110"/>
      <c r="N615" s="110"/>
      <c r="O615" s="110"/>
      <c r="P615" s="110"/>
      <c r="Q615" s="110"/>
      <c r="R615" s="110"/>
      <c r="S615" s="110"/>
      <c r="T615" s="110"/>
      <c r="U615" s="110"/>
      <c r="V615" s="110"/>
      <c r="W615" s="110"/>
      <c r="X615" s="110"/>
      <c r="Y615" s="110"/>
      <c r="Z615" s="110"/>
      <c r="AA615" s="218"/>
      <c r="AB615" s="218"/>
      <c r="AC615" s="218"/>
      <c r="AD615" s="218"/>
      <c r="AE615" s="218"/>
      <c r="AF615" s="218"/>
      <c r="AG615" s="218"/>
      <c r="AH615" s="218"/>
      <c r="AI615" s="218"/>
      <c r="AJ615" s="218"/>
      <c r="AK615" s="218"/>
      <c r="AL615" s="218"/>
      <c r="AM615" s="218"/>
      <c r="AN615" s="218"/>
      <c r="AO615" s="218"/>
      <c r="AP615" s="218"/>
      <c r="AQ615" s="218"/>
      <c r="AR615" s="218"/>
      <c r="AS615" s="218"/>
      <c r="AT615" s="218"/>
      <c r="AU615" s="218"/>
      <c r="AV615" s="218"/>
      <c r="AW615" s="218"/>
      <c r="AX615" s="218"/>
      <c r="AY615" s="218"/>
      <c r="AZ615" s="218"/>
      <c r="BA615" s="218"/>
      <c r="BB615" s="218"/>
      <c r="BC615" s="218"/>
      <c r="BD615" s="218"/>
      <c r="BE615" s="218"/>
      <c r="BF615" s="218"/>
      <c r="BG615" s="218"/>
      <c r="BH615" s="218"/>
      <c r="BI615" s="218"/>
      <c r="BJ615" s="224"/>
      <c r="BK615" s="224"/>
    </row>
    <row r="616" spans="1:63" hidden="1" outlineLevel="1">
      <c r="A616" s="9"/>
      <c r="B616" s="44"/>
      <c r="C616" s="271">
        <f>Asset25</f>
        <v>0</v>
      </c>
      <c r="D616" s="9"/>
      <c r="E616" s="9"/>
      <c r="F616" s="143"/>
      <c r="G616" s="204">
        <f>Input!Q31</f>
        <v>0</v>
      </c>
      <c r="H616" s="122"/>
      <c r="I616" s="122"/>
      <c r="J616" s="122"/>
      <c r="K616" s="122"/>
      <c r="L616" s="122"/>
      <c r="M616" s="110"/>
      <c r="N616" s="110"/>
      <c r="O616" s="110"/>
      <c r="P616" s="110"/>
      <c r="Q616" s="110"/>
      <c r="R616" s="110"/>
      <c r="S616" s="110"/>
      <c r="T616" s="110"/>
      <c r="U616" s="110"/>
      <c r="V616" s="110"/>
      <c r="W616" s="110"/>
      <c r="X616" s="110"/>
      <c r="Y616" s="110"/>
      <c r="Z616" s="110"/>
      <c r="AA616" s="218"/>
      <c r="AB616" s="218"/>
      <c r="AC616" s="218"/>
      <c r="AD616" s="218"/>
      <c r="AE616" s="218"/>
      <c r="AF616" s="218"/>
      <c r="AG616" s="218"/>
      <c r="AH616" s="218"/>
      <c r="AI616" s="218"/>
      <c r="AJ616" s="218"/>
      <c r="AK616" s="218"/>
      <c r="AL616" s="218"/>
      <c r="AM616" s="218"/>
      <c r="AN616" s="218"/>
      <c r="AO616" s="218"/>
      <c r="AP616" s="218"/>
      <c r="AQ616" s="218"/>
      <c r="AR616" s="218"/>
      <c r="AS616" s="218"/>
      <c r="AT616" s="218"/>
      <c r="AU616" s="218"/>
      <c r="AV616" s="218"/>
      <c r="AW616" s="218"/>
      <c r="AX616" s="218"/>
      <c r="AY616" s="218"/>
      <c r="AZ616" s="218"/>
      <c r="BA616" s="218"/>
      <c r="BB616" s="218"/>
      <c r="BC616" s="218"/>
      <c r="BD616" s="218"/>
      <c r="BE616" s="218"/>
      <c r="BF616" s="218"/>
      <c r="BG616" s="218"/>
      <c r="BH616" s="218"/>
      <c r="BI616" s="218"/>
      <c r="BJ616" s="224"/>
      <c r="BK616" s="224"/>
    </row>
    <row r="617" spans="1:63" hidden="1" outlineLevel="1">
      <c r="A617" s="9"/>
      <c r="B617" s="44"/>
      <c r="C617" s="271">
        <f>Asset26</f>
        <v>0</v>
      </c>
      <c r="D617" s="9"/>
      <c r="E617" s="9"/>
      <c r="F617" s="143"/>
      <c r="G617" s="204">
        <f>Input!Q32</f>
        <v>0</v>
      </c>
      <c r="H617" s="122"/>
      <c r="I617" s="122"/>
      <c r="J617" s="122"/>
      <c r="K617" s="122"/>
      <c r="L617" s="122"/>
      <c r="M617" s="110"/>
      <c r="N617" s="110"/>
      <c r="O617" s="110"/>
      <c r="P617" s="110"/>
      <c r="Q617" s="110"/>
      <c r="R617" s="110"/>
      <c r="S617" s="110"/>
      <c r="T617" s="110"/>
      <c r="U617" s="110"/>
      <c r="V617" s="110"/>
      <c r="W617" s="110"/>
      <c r="X617" s="110"/>
      <c r="Y617" s="110"/>
      <c r="Z617" s="110"/>
      <c r="AA617" s="218"/>
      <c r="AB617" s="218"/>
      <c r="AC617" s="218"/>
      <c r="AD617" s="218"/>
      <c r="AE617" s="218"/>
      <c r="AF617" s="218"/>
      <c r="AG617" s="218"/>
      <c r="AH617" s="218"/>
      <c r="AI617" s="218"/>
      <c r="AJ617" s="218"/>
      <c r="AK617" s="218"/>
      <c r="AL617" s="218"/>
      <c r="AM617" s="218"/>
      <c r="AN617" s="218"/>
      <c r="AO617" s="218"/>
      <c r="AP617" s="218"/>
      <c r="AQ617" s="218"/>
      <c r="AR617" s="218"/>
      <c r="AS617" s="218"/>
      <c r="AT617" s="218"/>
      <c r="AU617" s="218"/>
      <c r="AV617" s="218"/>
      <c r="AW617" s="218"/>
      <c r="AX617" s="218"/>
      <c r="AY617" s="218"/>
      <c r="AZ617" s="218"/>
      <c r="BA617" s="218"/>
      <c r="BB617" s="218"/>
      <c r="BC617" s="218"/>
      <c r="BD617" s="218"/>
      <c r="BE617" s="218"/>
      <c r="BF617" s="218"/>
      <c r="BG617" s="218"/>
      <c r="BH617" s="218"/>
      <c r="BI617" s="218"/>
      <c r="BJ617" s="224"/>
      <c r="BK617" s="224"/>
    </row>
    <row r="618" spans="1:63" hidden="1" outlineLevel="1">
      <c r="A618" s="9"/>
      <c r="B618" s="44"/>
      <c r="C618" s="271">
        <f>Asset27</f>
        <v>0</v>
      </c>
      <c r="D618" s="9"/>
      <c r="E618" s="9"/>
      <c r="F618" s="143"/>
      <c r="G618" s="204">
        <f>Input!Q33</f>
        <v>0</v>
      </c>
      <c r="H618" s="122"/>
      <c r="I618" s="122"/>
      <c r="J618" s="122"/>
      <c r="K618" s="122"/>
      <c r="L618" s="122"/>
      <c r="M618" s="110"/>
      <c r="N618" s="110"/>
      <c r="O618" s="110"/>
      <c r="P618" s="110"/>
      <c r="Q618" s="110"/>
      <c r="R618" s="110"/>
      <c r="S618" s="110"/>
      <c r="T618" s="110"/>
      <c r="U618" s="110"/>
      <c r="V618" s="110"/>
      <c r="W618" s="110"/>
      <c r="X618" s="110"/>
      <c r="Y618" s="110"/>
      <c r="Z618" s="110"/>
      <c r="AA618" s="218"/>
      <c r="AB618" s="218"/>
      <c r="AC618" s="218"/>
      <c r="AD618" s="218"/>
      <c r="AE618" s="218"/>
      <c r="AF618" s="218"/>
      <c r="AG618" s="218"/>
      <c r="AH618" s="218"/>
      <c r="AI618" s="218"/>
      <c r="AJ618" s="218"/>
      <c r="AK618" s="218"/>
      <c r="AL618" s="218"/>
      <c r="AM618" s="218"/>
      <c r="AN618" s="218"/>
      <c r="AO618" s="218"/>
      <c r="AP618" s="218"/>
      <c r="AQ618" s="218"/>
      <c r="AR618" s="218"/>
      <c r="AS618" s="218"/>
      <c r="AT618" s="218"/>
      <c r="AU618" s="218"/>
      <c r="AV618" s="218"/>
      <c r="AW618" s="218"/>
      <c r="AX618" s="218"/>
      <c r="AY618" s="218"/>
      <c r="AZ618" s="218"/>
      <c r="BA618" s="218"/>
      <c r="BB618" s="218"/>
      <c r="BC618" s="218"/>
      <c r="BD618" s="218"/>
      <c r="BE618" s="218"/>
      <c r="BF618" s="218"/>
      <c r="BG618" s="218"/>
      <c r="BH618" s="218"/>
      <c r="BI618" s="218"/>
      <c r="BJ618" s="224"/>
      <c r="BK618" s="224"/>
    </row>
    <row r="619" spans="1:63" hidden="1" outlineLevel="1">
      <c r="A619" s="9"/>
      <c r="B619" s="44"/>
      <c r="C619" s="271">
        <f>Asset28</f>
        <v>0</v>
      </c>
      <c r="D619" s="9"/>
      <c r="E619" s="9"/>
      <c r="F619" s="143"/>
      <c r="G619" s="204">
        <f>Input!Q34</f>
        <v>0</v>
      </c>
      <c r="H619" s="122"/>
      <c r="I619" s="122"/>
      <c r="J619" s="122"/>
      <c r="K619" s="122"/>
      <c r="L619" s="122"/>
      <c r="M619" s="110"/>
      <c r="N619" s="110"/>
      <c r="O619" s="110"/>
      <c r="P619" s="110"/>
      <c r="Q619" s="110"/>
      <c r="R619" s="110"/>
      <c r="S619" s="110"/>
      <c r="T619" s="110"/>
      <c r="U619" s="110"/>
      <c r="V619" s="110"/>
      <c r="W619" s="110"/>
      <c r="X619" s="110"/>
      <c r="Y619" s="110"/>
      <c r="Z619" s="110"/>
      <c r="AA619" s="218"/>
      <c r="AB619" s="218"/>
      <c r="AC619" s="218"/>
      <c r="AD619" s="218"/>
      <c r="AE619" s="218"/>
      <c r="AF619" s="218"/>
      <c r="AG619" s="218"/>
      <c r="AH619" s="218"/>
      <c r="AI619" s="218"/>
      <c r="AJ619" s="218"/>
      <c r="AK619" s="218"/>
      <c r="AL619" s="218"/>
      <c r="AM619" s="218"/>
      <c r="AN619" s="218"/>
      <c r="AO619" s="218"/>
      <c r="AP619" s="218"/>
      <c r="AQ619" s="218"/>
      <c r="AR619" s="218"/>
      <c r="AS619" s="218"/>
      <c r="AT619" s="218"/>
      <c r="AU619" s="218"/>
      <c r="AV619" s="218"/>
      <c r="AW619" s="218"/>
      <c r="AX619" s="218"/>
      <c r="AY619" s="218"/>
      <c r="AZ619" s="218"/>
      <c r="BA619" s="218"/>
      <c r="BB619" s="218"/>
      <c r="BC619" s="218"/>
      <c r="BD619" s="218"/>
      <c r="BE619" s="218"/>
      <c r="BF619" s="218"/>
      <c r="BG619" s="218"/>
      <c r="BH619" s="218"/>
      <c r="BI619" s="218"/>
      <c r="BJ619" s="224"/>
      <c r="BK619" s="224"/>
    </row>
    <row r="620" spans="1:63" hidden="1" outlineLevel="1">
      <c r="A620" s="9"/>
      <c r="B620" s="44"/>
      <c r="C620" s="271">
        <f>Asset29</f>
        <v>0</v>
      </c>
      <c r="D620" s="9"/>
      <c r="E620" s="9"/>
      <c r="F620" s="143"/>
      <c r="G620" s="204">
        <f>Input!Q35</f>
        <v>0</v>
      </c>
      <c r="H620" s="122"/>
      <c r="I620" s="122"/>
      <c r="J620" s="122"/>
      <c r="K620" s="122"/>
      <c r="L620" s="122"/>
      <c r="M620" s="110"/>
      <c r="N620" s="110"/>
      <c r="O620" s="110"/>
      <c r="P620" s="110"/>
      <c r="Q620" s="110"/>
      <c r="R620" s="110"/>
      <c r="S620" s="110"/>
      <c r="T620" s="110"/>
      <c r="U620" s="110"/>
      <c r="V620" s="110"/>
      <c r="W620" s="110"/>
      <c r="X620" s="110"/>
      <c r="Y620" s="110"/>
      <c r="Z620" s="110"/>
      <c r="AA620" s="218"/>
      <c r="AB620" s="218"/>
      <c r="AC620" s="218"/>
      <c r="AD620" s="218"/>
      <c r="AE620" s="218"/>
      <c r="AF620" s="218"/>
      <c r="AG620" s="218"/>
      <c r="AH620" s="218"/>
      <c r="AI620" s="218"/>
      <c r="AJ620" s="218"/>
      <c r="AK620" s="218"/>
      <c r="AL620" s="218"/>
      <c r="AM620" s="218"/>
      <c r="AN620" s="218"/>
      <c r="AO620" s="218"/>
      <c r="AP620" s="218"/>
      <c r="AQ620" s="218"/>
      <c r="AR620" s="218"/>
      <c r="AS620" s="218"/>
      <c r="AT620" s="218"/>
      <c r="AU620" s="218"/>
      <c r="AV620" s="218"/>
      <c r="AW620" s="218"/>
      <c r="AX620" s="218"/>
      <c r="AY620" s="218"/>
      <c r="AZ620" s="218"/>
      <c r="BA620" s="218"/>
      <c r="BB620" s="218"/>
      <c r="BC620" s="218"/>
      <c r="BD620" s="218"/>
      <c r="BE620" s="218"/>
      <c r="BF620" s="218"/>
      <c r="BG620" s="218"/>
      <c r="BH620" s="218"/>
      <c r="BI620" s="218"/>
      <c r="BJ620" s="224"/>
      <c r="BK620" s="224"/>
    </row>
    <row r="621" spans="1:63" hidden="1" outlineLevel="1">
      <c r="A621" s="9"/>
      <c r="B621" s="44"/>
      <c r="C621" s="271">
        <f>Asset30</f>
        <v>0</v>
      </c>
      <c r="D621" s="9"/>
      <c r="E621" s="9"/>
      <c r="F621" s="143"/>
      <c r="G621" s="204">
        <f>Input!Q36</f>
        <v>0</v>
      </c>
      <c r="H621" s="122"/>
      <c r="I621" s="122"/>
      <c r="J621" s="122"/>
      <c r="K621" s="122"/>
      <c r="L621" s="122"/>
      <c r="M621" s="110"/>
      <c r="N621" s="110"/>
      <c r="O621" s="110"/>
      <c r="P621" s="110"/>
      <c r="Q621" s="110"/>
      <c r="R621" s="110"/>
      <c r="S621" s="110"/>
      <c r="T621" s="110"/>
      <c r="U621" s="110"/>
      <c r="V621" s="110"/>
      <c r="W621" s="110"/>
      <c r="X621" s="110"/>
      <c r="Y621" s="110"/>
      <c r="Z621" s="110"/>
      <c r="AA621" s="218"/>
      <c r="AB621" s="218"/>
      <c r="AC621" s="218"/>
      <c r="AD621" s="218"/>
      <c r="AE621" s="218"/>
      <c r="AF621" s="218"/>
      <c r="AG621" s="218"/>
      <c r="AH621" s="218"/>
      <c r="AI621" s="218"/>
      <c r="AJ621" s="218"/>
      <c r="AK621" s="218"/>
      <c r="AL621" s="218"/>
      <c r="AM621" s="218"/>
      <c r="AN621" s="218"/>
      <c r="AO621" s="218"/>
      <c r="AP621" s="218"/>
      <c r="AQ621" s="218"/>
      <c r="AR621" s="218"/>
      <c r="AS621" s="218"/>
      <c r="AT621" s="218"/>
      <c r="AU621" s="218"/>
      <c r="AV621" s="218"/>
      <c r="AW621" s="218"/>
      <c r="AX621" s="218"/>
      <c r="AY621" s="218"/>
      <c r="AZ621" s="218"/>
      <c r="BA621" s="218"/>
      <c r="BB621" s="218"/>
      <c r="BC621" s="218"/>
      <c r="BD621" s="218"/>
      <c r="BE621" s="218"/>
      <c r="BF621" s="218"/>
      <c r="BG621" s="218"/>
      <c r="BH621" s="218"/>
      <c r="BI621" s="218"/>
      <c r="BJ621" s="224"/>
      <c r="BK621" s="224"/>
    </row>
    <row r="622" spans="1:63" collapsed="1">
      <c r="A622" s="9"/>
      <c r="B622" s="44"/>
      <c r="C622" s="131"/>
      <c r="D622" s="9"/>
      <c r="E622" s="9"/>
      <c r="F622" s="143"/>
      <c r="G622" s="204"/>
      <c r="H622" s="122"/>
      <c r="I622" s="122"/>
      <c r="J622" s="122"/>
      <c r="K622" s="122"/>
      <c r="L622" s="122"/>
      <c r="M622" s="110"/>
      <c r="N622" s="110"/>
      <c r="O622" s="110"/>
      <c r="P622" s="110"/>
      <c r="Q622" s="110"/>
      <c r="R622" s="110"/>
      <c r="S622" s="110"/>
      <c r="T622" s="110"/>
      <c r="U622" s="110"/>
      <c r="V622" s="110"/>
      <c r="W622" s="110"/>
      <c r="X622" s="110"/>
      <c r="Y622" s="110"/>
      <c r="Z622" s="110"/>
      <c r="AA622" s="218"/>
      <c r="AB622" s="218"/>
      <c r="AC622" s="218"/>
      <c r="AD622" s="218"/>
      <c r="AE622" s="218"/>
      <c r="AF622" s="218"/>
      <c r="AG622" s="218"/>
      <c r="AH622" s="218"/>
      <c r="AI622" s="218"/>
      <c r="AJ622" s="218"/>
      <c r="AK622" s="218"/>
      <c r="AL622" s="218"/>
      <c r="AM622" s="218"/>
      <c r="AN622" s="218"/>
      <c r="AO622" s="218"/>
      <c r="AP622" s="218"/>
      <c r="AQ622" s="218"/>
      <c r="AR622" s="218"/>
      <c r="AS622" s="218"/>
      <c r="AT622" s="218"/>
      <c r="AU622" s="218"/>
      <c r="AV622" s="218"/>
      <c r="AW622" s="218"/>
      <c r="AX622" s="218"/>
      <c r="AY622" s="218"/>
      <c r="AZ622" s="218"/>
      <c r="BA622" s="218"/>
      <c r="BB622" s="218"/>
      <c r="BC622" s="218"/>
      <c r="BD622" s="218"/>
      <c r="BE622" s="218"/>
      <c r="BF622" s="218"/>
      <c r="BG622" s="218"/>
      <c r="BH622" s="218"/>
      <c r="BI622" s="218"/>
      <c r="BJ622" s="224"/>
      <c r="BK622" s="224"/>
    </row>
    <row r="623" spans="1:63">
      <c r="A623" s="9"/>
      <c r="B623" s="44" t="s">
        <v>38</v>
      </c>
      <c r="C623" s="131"/>
      <c r="D623" s="9"/>
      <c r="E623" s="9"/>
      <c r="F623" s="143"/>
      <c r="G623" s="336">
        <f>SUM(G624:G653)</f>
        <v>15.015729169743596</v>
      </c>
      <c r="H623" s="503"/>
      <c r="I623" s="122"/>
      <c r="J623" s="122"/>
      <c r="K623" s="122"/>
      <c r="L623" s="122"/>
      <c r="M623" s="110"/>
      <c r="N623" s="110"/>
      <c r="O623" s="110"/>
      <c r="P623" s="110"/>
      <c r="Q623" s="110"/>
      <c r="R623" s="110"/>
      <c r="S623" s="110"/>
      <c r="T623" s="110"/>
      <c r="U623" s="110"/>
      <c r="V623" s="110"/>
      <c r="W623" s="110"/>
      <c r="X623" s="110"/>
      <c r="Y623" s="110"/>
      <c r="Z623" s="110"/>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24"/>
      <c r="BK623" s="224"/>
    </row>
    <row r="624" spans="1:63" ht="12.75" hidden="1" customHeight="1" outlineLevel="1">
      <c r="A624" s="9"/>
      <c r="B624" s="9"/>
      <c r="C624" s="271" t="str">
        <f>Asset1</f>
        <v>Subtransmission</v>
      </c>
      <c r="D624" s="9"/>
      <c r="E624" s="9"/>
      <c r="F624" s="143"/>
      <c r="G624" s="204">
        <f>Input!R7</f>
        <v>-13.672105942844249</v>
      </c>
      <c r="H624" s="122"/>
      <c r="I624" s="122"/>
      <c r="J624" s="122"/>
      <c r="K624" s="122"/>
      <c r="L624" s="122"/>
      <c r="M624" s="110"/>
      <c r="N624" s="110"/>
      <c r="O624" s="110"/>
      <c r="P624" s="110"/>
      <c r="Q624" s="110"/>
      <c r="R624" s="110"/>
      <c r="S624" s="110"/>
      <c r="T624" s="110"/>
      <c r="U624" s="110"/>
      <c r="V624" s="110"/>
      <c r="W624" s="110"/>
      <c r="X624" s="110"/>
      <c r="Y624" s="110"/>
      <c r="Z624" s="110"/>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24"/>
      <c r="BK624" s="224"/>
    </row>
    <row r="625" spans="1:63" ht="12.75" hidden="1" customHeight="1" outlineLevel="1">
      <c r="A625" s="9"/>
      <c r="B625" s="44"/>
      <c r="C625" s="271" t="str">
        <f>Asset2</f>
        <v>Distribution system assets</v>
      </c>
      <c r="D625" s="9"/>
      <c r="E625" s="9"/>
      <c r="F625" s="143"/>
      <c r="G625" s="204">
        <f>Input!R8</f>
        <v>17.363918175697677</v>
      </c>
      <c r="H625" s="122"/>
      <c r="I625" s="122"/>
      <c r="J625" s="122"/>
      <c r="K625" s="122"/>
      <c r="L625" s="122"/>
      <c r="M625" s="110"/>
      <c r="N625" s="110"/>
      <c r="O625" s="110"/>
      <c r="P625" s="110"/>
      <c r="Q625" s="110"/>
      <c r="R625" s="110"/>
      <c r="S625" s="110"/>
      <c r="T625" s="110"/>
      <c r="U625" s="110"/>
      <c r="V625" s="110"/>
      <c r="W625" s="110"/>
      <c r="X625" s="110"/>
      <c r="Y625" s="110"/>
      <c r="Z625" s="110"/>
      <c r="AA625" s="218"/>
      <c r="AB625" s="218"/>
      <c r="AC625" s="218"/>
      <c r="AD625" s="218"/>
      <c r="AE625" s="218"/>
      <c r="AF625" s="218"/>
      <c r="AG625" s="218"/>
      <c r="AH625" s="218"/>
      <c r="AI625" s="218"/>
      <c r="AJ625" s="218"/>
      <c r="AK625" s="218"/>
      <c r="AL625" s="218"/>
      <c r="AM625" s="218"/>
      <c r="AN625" s="218"/>
      <c r="AO625" s="218"/>
      <c r="AP625" s="218"/>
      <c r="AQ625" s="218"/>
      <c r="AR625" s="218"/>
      <c r="AS625" s="218"/>
      <c r="AT625" s="218"/>
      <c r="AU625" s="218"/>
      <c r="AV625" s="218"/>
      <c r="AW625" s="218"/>
      <c r="AX625" s="218"/>
      <c r="AY625" s="218"/>
      <c r="AZ625" s="218"/>
      <c r="BA625" s="218"/>
      <c r="BB625" s="218"/>
      <c r="BC625" s="218"/>
      <c r="BD625" s="218"/>
      <c r="BE625" s="218"/>
      <c r="BF625" s="218"/>
      <c r="BG625" s="218"/>
      <c r="BH625" s="218"/>
      <c r="BI625" s="218"/>
      <c r="BJ625" s="224"/>
      <c r="BK625" s="224"/>
    </row>
    <row r="626" spans="1:63" ht="12.75" hidden="1" customHeight="1" outlineLevel="1">
      <c r="A626" s="9"/>
      <c r="B626" s="44"/>
      <c r="C626" s="271" t="str">
        <f>Asset3</f>
        <v>Standard metering</v>
      </c>
      <c r="D626" s="9"/>
      <c r="E626" s="9"/>
      <c r="F626" s="143"/>
      <c r="G626" s="204">
        <f>Input!R9</f>
        <v>5.2553909454792151</v>
      </c>
      <c r="H626" s="122"/>
      <c r="I626" s="122"/>
      <c r="J626" s="122"/>
      <c r="K626" s="122"/>
      <c r="L626" s="122"/>
      <c r="M626" s="110"/>
      <c r="N626" s="110"/>
      <c r="O626" s="110"/>
      <c r="P626" s="110"/>
      <c r="Q626" s="110"/>
      <c r="R626" s="110"/>
      <c r="S626" s="110"/>
      <c r="T626" s="110"/>
      <c r="U626" s="110"/>
      <c r="V626" s="110"/>
      <c r="W626" s="110"/>
      <c r="X626" s="110"/>
      <c r="Y626" s="110"/>
      <c r="Z626" s="110"/>
      <c r="AA626" s="218"/>
      <c r="AB626" s="218"/>
      <c r="AC626" s="218"/>
      <c r="AD626" s="218"/>
      <c r="AE626" s="218"/>
      <c r="AF626" s="218"/>
      <c r="AG626" s="218"/>
      <c r="AH626" s="218"/>
      <c r="AI626" s="218"/>
      <c r="AJ626" s="218"/>
      <c r="AK626" s="218"/>
      <c r="AL626" s="218"/>
      <c r="AM626" s="218"/>
      <c r="AN626" s="218"/>
      <c r="AO626" s="218"/>
      <c r="AP626" s="218"/>
      <c r="AQ626" s="218"/>
      <c r="AR626" s="218"/>
      <c r="AS626" s="218"/>
      <c r="AT626" s="218"/>
      <c r="AU626" s="218"/>
      <c r="AV626" s="218"/>
      <c r="AW626" s="218"/>
      <c r="AX626" s="218"/>
      <c r="AY626" s="218"/>
      <c r="AZ626" s="218"/>
      <c r="BA626" s="218"/>
      <c r="BB626" s="218"/>
      <c r="BC626" s="218"/>
      <c r="BD626" s="218"/>
      <c r="BE626" s="218"/>
      <c r="BF626" s="218"/>
      <c r="BG626" s="218"/>
      <c r="BH626" s="218"/>
      <c r="BI626" s="218"/>
      <c r="BJ626" s="224"/>
      <c r="BK626" s="224"/>
    </row>
    <row r="627" spans="1:63" ht="12.75" hidden="1" customHeight="1" outlineLevel="1">
      <c r="A627" s="9"/>
      <c r="B627" s="44"/>
      <c r="C627" s="271" t="str">
        <f>Asset4</f>
        <v>Public lighting</v>
      </c>
      <c r="D627" s="9"/>
      <c r="E627" s="9"/>
      <c r="F627" s="143"/>
      <c r="G627" s="204">
        <f>Input!R10</f>
        <v>0</v>
      </c>
      <c r="H627" s="122"/>
      <c r="I627" s="122"/>
      <c r="J627" s="122"/>
      <c r="K627" s="122"/>
      <c r="L627" s="122"/>
      <c r="M627" s="110"/>
      <c r="N627" s="110"/>
      <c r="O627" s="110"/>
      <c r="P627" s="110"/>
      <c r="Q627" s="110"/>
      <c r="R627" s="110"/>
      <c r="S627" s="110"/>
      <c r="T627" s="110"/>
      <c r="U627" s="110"/>
      <c r="V627" s="110"/>
      <c r="W627" s="110"/>
      <c r="X627" s="110"/>
      <c r="Y627" s="110"/>
      <c r="Z627" s="110"/>
      <c r="AA627" s="218"/>
      <c r="AB627" s="218"/>
      <c r="AC627" s="218"/>
      <c r="AD627" s="218"/>
      <c r="AE627" s="218"/>
      <c r="AF627" s="218"/>
      <c r="AG627" s="218"/>
      <c r="AH627" s="218"/>
      <c r="AI627" s="218"/>
      <c r="AJ627" s="218"/>
      <c r="AK627" s="218"/>
      <c r="AL627" s="218"/>
      <c r="AM627" s="218"/>
      <c r="AN627" s="218"/>
      <c r="AO627" s="218"/>
      <c r="AP627" s="218"/>
      <c r="AQ627" s="218"/>
      <c r="AR627" s="218"/>
      <c r="AS627" s="218"/>
      <c r="AT627" s="218"/>
      <c r="AU627" s="218"/>
      <c r="AV627" s="218"/>
      <c r="AW627" s="218"/>
      <c r="AX627" s="218"/>
      <c r="AY627" s="218"/>
      <c r="AZ627" s="218"/>
      <c r="BA627" s="218"/>
      <c r="BB627" s="218"/>
      <c r="BC627" s="218"/>
      <c r="BD627" s="218"/>
      <c r="BE627" s="218"/>
      <c r="BF627" s="218"/>
      <c r="BG627" s="218"/>
      <c r="BH627" s="218"/>
      <c r="BI627" s="218"/>
      <c r="BJ627" s="224"/>
      <c r="BK627" s="224"/>
    </row>
    <row r="628" spans="1:63" ht="12.75" hidden="1" customHeight="1" outlineLevel="1">
      <c r="A628" s="9"/>
      <c r="B628" s="44"/>
      <c r="C628" s="271" t="str">
        <f>Asset5</f>
        <v>SCADA/Network control</v>
      </c>
      <c r="D628" s="9"/>
      <c r="E628" s="9"/>
      <c r="F628" s="143"/>
      <c r="G628" s="204">
        <f>Input!R11</f>
        <v>-0.42581112592047277</v>
      </c>
      <c r="H628" s="122"/>
      <c r="I628" s="122"/>
      <c r="J628" s="122"/>
      <c r="K628" s="122"/>
      <c r="L628" s="122"/>
      <c r="M628" s="110"/>
      <c r="N628" s="110"/>
      <c r="O628" s="110"/>
      <c r="P628" s="110"/>
      <c r="Q628" s="110"/>
      <c r="R628" s="110"/>
      <c r="S628" s="110"/>
      <c r="T628" s="110"/>
      <c r="U628" s="110"/>
      <c r="V628" s="110"/>
      <c r="W628" s="110"/>
      <c r="X628" s="110"/>
      <c r="Y628" s="110"/>
      <c r="Z628" s="110"/>
      <c r="AA628" s="218"/>
      <c r="AB628" s="218"/>
      <c r="AC628" s="218"/>
      <c r="AD628" s="218"/>
      <c r="AE628" s="218"/>
      <c r="AF628" s="218"/>
      <c r="AG628" s="218"/>
      <c r="AH628" s="218"/>
      <c r="AI628" s="218"/>
      <c r="AJ628" s="218"/>
      <c r="AK628" s="218"/>
      <c r="AL628" s="218"/>
      <c r="AM628" s="218"/>
      <c r="AN628" s="218"/>
      <c r="AO628" s="218"/>
      <c r="AP628" s="218"/>
      <c r="AQ628" s="218"/>
      <c r="AR628" s="218"/>
      <c r="AS628" s="218"/>
      <c r="AT628" s="218"/>
      <c r="AU628" s="218"/>
      <c r="AV628" s="218"/>
      <c r="AW628" s="218"/>
      <c r="AX628" s="218"/>
      <c r="AY628" s="218"/>
      <c r="AZ628" s="218"/>
      <c r="BA628" s="218"/>
      <c r="BB628" s="218"/>
      <c r="BC628" s="218"/>
      <c r="BD628" s="218"/>
      <c r="BE628" s="218"/>
      <c r="BF628" s="218"/>
      <c r="BG628" s="218"/>
      <c r="BH628" s="218"/>
      <c r="BI628" s="218"/>
      <c r="BJ628" s="224"/>
      <c r="BK628" s="224"/>
    </row>
    <row r="629" spans="1:63" ht="12.75" hidden="1" customHeight="1" outlineLevel="1">
      <c r="A629" s="9"/>
      <c r="B629" s="44"/>
      <c r="C629" s="271" t="str">
        <f>Asset6</f>
        <v>Non-network general assets - IT</v>
      </c>
      <c r="D629" s="9"/>
      <c r="E629" s="9"/>
      <c r="F629" s="143"/>
      <c r="G629" s="204">
        <f>Input!R12</f>
        <v>4.9952742156455265</v>
      </c>
      <c r="H629" s="122"/>
      <c r="I629" s="122"/>
      <c r="J629" s="122"/>
      <c r="K629" s="122"/>
      <c r="L629" s="122"/>
      <c r="M629" s="110"/>
      <c r="N629" s="110"/>
      <c r="O629" s="110"/>
      <c r="P629" s="110"/>
      <c r="Q629" s="110"/>
      <c r="R629" s="110"/>
      <c r="S629" s="110"/>
      <c r="T629" s="110"/>
      <c r="U629" s="110"/>
      <c r="V629" s="110"/>
      <c r="W629" s="110"/>
      <c r="X629" s="110"/>
      <c r="Y629" s="110"/>
      <c r="Z629" s="110"/>
      <c r="AA629" s="218"/>
      <c r="AB629" s="218"/>
      <c r="AC629" s="218"/>
      <c r="AD629" s="218"/>
      <c r="AE629" s="218"/>
      <c r="AF629" s="218"/>
      <c r="AG629" s="218"/>
      <c r="AH629" s="218"/>
      <c r="AI629" s="218"/>
      <c r="AJ629" s="218"/>
      <c r="AK629" s="218"/>
      <c r="AL629" s="218"/>
      <c r="AM629" s="218"/>
      <c r="AN629" s="218"/>
      <c r="AO629" s="218"/>
      <c r="AP629" s="218"/>
      <c r="AQ629" s="218"/>
      <c r="AR629" s="218"/>
      <c r="AS629" s="218"/>
      <c r="AT629" s="218"/>
      <c r="AU629" s="218"/>
      <c r="AV629" s="218"/>
      <c r="AW629" s="218"/>
      <c r="AX629" s="218"/>
      <c r="AY629" s="218"/>
      <c r="AZ629" s="218"/>
      <c r="BA629" s="218"/>
      <c r="BB629" s="218"/>
      <c r="BC629" s="218"/>
      <c r="BD629" s="218"/>
      <c r="BE629" s="218"/>
      <c r="BF629" s="218"/>
      <c r="BG629" s="218"/>
      <c r="BH629" s="218"/>
      <c r="BI629" s="218"/>
      <c r="BJ629" s="224"/>
      <c r="BK629" s="224"/>
    </row>
    <row r="630" spans="1:63" ht="12.75" hidden="1" customHeight="1" outlineLevel="1">
      <c r="A630" s="9"/>
      <c r="B630" s="44"/>
      <c r="C630" s="271" t="str">
        <f>Asset7</f>
        <v>Non-network general assets - Other</v>
      </c>
      <c r="D630" s="9"/>
      <c r="E630" s="9"/>
      <c r="F630" s="143"/>
      <c r="G630" s="204">
        <f>Input!R13</f>
        <v>1.499062901685899</v>
      </c>
      <c r="H630" s="122"/>
      <c r="I630" s="122"/>
      <c r="J630" s="122"/>
      <c r="K630" s="122"/>
      <c r="L630" s="122"/>
      <c r="M630" s="110"/>
      <c r="N630" s="110"/>
      <c r="O630" s="110"/>
      <c r="P630" s="110"/>
      <c r="Q630" s="110"/>
      <c r="R630" s="110"/>
      <c r="S630" s="110"/>
      <c r="T630" s="110"/>
      <c r="U630" s="110"/>
      <c r="V630" s="110"/>
      <c r="W630" s="110"/>
      <c r="X630" s="110"/>
      <c r="Y630" s="110"/>
      <c r="Z630" s="110"/>
      <c r="AA630" s="218"/>
      <c r="AB630" s="218"/>
      <c r="AC630" s="218"/>
      <c r="AD630" s="218"/>
      <c r="AE630" s="218"/>
      <c r="AF630" s="218"/>
      <c r="AG630" s="218"/>
      <c r="AH630" s="218"/>
      <c r="AI630" s="218"/>
      <c r="AJ630" s="218"/>
      <c r="AK630" s="218"/>
      <c r="AL630" s="218"/>
      <c r="AM630" s="218"/>
      <c r="AN630" s="218"/>
      <c r="AO630" s="218"/>
      <c r="AP630" s="218"/>
      <c r="AQ630" s="218"/>
      <c r="AR630" s="218"/>
      <c r="AS630" s="218"/>
      <c r="AT630" s="218"/>
      <c r="AU630" s="218"/>
      <c r="AV630" s="218"/>
      <c r="AW630" s="218"/>
      <c r="AX630" s="218"/>
      <c r="AY630" s="218"/>
      <c r="AZ630" s="218"/>
      <c r="BA630" s="218"/>
      <c r="BB630" s="218"/>
      <c r="BC630" s="218"/>
      <c r="BD630" s="218"/>
      <c r="BE630" s="218"/>
      <c r="BF630" s="218"/>
      <c r="BG630" s="218"/>
      <c r="BH630" s="218"/>
      <c r="BI630" s="218"/>
      <c r="BJ630" s="224"/>
      <c r="BK630" s="224"/>
    </row>
    <row r="631" spans="1:63" ht="12.75" hidden="1" customHeight="1" outlineLevel="1">
      <c r="A631" s="9"/>
      <c r="B631" s="44"/>
      <c r="C631" s="271" t="str">
        <f>Asset8</f>
        <v>Equity Raising Costs</v>
      </c>
      <c r="D631" s="9"/>
      <c r="E631" s="9"/>
      <c r="F631" s="143"/>
      <c r="G631" s="204">
        <f>Input!R14</f>
        <v>0</v>
      </c>
      <c r="H631" s="122"/>
      <c r="I631" s="122"/>
      <c r="J631" s="122"/>
      <c r="K631" s="122"/>
      <c r="L631" s="122"/>
      <c r="M631" s="110"/>
      <c r="N631" s="110"/>
      <c r="O631" s="110"/>
      <c r="P631" s="110"/>
      <c r="Q631" s="110"/>
      <c r="R631" s="110"/>
      <c r="S631" s="110"/>
      <c r="T631" s="110"/>
      <c r="U631" s="110"/>
      <c r="V631" s="110"/>
      <c r="W631" s="110"/>
      <c r="X631" s="110"/>
      <c r="Y631" s="110"/>
      <c r="Z631" s="110"/>
      <c r="AA631" s="218"/>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218"/>
      <c r="BE631" s="218"/>
      <c r="BF631" s="218"/>
      <c r="BG631" s="218"/>
      <c r="BH631" s="218"/>
      <c r="BI631" s="218"/>
      <c r="BJ631" s="224"/>
      <c r="BK631" s="224"/>
    </row>
    <row r="632" spans="1:63" ht="12.75" hidden="1" customHeight="1" outlineLevel="1">
      <c r="A632" s="9"/>
      <c r="B632" s="44"/>
      <c r="C632" s="271">
        <f>Asset9</f>
        <v>0</v>
      </c>
      <c r="D632" s="9"/>
      <c r="E632" s="9"/>
      <c r="F632" s="143"/>
      <c r="G632" s="204">
        <f>Input!R15</f>
        <v>0</v>
      </c>
      <c r="H632" s="122"/>
      <c r="I632" s="122"/>
      <c r="J632" s="122"/>
      <c r="K632" s="122"/>
      <c r="L632" s="122"/>
      <c r="M632" s="110"/>
      <c r="N632" s="110"/>
      <c r="O632" s="110"/>
      <c r="P632" s="110"/>
      <c r="Q632" s="110"/>
      <c r="R632" s="110"/>
      <c r="S632" s="110"/>
      <c r="T632" s="110"/>
      <c r="U632" s="110"/>
      <c r="V632" s="110"/>
      <c r="W632" s="110"/>
      <c r="X632" s="110"/>
      <c r="Y632" s="110"/>
      <c r="Z632" s="110"/>
      <c r="AA632" s="218"/>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218"/>
      <c r="AW632" s="218"/>
      <c r="AX632" s="218"/>
      <c r="AY632" s="218"/>
      <c r="AZ632" s="218"/>
      <c r="BA632" s="218"/>
      <c r="BB632" s="218"/>
      <c r="BC632" s="218"/>
      <c r="BD632" s="218"/>
      <c r="BE632" s="218"/>
      <c r="BF632" s="218"/>
      <c r="BG632" s="218"/>
      <c r="BH632" s="218"/>
      <c r="BI632" s="218"/>
      <c r="BJ632" s="224"/>
      <c r="BK632" s="224"/>
    </row>
    <row r="633" spans="1:63" ht="12.75" hidden="1" customHeight="1" outlineLevel="1">
      <c r="A633" s="9"/>
      <c r="B633" s="44"/>
      <c r="C633" s="271">
        <f>Asset10</f>
        <v>0</v>
      </c>
      <c r="D633" s="9"/>
      <c r="E633" s="9"/>
      <c r="F633" s="143"/>
      <c r="G633" s="204">
        <f>Input!R16</f>
        <v>0</v>
      </c>
      <c r="H633" s="122"/>
      <c r="I633" s="122"/>
      <c r="J633" s="122"/>
      <c r="K633" s="122"/>
      <c r="L633" s="122"/>
      <c r="M633" s="110"/>
      <c r="N633" s="110"/>
      <c r="O633" s="110"/>
      <c r="P633" s="110"/>
      <c r="Q633" s="110"/>
      <c r="R633" s="110"/>
      <c r="S633" s="110"/>
      <c r="T633" s="110"/>
      <c r="U633" s="110"/>
      <c r="V633" s="110"/>
      <c r="W633" s="110"/>
      <c r="X633" s="110"/>
      <c r="Y633" s="110"/>
      <c r="Z633" s="110"/>
      <c r="AA633" s="218"/>
      <c r="AB633" s="218"/>
      <c r="AC633" s="218"/>
      <c r="AD633" s="218"/>
      <c r="AE633" s="218"/>
      <c r="AF633" s="218"/>
      <c r="AG633" s="218"/>
      <c r="AH633" s="218"/>
      <c r="AI633" s="218"/>
      <c r="AJ633" s="218"/>
      <c r="AK633" s="218"/>
      <c r="AL633" s="218"/>
      <c r="AM633" s="218"/>
      <c r="AN633" s="218"/>
      <c r="AO633" s="218"/>
      <c r="AP633" s="218"/>
      <c r="AQ633" s="218"/>
      <c r="AR633" s="218"/>
      <c r="AS633" s="218"/>
      <c r="AT633" s="218"/>
      <c r="AU633" s="218"/>
      <c r="AV633" s="218"/>
      <c r="AW633" s="218"/>
      <c r="AX633" s="218"/>
      <c r="AY633" s="218"/>
      <c r="AZ633" s="218"/>
      <c r="BA633" s="218"/>
      <c r="BB633" s="218"/>
      <c r="BC633" s="218"/>
      <c r="BD633" s="218"/>
      <c r="BE633" s="218"/>
      <c r="BF633" s="218"/>
      <c r="BG633" s="218"/>
      <c r="BH633" s="218"/>
      <c r="BI633" s="218"/>
      <c r="BJ633" s="224"/>
      <c r="BK633" s="224"/>
    </row>
    <row r="634" spans="1:63" ht="12.75" hidden="1" customHeight="1" outlineLevel="1">
      <c r="A634" s="9"/>
      <c r="B634" s="44"/>
      <c r="C634" s="271">
        <f>Asset11</f>
        <v>0</v>
      </c>
      <c r="D634" s="9"/>
      <c r="E634" s="9"/>
      <c r="F634" s="143"/>
      <c r="G634" s="204">
        <f>Input!R17</f>
        <v>0</v>
      </c>
      <c r="H634" s="122"/>
      <c r="I634" s="122"/>
      <c r="J634" s="122"/>
      <c r="K634" s="122"/>
      <c r="L634" s="122"/>
      <c r="M634" s="110"/>
      <c r="N634" s="110"/>
      <c r="O634" s="110"/>
      <c r="P634" s="110"/>
      <c r="Q634" s="110"/>
      <c r="R634" s="110"/>
      <c r="S634" s="110"/>
      <c r="T634" s="110"/>
      <c r="U634" s="110"/>
      <c r="V634" s="110"/>
      <c r="W634" s="110"/>
      <c r="X634" s="110"/>
      <c r="Y634" s="110"/>
      <c r="Z634" s="110"/>
      <c r="AA634" s="218"/>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218"/>
      <c r="AW634" s="218"/>
      <c r="AX634" s="218"/>
      <c r="AY634" s="218"/>
      <c r="AZ634" s="218"/>
      <c r="BA634" s="218"/>
      <c r="BB634" s="218"/>
      <c r="BC634" s="218"/>
      <c r="BD634" s="218"/>
      <c r="BE634" s="218"/>
      <c r="BF634" s="218"/>
      <c r="BG634" s="218"/>
      <c r="BH634" s="218"/>
      <c r="BI634" s="218"/>
      <c r="BJ634" s="224"/>
      <c r="BK634" s="224"/>
    </row>
    <row r="635" spans="1:63" ht="12.75" hidden="1" customHeight="1" outlineLevel="1">
      <c r="A635" s="9"/>
      <c r="B635" s="44"/>
      <c r="C635" s="271">
        <f>Asset12</f>
        <v>0</v>
      </c>
      <c r="D635" s="9"/>
      <c r="E635" s="9"/>
      <c r="F635" s="143"/>
      <c r="G635" s="204">
        <f>Input!R18</f>
        <v>0</v>
      </c>
      <c r="H635" s="122"/>
      <c r="I635" s="122"/>
      <c r="J635" s="122"/>
      <c r="K635" s="122"/>
      <c r="L635" s="122"/>
      <c r="M635" s="110"/>
      <c r="N635" s="110"/>
      <c r="O635" s="110"/>
      <c r="P635" s="110"/>
      <c r="Q635" s="110"/>
      <c r="R635" s="110"/>
      <c r="S635" s="110"/>
      <c r="T635" s="110"/>
      <c r="U635" s="110"/>
      <c r="V635" s="110"/>
      <c r="W635" s="110"/>
      <c r="X635" s="110"/>
      <c r="Y635" s="110"/>
      <c r="Z635" s="110"/>
      <c r="AA635" s="218"/>
      <c r="AB635" s="218"/>
      <c r="AC635" s="218"/>
      <c r="AD635" s="218"/>
      <c r="AE635" s="218"/>
      <c r="AF635" s="218"/>
      <c r="AG635" s="218"/>
      <c r="AH635" s="218"/>
      <c r="AI635" s="218"/>
      <c r="AJ635" s="218"/>
      <c r="AK635" s="218"/>
      <c r="AL635" s="218"/>
      <c r="AM635" s="218"/>
      <c r="AN635" s="218"/>
      <c r="AO635" s="218"/>
      <c r="AP635" s="218"/>
      <c r="AQ635" s="218"/>
      <c r="AR635" s="218"/>
      <c r="AS635" s="218"/>
      <c r="AT635" s="218"/>
      <c r="AU635" s="218"/>
      <c r="AV635" s="218"/>
      <c r="AW635" s="218"/>
      <c r="AX635" s="218"/>
      <c r="AY635" s="218"/>
      <c r="AZ635" s="218"/>
      <c r="BA635" s="218"/>
      <c r="BB635" s="218"/>
      <c r="BC635" s="218"/>
      <c r="BD635" s="218"/>
      <c r="BE635" s="218"/>
      <c r="BF635" s="218"/>
      <c r="BG635" s="218"/>
      <c r="BH635" s="218"/>
      <c r="BI635" s="218"/>
      <c r="BJ635" s="224"/>
      <c r="BK635" s="224"/>
    </row>
    <row r="636" spans="1:63" ht="12.75" hidden="1" customHeight="1" outlineLevel="1">
      <c r="A636" s="9"/>
      <c r="B636" s="44"/>
      <c r="C636" s="271">
        <f>Asset13</f>
        <v>0</v>
      </c>
      <c r="D636" s="9"/>
      <c r="E636" s="9"/>
      <c r="F636" s="143"/>
      <c r="G636" s="204">
        <f>Input!R19</f>
        <v>0</v>
      </c>
      <c r="H636" s="122"/>
      <c r="I636" s="122"/>
      <c r="J636" s="122"/>
      <c r="K636" s="122"/>
      <c r="L636" s="122"/>
      <c r="M636" s="110"/>
      <c r="N636" s="110"/>
      <c r="O636" s="110"/>
      <c r="P636" s="110"/>
      <c r="Q636" s="110"/>
      <c r="R636" s="110"/>
      <c r="S636" s="110"/>
      <c r="T636" s="110"/>
      <c r="U636" s="110"/>
      <c r="V636" s="110"/>
      <c r="W636" s="110"/>
      <c r="X636" s="110"/>
      <c r="Y636" s="110"/>
      <c r="Z636" s="110"/>
      <c r="AA636" s="218"/>
      <c r="AB636" s="218"/>
      <c r="AC636" s="218"/>
      <c r="AD636" s="218"/>
      <c r="AE636" s="218"/>
      <c r="AF636" s="218"/>
      <c r="AG636" s="218"/>
      <c r="AH636" s="218"/>
      <c r="AI636" s="218"/>
      <c r="AJ636" s="218"/>
      <c r="AK636" s="218"/>
      <c r="AL636" s="218"/>
      <c r="AM636" s="218"/>
      <c r="AN636" s="218"/>
      <c r="AO636" s="218"/>
      <c r="AP636" s="218"/>
      <c r="AQ636" s="218"/>
      <c r="AR636" s="218"/>
      <c r="AS636" s="218"/>
      <c r="AT636" s="218"/>
      <c r="AU636" s="218"/>
      <c r="AV636" s="218"/>
      <c r="AW636" s="218"/>
      <c r="AX636" s="218"/>
      <c r="AY636" s="218"/>
      <c r="AZ636" s="218"/>
      <c r="BA636" s="218"/>
      <c r="BB636" s="218"/>
      <c r="BC636" s="218"/>
      <c r="BD636" s="218"/>
      <c r="BE636" s="218"/>
      <c r="BF636" s="218"/>
      <c r="BG636" s="218"/>
      <c r="BH636" s="218"/>
      <c r="BI636" s="218"/>
      <c r="BJ636" s="224"/>
      <c r="BK636" s="224"/>
    </row>
    <row r="637" spans="1:63" ht="12.75" hidden="1" customHeight="1" outlineLevel="1">
      <c r="A637" s="9"/>
      <c r="B637" s="44"/>
      <c r="C637" s="271">
        <f>Asset14</f>
        <v>0</v>
      </c>
      <c r="D637" s="9"/>
      <c r="E637" s="9"/>
      <c r="F637" s="143"/>
      <c r="G637" s="204">
        <f>Input!R20</f>
        <v>0</v>
      </c>
      <c r="H637" s="122"/>
      <c r="I637" s="122"/>
      <c r="J637" s="122"/>
      <c r="K637" s="122"/>
      <c r="L637" s="122"/>
      <c r="M637" s="110"/>
      <c r="N637" s="110"/>
      <c r="O637" s="110"/>
      <c r="P637" s="110"/>
      <c r="Q637" s="110"/>
      <c r="R637" s="110"/>
      <c r="S637" s="110"/>
      <c r="T637" s="110"/>
      <c r="U637" s="110"/>
      <c r="V637" s="110"/>
      <c r="W637" s="110"/>
      <c r="X637" s="110"/>
      <c r="Y637" s="110"/>
      <c r="Z637" s="110"/>
      <c r="AA637" s="218"/>
      <c r="AB637" s="218"/>
      <c r="AC637" s="218"/>
      <c r="AD637" s="218"/>
      <c r="AE637" s="218"/>
      <c r="AF637" s="218"/>
      <c r="AG637" s="218"/>
      <c r="AH637" s="218"/>
      <c r="AI637" s="218"/>
      <c r="AJ637" s="218"/>
      <c r="AK637" s="218"/>
      <c r="AL637" s="218"/>
      <c r="AM637" s="218"/>
      <c r="AN637" s="218"/>
      <c r="AO637" s="218"/>
      <c r="AP637" s="218"/>
      <c r="AQ637" s="218"/>
      <c r="AR637" s="218"/>
      <c r="AS637" s="218"/>
      <c r="AT637" s="218"/>
      <c r="AU637" s="218"/>
      <c r="AV637" s="218"/>
      <c r="AW637" s="218"/>
      <c r="AX637" s="218"/>
      <c r="AY637" s="218"/>
      <c r="AZ637" s="218"/>
      <c r="BA637" s="218"/>
      <c r="BB637" s="218"/>
      <c r="BC637" s="218"/>
      <c r="BD637" s="218"/>
      <c r="BE637" s="218"/>
      <c r="BF637" s="218"/>
      <c r="BG637" s="218"/>
      <c r="BH637" s="218"/>
      <c r="BI637" s="218"/>
      <c r="BJ637" s="224"/>
      <c r="BK637" s="224"/>
    </row>
    <row r="638" spans="1:63" ht="12.75" hidden="1" customHeight="1" outlineLevel="1">
      <c r="A638" s="9"/>
      <c r="B638" s="44"/>
      <c r="C638" s="271">
        <f>Asset15</f>
        <v>0</v>
      </c>
      <c r="D638" s="9"/>
      <c r="E638" s="9"/>
      <c r="F638" s="143"/>
      <c r="G638" s="204">
        <f>Input!R21</f>
        <v>0</v>
      </c>
      <c r="H638" s="122"/>
      <c r="I638" s="122"/>
      <c r="J638" s="122"/>
      <c r="K638" s="122"/>
      <c r="L638" s="122"/>
      <c r="M638" s="110"/>
      <c r="N638" s="110"/>
      <c r="O638" s="110"/>
      <c r="P638" s="110"/>
      <c r="Q638" s="110"/>
      <c r="R638" s="110"/>
      <c r="S638" s="110"/>
      <c r="T638" s="110"/>
      <c r="U638" s="110"/>
      <c r="V638" s="110"/>
      <c r="W638" s="110"/>
      <c r="X638" s="110"/>
      <c r="Y638" s="110"/>
      <c r="Z638" s="110"/>
      <c r="AA638" s="218"/>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218"/>
      <c r="AW638" s="218"/>
      <c r="AX638" s="218"/>
      <c r="AY638" s="218"/>
      <c r="AZ638" s="218"/>
      <c r="BA638" s="218"/>
      <c r="BB638" s="218"/>
      <c r="BC638" s="218"/>
      <c r="BD638" s="218"/>
      <c r="BE638" s="218"/>
      <c r="BF638" s="218"/>
      <c r="BG638" s="218"/>
      <c r="BH638" s="218"/>
      <c r="BI638" s="218"/>
      <c r="BJ638" s="224"/>
      <c r="BK638" s="224"/>
    </row>
    <row r="639" spans="1:63" ht="12.75" hidden="1" customHeight="1" outlineLevel="1">
      <c r="A639" s="9"/>
      <c r="B639" s="44"/>
      <c r="C639" s="271">
        <f>Asset16</f>
        <v>0</v>
      </c>
      <c r="D639" s="9"/>
      <c r="E639" s="9"/>
      <c r="F639" s="143"/>
      <c r="G639" s="204">
        <f>Input!R22</f>
        <v>0</v>
      </c>
      <c r="H639" s="122"/>
      <c r="I639" s="122"/>
      <c r="J639" s="122"/>
      <c r="K639" s="122"/>
      <c r="L639" s="122"/>
      <c r="M639" s="110"/>
      <c r="N639" s="110"/>
      <c r="O639" s="110"/>
      <c r="P639" s="110"/>
      <c r="Q639" s="110"/>
      <c r="R639" s="110"/>
      <c r="S639" s="110"/>
      <c r="T639" s="110"/>
      <c r="U639" s="110"/>
      <c r="V639" s="110"/>
      <c r="W639" s="110"/>
      <c r="X639" s="110"/>
      <c r="Y639" s="110"/>
      <c r="Z639" s="110"/>
      <c r="AA639" s="218"/>
      <c r="AB639" s="218"/>
      <c r="AC639" s="218"/>
      <c r="AD639" s="218"/>
      <c r="AE639" s="218"/>
      <c r="AF639" s="218"/>
      <c r="AG639" s="218"/>
      <c r="AH639" s="218"/>
      <c r="AI639" s="218"/>
      <c r="AJ639" s="218"/>
      <c r="AK639" s="218"/>
      <c r="AL639" s="218"/>
      <c r="AM639" s="218"/>
      <c r="AN639" s="218"/>
      <c r="AO639" s="218"/>
      <c r="AP639" s="218"/>
      <c r="AQ639" s="218"/>
      <c r="AR639" s="218"/>
      <c r="AS639" s="218"/>
      <c r="AT639" s="218"/>
      <c r="AU639" s="218"/>
      <c r="AV639" s="218"/>
      <c r="AW639" s="218"/>
      <c r="AX639" s="218"/>
      <c r="AY639" s="218"/>
      <c r="AZ639" s="218"/>
      <c r="BA639" s="218"/>
      <c r="BB639" s="218"/>
      <c r="BC639" s="218"/>
      <c r="BD639" s="218"/>
      <c r="BE639" s="218"/>
      <c r="BF639" s="218"/>
      <c r="BG639" s="218"/>
      <c r="BH639" s="218"/>
      <c r="BI639" s="218"/>
      <c r="BJ639" s="224"/>
      <c r="BK639" s="224"/>
    </row>
    <row r="640" spans="1:63" ht="12.75" hidden="1" customHeight="1" outlineLevel="1">
      <c r="A640" s="9"/>
      <c r="B640" s="44"/>
      <c r="C640" s="271">
        <f>Asset17</f>
        <v>0</v>
      </c>
      <c r="D640" s="9"/>
      <c r="E640" s="9"/>
      <c r="F640" s="143"/>
      <c r="G640" s="204">
        <f>Input!R23</f>
        <v>0</v>
      </c>
      <c r="H640" s="122"/>
      <c r="I640" s="122"/>
      <c r="J640" s="122"/>
      <c r="K640" s="122"/>
      <c r="L640" s="122"/>
      <c r="M640" s="110"/>
      <c r="N640" s="110"/>
      <c r="O640" s="110"/>
      <c r="P640" s="110"/>
      <c r="Q640" s="110"/>
      <c r="R640" s="110"/>
      <c r="S640" s="110"/>
      <c r="T640" s="110"/>
      <c r="U640" s="110"/>
      <c r="V640" s="110"/>
      <c r="W640" s="110"/>
      <c r="X640" s="110"/>
      <c r="Y640" s="110"/>
      <c r="Z640" s="110"/>
      <c r="AA640" s="218"/>
      <c r="AB640" s="218"/>
      <c r="AC640" s="218"/>
      <c r="AD640" s="218"/>
      <c r="AE640" s="218"/>
      <c r="AF640" s="218"/>
      <c r="AG640" s="218"/>
      <c r="AH640" s="218"/>
      <c r="AI640" s="218"/>
      <c r="AJ640" s="218"/>
      <c r="AK640" s="218"/>
      <c r="AL640" s="218"/>
      <c r="AM640" s="218"/>
      <c r="AN640" s="218"/>
      <c r="AO640" s="218"/>
      <c r="AP640" s="218"/>
      <c r="AQ640" s="218"/>
      <c r="AR640" s="218"/>
      <c r="AS640" s="218"/>
      <c r="AT640" s="218"/>
      <c r="AU640" s="218"/>
      <c r="AV640" s="218"/>
      <c r="AW640" s="218"/>
      <c r="AX640" s="218"/>
      <c r="AY640" s="218"/>
      <c r="AZ640" s="218"/>
      <c r="BA640" s="218"/>
      <c r="BB640" s="218"/>
      <c r="BC640" s="218"/>
      <c r="BD640" s="218"/>
      <c r="BE640" s="218"/>
      <c r="BF640" s="218"/>
      <c r="BG640" s="218"/>
      <c r="BH640" s="218"/>
      <c r="BI640" s="218"/>
      <c r="BJ640" s="224"/>
      <c r="BK640" s="224"/>
    </row>
    <row r="641" spans="1:63" ht="12.75" hidden="1" customHeight="1" outlineLevel="1">
      <c r="A641" s="9"/>
      <c r="B641" s="44"/>
      <c r="C641" s="271">
        <f>Asset18</f>
        <v>0</v>
      </c>
      <c r="D641" s="9"/>
      <c r="E641" s="9"/>
      <c r="F641" s="143"/>
      <c r="G641" s="204">
        <f>Input!R24</f>
        <v>0</v>
      </c>
      <c r="H641" s="122"/>
      <c r="I641" s="122"/>
      <c r="J641" s="122"/>
      <c r="K641" s="122"/>
      <c r="L641" s="122"/>
      <c r="M641" s="110"/>
      <c r="N641" s="110"/>
      <c r="O641" s="110"/>
      <c r="P641" s="110"/>
      <c r="Q641" s="110"/>
      <c r="R641" s="110"/>
      <c r="S641" s="110"/>
      <c r="T641" s="110"/>
      <c r="U641" s="110"/>
      <c r="V641" s="110"/>
      <c r="W641" s="110"/>
      <c r="X641" s="110"/>
      <c r="Y641" s="110"/>
      <c r="Z641" s="110"/>
      <c r="AA641" s="218"/>
      <c r="AB641" s="218"/>
      <c r="AC641" s="218"/>
      <c r="AD641" s="218"/>
      <c r="AE641" s="218"/>
      <c r="AF641" s="218"/>
      <c r="AG641" s="218"/>
      <c r="AH641" s="218"/>
      <c r="AI641" s="218"/>
      <c r="AJ641" s="218"/>
      <c r="AK641" s="218"/>
      <c r="AL641" s="218"/>
      <c r="AM641" s="218"/>
      <c r="AN641" s="218"/>
      <c r="AO641" s="218"/>
      <c r="AP641" s="218"/>
      <c r="AQ641" s="218"/>
      <c r="AR641" s="218"/>
      <c r="AS641" s="218"/>
      <c r="AT641" s="218"/>
      <c r="AU641" s="218"/>
      <c r="AV641" s="218"/>
      <c r="AW641" s="218"/>
      <c r="AX641" s="218"/>
      <c r="AY641" s="218"/>
      <c r="AZ641" s="218"/>
      <c r="BA641" s="218"/>
      <c r="BB641" s="218"/>
      <c r="BC641" s="218"/>
      <c r="BD641" s="218"/>
      <c r="BE641" s="218"/>
      <c r="BF641" s="218"/>
      <c r="BG641" s="218"/>
      <c r="BH641" s="218"/>
      <c r="BI641" s="218"/>
      <c r="BJ641" s="224"/>
      <c r="BK641" s="224"/>
    </row>
    <row r="642" spans="1:63" ht="12.75" hidden="1" customHeight="1" outlineLevel="1">
      <c r="A642" s="9"/>
      <c r="B642" s="44"/>
      <c r="C642" s="271">
        <f>Asset19</f>
        <v>0</v>
      </c>
      <c r="D642" s="9"/>
      <c r="E642" s="9"/>
      <c r="F642" s="143"/>
      <c r="G642" s="204">
        <f>Input!R25</f>
        <v>0</v>
      </c>
      <c r="H642" s="122"/>
      <c r="I642" s="122"/>
      <c r="J642" s="122"/>
      <c r="K642" s="122"/>
      <c r="L642" s="122"/>
      <c r="M642" s="110"/>
      <c r="N642" s="110"/>
      <c r="O642" s="110"/>
      <c r="P642" s="110"/>
      <c r="Q642" s="110"/>
      <c r="R642" s="110"/>
      <c r="S642" s="110"/>
      <c r="T642" s="110"/>
      <c r="U642" s="110"/>
      <c r="V642" s="110"/>
      <c r="W642" s="110"/>
      <c r="X642" s="110"/>
      <c r="Y642" s="110"/>
      <c r="Z642" s="110"/>
      <c r="AA642" s="218"/>
      <c r="AB642" s="218"/>
      <c r="AC642" s="218"/>
      <c r="AD642" s="218"/>
      <c r="AE642" s="218"/>
      <c r="AF642" s="218"/>
      <c r="AG642" s="218"/>
      <c r="AH642" s="218"/>
      <c r="AI642" s="218"/>
      <c r="AJ642" s="218"/>
      <c r="AK642" s="218"/>
      <c r="AL642" s="218"/>
      <c r="AM642" s="218"/>
      <c r="AN642" s="218"/>
      <c r="AO642" s="218"/>
      <c r="AP642" s="218"/>
      <c r="AQ642" s="218"/>
      <c r="AR642" s="218"/>
      <c r="AS642" s="218"/>
      <c r="AT642" s="218"/>
      <c r="AU642" s="218"/>
      <c r="AV642" s="218"/>
      <c r="AW642" s="218"/>
      <c r="AX642" s="218"/>
      <c r="AY642" s="218"/>
      <c r="AZ642" s="218"/>
      <c r="BA642" s="218"/>
      <c r="BB642" s="218"/>
      <c r="BC642" s="218"/>
      <c r="BD642" s="218"/>
      <c r="BE642" s="218"/>
      <c r="BF642" s="218"/>
      <c r="BG642" s="218"/>
      <c r="BH642" s="218"/>
      <c r="BI642" s="218"/>
      <c r="BJ642" s="224"/>
      <c r="BK642" s="224"/>
    </row>
    <row r="643" spans="1:63" ht="12.75" hidden="1" customHeight="1" outlineLevel="1">
      <c r="A643" s="9"/>
      <c r="B643" s="44"/>
      <c r="C643" s="271">
        <f>Asset20</f>
        <v>0</v>
      </c>
      <c r="D643" s="9"/>
      <c r="E643" s="9"/>
      <c r="F643" s="143"/>
      <c r="G643" s="204">
        <f>Input!R26</f>
        <v>0</v>
      </c>
      <c r="H643" s="122"/>
      <c r="I643" s="122"/>
      <c r="J643" s="122"/>
      <c r="K643" s="122"/>
      <c r="L643" s="122"/>
      <c r="M643" s="110"/>
      <c r="N643" s="110"/>
      <c r="O643" s="110"/>
      <c r="P643" s="110"/>
      <c r="Q643" s="110"/>
      <c r="R643" s="110"/>
      <c r="S643" s="110"/>
      <c r="T643" s="110"/>
      <c r="U643" s="110"/>
      <c r="V643" s="110"/>
      <c r="W643" s="110"/>
      <c r="X643" s="110"/>
      <c r="Y643" s="110"/>
      <c r="Z643" s="110"/>
      <c r="AA643" s="218"/>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8"/>
      <c r="AY643" s="218"/>
      <c r="AZ643" s="218"/>
      <c r="BA643" s="218"/>
      <c r="BB643" s="218"/>
      <c r="BC643" s="218"/>
      <c r="BD643" s="218"/>
      <c r="BE643" s="218"/>
      <c r="BF643" s="218"/>
      <c r="BG643" s="218"/>
      <c r="BH643" s="218"/>
      <c r="BI643" s="218"/>
      <c r="BJ643" s="224"/>
      <c r="BK643" s="224"/>
    </row>
    <row r="644" spans="1:63" ht="12.75" hidden="1" customHeight="1" outlineLevel="1">
      <c r="A644" s="9"/>
      <c r="B644" s="44"/>
      <c r="C644" s="271">
        <f>Asset21</f>
        <v>0</v>
      </c>
      <c r="D644" s="9"/>
      <c r="E644" s="9"/>
      <c r="F644" s="143"/>
      <c r="G644" s="204">
        <f>Input!R27</f>
        <v>0</v>
      </c>
      <c r="H644" s="122"/>
      <c r="I644" s="122"/>
      <c r="J644" s="122"/>
      <c r="K644" s="122"/>
      <c r="L644" s="122"/>
      <c r="M644" s="110"/>
      <c r="N644" s="110"/>
      <c r="O644" s="110"/>
      <c r="P644" s="110"/>
      <c r="Q644" s="110"/>
      <c r="R644" s="110"/>
      <c r="S644" s="110"/>
      <c r="T644" s="110"/>
      <c r="U644" s="110"/>
      <c r="V644" s="110"/>
      <c r="W644" s="110"/>
      <c r="X644" s="110"/>
      <c r="Y644" s="110"/>
      <c r="Z644" s="110"/>
      <c r="AA644" s="218"/>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218"/>
      <c r="AW644" s="218"/>
      <c r="AX644" s="218"/>
      <c r="AY644" s="218"/>
      <c r="AZ644" s="218"/>
      <c r="BA644" s="218"/>
      <c r="BB644" s="218"/>
      <c r="BC644" s="218"/>
      <c r="BD644" s="218"/>
      <c r="BE644" s="218"/>
      <c r="BF644" s="218"/>
      <c r="BG644" s="218"/>
      <c r="BH644" s="218"/>
      <c r="BI644" s="218"/>
      <c r="BJ644" s="224"/>
      <c r="BK644" s="224"/>
    </row>
    <row r="645" spans="1:63" ht="12.75" hidden="1" customHeight="1" outlineLevel="1">
      <c r="A645" s="9"/>
      <c r="B645" s="44"/>
      <c r="C645" s="271">
        <f>Asset22</f>
        <v>0</v>
      </c>
      <c r="D645" s="9"/>
      <c r="E645" s="9"/>
      <c r="F645" s="143"/>
      <c r="G645" s="204">
        <f>Input!R28</f>
        <v>0</v>
      </c>
      <c r="H645" s="122"/>
      <c r="I645" s="122"/>
      <c r="J645" s="122"/>
      <c r="K645" s="122"/>
      <c r="L645" s="122"/>
      <c r="M645" s="110"/>
      <c r="N645" s="110"/>
      <c r="O645" s="110"/>
      <c r="P645" s="110"/>
      <c r="Q645" s="110"/>
      <c r="R645" s="110"/>
      <c r="S645" s="110"/>
      <c r="T645" s="110"/>
      <c r="U645" s="110"/>
      <c r="V645" s="110"/>
      <c r="W645" s="110"/>
      <c r="X645" s="110"/>
      <c r="Y645" s="110"/>
      <c r="Z645" s="110"/>
      <c r="AA645" s="218"/>
      <c r="AB645" s="218"/>
      <c r="AC645" s="218"/>
      <c r="AD645" s="218"/>
      <c r="AE645" s="218"/>
      <c r="AF645" s="218"/>
      <c r="AG645" s="218"/>
      <c r="AH645" s="218"/>
      <c r="AI645" s="218"/>
      <c r="AJ645" s="218"/>
      <c r="AK645" s="218"/>
      <c r="AL645" s="218"/>
      <c r="AM645" s="218"/>
      <c r="AN645" s="218"/>
      <c r="AO645" s="218"/>
      <c r="AP645" s="218"/>
      <c r="AQ645" s="218"/>
      <c r="AR645" s="218"/>
      <c r="AS645" s="218"/>
      <c r="AT645" s="218"/>
      <c r="AU645" s="218"/>
      <c r="AV645" s="218"/>
      <c r="AW645" s="218"/>
      <c r="AX645" s="218"/>
      <c r="AY645" s="218"/>
      <c r="AZ645" s="218"/>
      <c r="BA645" s="218"/>
      <c r="BB645" s="218"/>
      <c r="BC645" s="218"/>
      <c r="BD645" s="218"/>
      <c r="BE645" s="218"/>
      <c r="BF645" s="218"/>
      <c r="BG645" s="218"/>
      <c r="BH645" s="218"/>
      <c r="BI645" s="218"/>
      <c r="BJ645" s="224"/>
      <c r="BK645" s="224"/>
    </row>
    <row r="646" spans="1:63" ht="12.75" hidden="1" customHeight="1" outlineLevel="1">
      <c r="A646" s="9"/>
      <c r="B646" s="44"/>
      <c r="C646" s="271">
        <f>Asset23</f>
        <v>0</v>
      </c>
      <c r="D646" s="9"/>
      <c r="E646" s="9"/>
      <c r="F646" s="143"/>
      <c r="G646" s="204">
        <f>Input!R29</f>
        <v>0</v>
      </c>
      <c r="H646" s="122"/>
      <c r="I646" s="122"/>
      <c r="J646" s="122"/>
      <c r="K646" s="122"/>
      <c r="L646" s="122"/>
      <c r="M646" s="110"/>
      <c r="N646" s="110"/>
      <c r="O646" s="110"/>
      <c r="P646" s="110"/>
      <c r="Q646" s="110"/>
      <c r="R646" s="110"/>
      <c r="S646" s="110"/>
      <c r="T646" s="110"/>
      <c r="U646" s="110"/>
      <c r="V646" s="110"/>
      <c r="W646" s="110"/>
      <c r="X646" s="110"/>
      <c r="Y646" s="110"/>
      <c r="Z646" s="110"/>
      <c r="AA646" s="218"/>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218"/>
      <c r="BE646" s="218"/>
      <c r="BF646" s="218"/>
      <c r="BG646" s="218"/>
      <c r="BH646" s="218"/>
      <c r="BI646" s="218"/>
      <c r="BJ646" s="224"/>
      <c r="BK646" s="224"/>
    </row>
    <row r="647" spans="1:63" ht="12.75" hidden="1" customHeight="1" outlineLevel="1">
      <c r="A647" s="9"/>
      <c r="B647" s="44"/>
      <c r="C647" s="271">
        <f>Asset24</f>
        <v>0</v>
      </c>
      <c r="D647" s="9"/>
      <c r="E647" s="9"/>
      <c r="F647" s="143"/>
      <c r="G647" s="204">
        <f>Input!R30</f>
        <v>0</v>
      </c>
      <c r="H647" s="122"/>
      <c r="I647" s="122"/>
      <c r="J647" s="122"/>
      <c r="K647" s="122"/>
      <c r="L647" s="122"/>
      <c r="M647" s="110"/>
      <c r="N647" s="110"/>
      <c r="O647" s="110"/>
      <c r="P647" s="110"/>
      <c r="Q647" s="110"/>
      <c r="R647" s="110"/>
      <c r="S647" s="110"/>
      <c r="T647" s="110"/>
      <c r="U647" s="110"/>
      <c r="V647" s="110"/>
      <c r="W647" s="110"/>
      <c r="X647" s="110"/>
      <c r="Y647" s="110"/>
      <c r="Z647" s="110"/>
      <c r="AA647" s="218"/>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218"/>
      <c r="BE647" s="218"/>
      <c r="BF647" s="218"/>
      <c r="BG647" s="218"/>
      <c r="BH647" s="218"/>
      <c r="BI647" s="218"/>
      <c r="BJ647" s="224"/>
      <c r="BK647" s="224"/>
    </row>
    <row r="648" spans="1:63" ht="12.75" hidden="1" customHeight="1" outlineLevel="1">
      <c r="A648" s="9"/>
      <c r="B648" s="44"/>
      <c r="C648" s="271">
        <f>Asset25</f>
        <v>0</v>
      </c>
      <c r="D648" s="9"/>
      <c r="E648" s="9"/>
      <c r="F648" s="143"/>
      <c r="G648" s="204">
        <f>Input!R31</f>
        <v>0</v>
      </c>
      <c r="H648" s="122"/>
      <c r="I648" s="122"/>
      <c r="J648" s="122"/>
      <c r="K648" s="122"/>
      <c r="L648" s="122"/>
      <c r="M648" s="110"/>
      <c r="N648" s="110"/>
      <c r="O648" s="110"/>
      <c r="P648" s="110"/>
      <c r="Q648" s="110"/>
      <c r="R648" s="110"/>
      <c r="S648" s="110"/>
      <c r="T648" s="110"/>
      <c r="U648" s="110"/>
      <c r="V648" s="110"/>
      <c r="W648" s="110"/>
      <c r="X648" s="110"/>
      <c r="Y648" s="110"/>
      <c r="Z648" s="110"/>
      <c r="AA648" s="218"/>
      <c r="AB648" s="218"/>
      <c r="AC648" s="218"/>
      <c r="AD648" s="218"/>
      <c r="AE648" s="218"/>
      <c r="AF648" s="218"/>
      <c r="AG648" s="218"/>
      <c r="AH648" s="218"/>
      <c r="AI648" s="218"/>
      <c r="AJ648" s="218"/>
      <c r="AK648" s="218"/>
      <c r="AL648" s="218"/>
      <c r="AM648" s="218"/>
      <c r="AN648" s="218"/>
      <c r="AO648" s="218"/>
      <c r="AP648" s="218"/>
      <c r="AQ648" s="218"/>
      <c r="AR648" s="218"/>
      <c r="AS648" s="218"/>
      <c r="AT648" s="218"/>
      <c r="AU648" s="218"/>
      <c r="AV648" s="218"/>
      <c r="AW648" s="218"/>
      <c r="AX648" s="218"/>
      <c r="AY648" s="218"/>
      <c r="AZ648" s="218"/>
      <c r="BA648" s="218"/>
      <c r="BB648" s="218"/>
      <c r="BC648" s="218"/>
      <c r="BD648" s="218"/>
      <c r="BE648" s="218"/>
      <c r="BF648" s="218"/>
      <c r="BG648" s="218"/>
      <c r="BH648" s="218"/>
      <c r="BI648" s="218"/>
      <c r="BJ648" s="224"/>
      <c r="BK648" s="224"/>
    </row>
    <row r="649" spans="1:63" ht="12.75" hidden="1" customHeight="1" outlineLevel="1">
      <c r="A649" s="9"/>
      <c r="B649" s="44"/>
      <c r="C649" s="271">
        <f>Asset26</f>
        <v>0</v>
      </c>
      <c r="D649" s="9"/>
      <c r="E649" s="9"/>
      <c r="F649" s="143"/>
      <c r="G649" s="204">
        <f>Input!R32</f>
        <v>0</v>
      </c>
      <c r="H649" s="122"/>
      <c r="I649" s="122"/>
      <c r="J649" s="122"/>
      <c r="K649" s="122"/>
      <c r="L649" s="122"/>
      <c r="M649" s="110"/>
      <c r="N649" s="110"/>
      <c r="O649" s="110"/>
      <c r="P649" s="110"/>
      <c r="Q649" s="110"/>
      <c r="R649" s="110"/>
      <c r="S649" s="110"/>
      <c r="T649" s="110"/>
      <c r="U649" s="110"/>
      <c r="V649" s="110"/>
      <c r="W649" s="110"/>
      <c r="X649" s="110"/>
      <c r="Y649" s="110"/>
      <c r="Z649" s="110"/>
      <c r="AA649" s="218"/>
      <c r="AB649" s="218"/>
      <c r="AC649" s="218"/>
      <c r="AD649" s="218"/>
      <c r="AE649" s="218"/>
      <c r="AF649" s="218"/>
      <c r="AG649" s="218"/>
      <c r="AH649" s="218"/>
      <c r="AI649" s="218"/>
      <c r="AJ649" s="218"/>
      <c r="AK649" s="218"/>
      <c r="AL649" s="218"/>
      <c r="AM649" s="218"/>
      <c r="AN649" s="218"/>
      <c r="AO649" s="218"/>
      <c r="AP649" s="218"/>
      <c r="AQ649" s="218"/>
      <c r="AR649" s="218"/>
      <c r="AS649" s="218"/>
      <c r="AT649" s="218"/>
      <c r="AU649" s="218"/>
      <c r="AV649" s="218"/>
      <c r="AW649" s="218"/>
      <c r="AX649" s="218"/>
      <c r="AY649" s="218"/>
      <c r="AZ649" s="218"/>
      <c r="BA649" s="218"/>
      <c r="BB649" s="218"/>
      <c r="BC649" s="218"/>
      <c r="BD649" s="218"/>
      <c r="BE649" s="218"/>
      <c r="BF649" s="218"/>
      <c r="BG649" s="218"/>
      <c r="BH649" s="218"/>
      <c r="BI649" s="218"/>
      <c r="BJ649" s="224"/>
      <c r="BK649" s="224"/>
    </row>
    <row r="650" spans="1:63" ht="12.75" hidden="1" customHeight="1" outlineLevel="1">
      <c r="A650" s="9"/>
      <c r="B650" s="44"/>
      <c r="C650" s="271">
        <f>Asset27</f>
        <v>0</v>
      </c>
      <c r="D650" s="9"/>
      <c r="E650" s="9"/>
      <c r="F650" s="143"/>
      <c r="G650" s="204">
        <f>Input!R33</f>
        <v>0</v>
      </c>
      <c r="H650" s="122"/>
      <c r="I650" s="122"/>
      <c r="J650" s="122"/>
      <c r="K650" s="122"/>
      <c r="L650" s="122"/>
      <c r="M650" s="110"/>
      <c r="N650" s="110"/>
      <c r="O650" s="110"/>
      <c r="P650" s="110"/>
      <c r="Q650" s="110"/>
      <c r="R650" s="110"/>
      <c r="S650" s="110"/>
      <c r="T650" s="110"/>
      <c r="U650" s="110"/>
      <c r="V650" s="110"/>
      <c r="W650" s="110"/>
      <c r="X650" s="110"/>
      <c r="Y650" s="110"/>
      <c r="Z650" s="110"/>
      <c r="AA650" s="218"/>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218"/>
      <c r="AW650" s="218"/>
      <c r="AX650" s="218"/>
      <c r="AY650" s="218"/>
      <c r="AZ650" s="218"/>
      <c r="BA650" s="218"/>
      <c r="BB650" s="218"/>
      <c r="BC650" s="218"/>
      <c r="BD650" s="218"/>
      <c r="BE650" s="218"/>
      <c r="BF650" s="218"/>
      <c r="BG650" s="218"/>
      <c r="BH650" s="218"/>
      <c r="BI650" s="218"/>
      <c r="BJ650" s="224"/>
      <c r="BK650" s="224"/>
    </row>
    <row r="651" spans="1:63" ht="12.75" hidden="1" customHeight="1" outlineLevel="1">
      <c r="A651" s="9"/>
      <c r="B651" s="44"/>
      <c r="C651" s="271">
        <f>Asset28</f>
        <v>0</v>
      </c>
      <c r="D651" s="9"/>
      <c r="E651" s="9"/>
      <c r="F651" s="143"/>
      <c r="G651" s="204">
        <f>Input!R34</f>
        <v>0</v>
      </c>
      <c r="H651" s="122"/>
      <c r="I651" s="122"/>
      <c r="J651" s="122"/>
      <c r="K651" s="122"/>
      <c r="L651" s="122"/>
      <c r="M651" s="110"/>
      <c r="N651" s="110"/>
      <c r="O651" s="110"/>
      <c r="P651" s="110"/>
      <c r="Q651" s="110"/>
      <c r="R651" s="110"/>
      <c r="S651" s="110"/>
      <c r="T651" s="110"/>
      <c r="U651" s="110"/>
      <c r="V651" s="110"/>
      <c r="W651" s="110"/>
      <c r="X651" s="110"/>
      <c r="Y651" s="110"/>
      <c r="Z651" s="110"/>
      <c r="AA651" s="218"/>
      <c r="AB651" s="218"/>
      <c r="AC651" s="218"/>
      <c r="AD651" s="218"/>
      <c r="AE651" s="218"/>
      <c r="AF651" s="218"/>
      <c r="AG651" s="218"/>
      <c r="AH651" s="218"/>
      <c r="AI651" s="218"/>
      <c r="AJ651" s="218"/>
      <c r="AK651" s="218"/>
      <c r="AL651" s="218"/>
      <c r="AM651" s="218"/>
      <c r="AN651" s="218"/>
      <c r="AO651" s="218"/>
      <c r="AP651" s="218"/>
      <c r="AQ651" s="218"/>
      <c r="AR651" s="218"/>
      <c r="AS651" s="218"/>
      <c r="AT651" s="218"/>
      <c r="AU651" s="218"/>
      <c r="AV651" s="218"/>
      <c r="AW651" s="218"/>
      <c r="AX651" s="218"/>
      <c r="AY651" s="218"/>
      <c r="AZ651" s="218"/>
      <c r="BA651" s="218"/>
      <c r="BB651" s="218"/>
      <c r="BC651" s="218"/>
      <c r="BD651" s="218"/>
      <c r="BE651" s="218"/>
      <c r="BF651" s="218"/>
      <c r="BG651" s="218"/>
      <c r="BH651" s="218"/>
      <c r="BI651" s="218"/>
      <c r="BJ651" s="224"/>
      <c r="BK651" s="224"/>
    </row>
    <row r="652" spans="1:63" ht="12.75" hidden="1" customHeight="1" outlineLevel="1">
      <c r="A652" s="9"/>
      <c r="B652" s="44"/>
      <c r="C652" s="271">
        <f>Asset29</f>
        <v>0</v>
      </c>
      <c r="D652" s="9"/>
      <c r="E652" s="9"/>
      <c r="F652" s="143"/>
      <c r="G652" s="204">
        <f>Input!R35</f>
        <v>0</v>
      </c>
      <c r="H652" s="122"/>
      <c r="I652" s="122"/>
      <c r="J652" s="122"/>
      <c r="K652" s="122"/>
      <c r="L652" s="122"/>
      <c r="M652" s="110"/>
      <c r="N652" s="110"/>
      <c r="O652" s="110"/>
      <c r="P652" s="110"/>
      <c r="Q652" s="110"/>
      <c r="R652" s="110"/>
      <c r="S652" s="110"/>
      <c r="T652" s="110"/>
      <c r="U652" s="110"/>
      <c r="V652" s="110"/>
      <c r="W652" s="110"/>
      <c r="X652" s="110"/>
      <c r="Y652" s="110"/>
      <c r="Z652" s="110"/>
      <c r="AA652" s="218"/>
      <c r="AB652" s="218"/>
      <c r="AC652" s="218"/>
      <c r="AD652" s="218"/>
      <c r="AE652" s="218"/>
      <c r="AF652" s="218"/>
      <c r="AG652" s="218"/>
      <c r="AH652" s="218"/>
      <c r="AI652" s="218"/>
      <c r="AJ652" s="218"/>
      <c r="AK652" s="218"/>
      <c r="AL652" s="218"/>
      <c r="AM652" s="218"/>
      <c r="AN652" s="218"/>
      <c r="AO652" s="218"/>
      <c r="AP652" s="218"/>
      <c r="AQ652" s="218"/>
      <c r="AR652" s="218"/>
      <c r="AS652" s="218"/>
      <c r="AT652" s="218"/>
      <c r="AU652" s="218"/>
      <c r="AV652" s="218"/>
      <c r="AW652" s="218"/>
      <c r="AX652" s="218"/>
      <c r="AY652" s="218"/>
      <c r="AZ652" s="218"/>
      <c r="BA652" s="218"/>
      <c r="BB652" s="218"/>
      <c r="BC652" s="218"/>
      <c r="BD652" s="218"/>
      <c r="BE652" s="218"/>
      <c r="BF652" s="218"/>
      <c r="BG652" s="218"/>
      <c r="BH652" s="218"/>
      <c r="BI652" s="218"/>
      <c r="BJ652" s="224"/>
      <c r="BK652" s="224"/>
    </row>
    <row r="653" spans="1:63" ht="12.75" hidden="1" customHeight="1" outlineLevel="1">
      <c r="A653" s="9"/>
      <c r="B653" s="44"/>
      <c r="C653" s="271">
        <f>Asset30</f>
        <v>0</v>
      </c>
      <c r="D653" s="9"/>
      <c r="E653" s="9"/>
      <c r="F653" s="143"/>
      <c r="G653" s="204">
        <f>Input!R36</f>
        <v>0</v>
      </c>
      <c r="H653" s="122"/>
      <c r="I653" s="122"/>
      <c r="J653" s="122"/>
      <c r="K653" s="122"/>
      <c r="L653" s="122"/>
      <c r="M653" s="110"/>
      <c r="N653" s="110"/>
      <c r="O653" s="110"/>
      <c r="P653" s="110"/>
      <c r="Q653" s="110"/>
      <c r="R653" s="110"/>
      <c r="S653" s="110"/>
      <c r="T653" s="110"/>
      <c r="U653" s="110"/>
      <c r="V653" s="110"/>
      <c r="W653" s="110"/>
      <c r="X653" s="110"/>
      <c r="Y653" s="110"/>
      <c r="Z653" s="110"/>
      <c r="AA653" s="218"/>
      <c r="AB653" s="218"/>
      <c r="AC653" s="218"/>
      <c r="AD653" s="218"/>
      <c r="AE653" s="218"/>
      <c r="AF653" s="218"/>
      <c r="AG653" s="218"/>
      <c r="AH653" s="218"/>
      <c r="AI653" s="218"/>
      <c r="AJ653" s="218"/>
      <c r="AK653" s="218"/>
      <c r="AL653" s="218"/>
      <c r="AM653" s="218"/>
      <c r="AN653" s="218"/>
      <c r="AO653" s="218"/>
      <c r="AP653" s="218"/>
      <c r="AQ653" s="218"/>
      <c r="AR653" s="218"/>
      <c r="AS653" s="218"/>
      <c r="AT653" s="218"/>
      <c r="AU653" s="218"/>
      <c r="AV653" s="218"/>
      <c r="AW653" s="218"/>
      <c r="AX653" s="218"/>
      <c r="AY653" s="218"/>
      <c r="AZ653" s="218"/>
      <c r="BA653" s="218"/>
      <c r="BB653" s="218"/>
      <c r="BC653" s="218"/>
      <c r="BD653" s="218"/>
      <c r="BE653" s="218"/>
      <c r="BF653" s="218"/>
      <c r="BG653" s="218"/>
      <c r="BH653" s="218"/>
      <c r="BI653" s="218"/>
      <c r="BJ653" s="224"/>
      <c r="BK653" s="224"/>
    </row>
    <row r="654" spans="1:63" collapsed="1">
      <c r="A654" s="9"/>
      <c r="B654" s="44"/>
      <c r="C654" s="131"/>
      <c r="D654" s="9"/>
      <c r="E654" s="9"/>
      <c r="F654" s="143"/>
      <c r="G654" s="204"/>
      <c r="H654" s="122"/>
      <c r="I654" s="122"/>
      <c r="J654" s="122"/>
      <c r="K654" s="122"/>
      <c r="L654" s="122"/>
      <c r="M654" s="110"/>
      <c r="N654" s="110"/>
      <c r="O654" s="110"/>
      <c r="P654" s="110"/>
      <c r="Q654" s="110"/>
      <c r="R654" s="110"/>
      <c r="S654" s="110"/>
      <c r="T654" s="110"/>
      <c r="U654" s="110"/>
      <c r="V654" s="110"/>
      <c r="W654" s="110"/>
      <c r="X654" s="110"/>
      <c r="Y654" s="110"/>
      <c r="Z654" s="110"/>
      <c r="AA654" s="218"/>
      <c r="AB654" s="218"/>
      <c r="AC654" s="218"/>
      <c r="AD654" s="218"/>
      <c r="AE654" s="218"/>
      <c r="AF654" s="218"/>
      <c r="AG654" s="218"/>
      <c r="AH654" s="218"/>
      <c r="AI654" s="218"/>
      <c r="AJ654" s="218"/>
      <c r="AK654" s="218"/>
      <c r="AL654" s="218"/>
      <c r="AM654" s="218"/>
      <c r="AN654" s="218"/>
      <c r="AO654" s="218"/>
      <c r="AP654" s="218"/>
      <c r="AQ654" s="218"/>
      <c r="AR654" s="218"/>
      <c r="AS654" s="218"/>
      <c r="AT654" s="218"/>
      <c r="AU654" s="218"/>
      <c r="AV654" s="218"/>
      <c r="AW654" s="218"/>
      <c r="AX654" s="218"/>
      <c r="AY654" s="218"/>
      <c r="AZ654" s="218"/>
      <c r="BA654" s="218"/>
      <c r="BB654" s="218"/>
      <c r="BC654" s="218"/>
      <c r="BD654" s="218"/>
      <c r="BE654" s="218"/>
      <c r="BF654" s="218"/>
      <c r="BG654" s="218"/>
      <c r="BH654" s="218"/>
      <c r="BI654" s="218"/>
      <c r="BJ654" s="224"/>
      <c r="BK654" s="224"/>
    </row>
    <row r="655" spans="1:63">
      <c r="A655" s="9"/>
      <c r="B655" s="44" t="s">
        <v>35</v>
      </c>
      <c r="C655" s="131"/>
      <c r="D655" s="9"/>
      <c r="E655" s="9"/>
      <c r="F655" s="28"/>
      <c r="G655" s="208">
        <f>SUM(G656:G685)</f>
        <v>0</v>
      </c>
      <c r="H655" s="503"/>
      <c r="I655" s="122"/>
      <c r="J655" s="122"/>
      <c r="K655" s="122"/>
      <c r="L655" s="122"/>
      <c r="M655" s="110"/>
      <c r="N655" s="110"/>
      <c r="O655" s="110"/>
      <c r="P655" s="110"/>
      <c r="Q655" s="110"/>
      <c r="R655" s="110"/>
      <c r="S655" s="110"/>
      <c r="T655" s="110"/>
      <c r="U655" s="110"/>
      <c r="V655" s="110"/>
      <c r="W655" s="110"/>
      <c r="X655" s="110"/>
      <c r="Y655" s="110"/>
      <c r="Z655" s="110"/>
      <c r="AA655" s="218"/>
      <c r="AB655" s="218"/>
      <c r="AC655" s="218"/>
      <c r="AD655" s="218"/>
      <c r="AE655" s="218"/>
      <c r="AF655" s="218"/>
      <c r="AG655" s="218"/>
      <c r="AH655" s="218"/>
      <c r="AI655" s="218"/>
      <c r="AJ655" s="218"/>
      <c r="AK655" s="218"/>
      <c r="AL655" s="218"/>
      <c r="AM655" s="218"/>
      <c r="AN655" s="218"/>
      <c r="AO655" s="218"/>
      <c r="AP655" s="218"/>
      <c r="AQ655" s="218"/>
      <c r="AR655" s="218"/>
      <c r="AS655" s="218"/>
      <c r="AT655" s="218"/>
      <c r="AU655" s="218"/>
      <c r="AV655" s="218"/>
      <c r="AW655" s="218"/>
      <c r="AX655" s="218"/>
      <c r="AY655" s="218"/>
      <c r="AZ655" s="218"/>
      <c r="BA655" s="218"/>
      <c r="BB655" s="218"/>
      <c r="BC655" s="218"/>
      <c r="BD655" s="218"/>
      <c r="BE655" s="218"/>
      <c r="BF655" s="218"/>
      <c r="BG655" s="218"/>
      <c r="BH655" s="218"/>
      <c r="BI655" s="218"/>
      <c r="BJ655" s="224"/>
      <c r="BK655" s="224"/>
    </row>
    <row r="656" spans="1:63" ht="12.75" hidden="1" customHeight="1" outlineLevel="1">
      <c r="A656" s="9"/>
      <c r="B656" s="44"/>
      <c r="C656" s="271" t="str">
        <f>Asset1</f>
        <v>Subtransmission</v>
      </c>
      <c r="D656" s="9"/>
      <c r="E656" s="9"/>
      <c r="F656" s="28"/>
      <c r="G656" s="207">
        <f>Input!S7</f>
        <v>0</v>
      </c>
      <c r="H656" s="122"/>
      <c r="I656" s="122"/>
      <c r="J656" s="122"/>
      <c r="K656" s="122"/>
      <c r="L656" s="122"/>
      <c r="M656" s="110"/>
      <c r="N656" s="110"/>
      <c r="O656" s="110"/>
      <c r="P656" s="110"/>
      <c r="Q656" s="110"/>
      <c r="R656" s="110"/>
      <c r="S656" s="110"/>
      <c r="T656" s="110"/>
      <c r="U656" s="110"/>
      <c r="V656" s="110"/>
      <c r="W656" s="110"/>
      <c r="X656" s="110"/>
      <c r="Y656" s="110"/>
      <c r="Z656" s="110"/>
      <c r="AA656" s="218"/>
      <c r="AB656" s="218"/>
      <c r="AC656" s="218"/>
      <c r="AD656" s="218"/>
      <c r="AE656" s="218"/>
      <c r="AF656" s="218"/>
      <c r="AG656" s="218"/>
      <c r="AH656" s="218"/>
      <c r="AI656" s="218"/>
      <c r="AJ656" s="218"/>
      <c r="AK656" s="218"/>
      <c r="AL656" s="218"/>
      <c r="AM656" s="218"/>
      <c r="AN656" s="218"/>
      <c r="AO656" s="218"/>
      <c r="AP656" s="218"/>
      <c r="AQ656" s="218"/>
      <c r="AR656" s="218"/>
      <c r="AS656" s="218"/>
      <c r="AT656" s="218"/>
      <c r="AU656" s="218"/>
      <c r="AV656" s="218"/>
      <c r="AW656" s="218"/>
      <c r="AX656" s="218"/>
      <c r="AY656" s="218"/>
      <c r="AZ656" s="218"/>
      <c r="BA656" s="218"/>
      <c r="BB656" s="218"/>
      <c r="BC656" s="218"/>
      <c r="BD656" s="218"/>
      <c r="BE656" s="218"/>
      <c r="BF656" s="218"/>
      <c r="BG656" s="218"/>
      <c r="BH656" s="218"/>
      <c r="BI656" s="218"/>
      <c r="BJ656" s="224"/>
      <c r="BK656" s="224"/>
    </row>
    <row r="657" spans="1:63" ht="12.75" hidden="1" customHeight="1" outlineLevel="1">
      <c r="A657" s="9"/>
      <c r="B657" s="44"/>
      <c r="C657" s="271" t="str">
        <f>Asset2</f>
        <v>Distribution system assets</v>
      </c>
      <c r="D657" s="9"/>
      <c r="E657" s="9"/>
      <c r="F657" s="28"/>
      <c r="G657" s="207">
        <f>Input!S8</f>
        <v>0</v>
      </c>
      <c r="H657" s="122"/>
      <c r="I657" s="122"/>
      <c r="J657" s="122"/>
      <c r="K657" s="122"/>
      <c r="L657" s="122"/>
      <c r="M657" s="110"/>
      <c r="N657" s="110"/>
      <c r="O657" s="110"/>
      <c r="P657" s="110"/>
      <c r="Q657" s="110"/>
      <c r="R657" s="110"/>
      <c r="S657" s="110"/>
      <c r="T657" s="110"/>
      <c r="U657" s="110"/>
      <c r="V657" s="110"/>
      <c r="W657" s="110"/>
      <c r="X657" s="110"/>
      <c r="Y657" s="110"/>
      <c r="Z657" s="110"/>
      <c r="AA657" s="218"/>
      <c r="AB657" s="218"/>
      <c r="AC657" s="218"/>
      <c r="AD657" s="218"/>
      <c r="AE657" s="218"/>
      <c r="AF657" s="218"/>
      <c r="AG657" s="218"/>
      <c r="AH657" s="218"/>
      <c r="AI657" s="218"/>
      <c r="AJ657" s="218"/>
      <c r="AK657" s="218"/>
      <c r="AL657" s="218"/>
      <c r="AM657" s="218"/>
      <c r="AN657" s="218"/>
      <c r="AO657" s="218"/>
      <c r="AP657" s="218"/>
      <c r="AQ657" s="218"/>
      <c r="AR657" s="218"/>
      <c r="AS657" s="218"/>
      <c r="AT657" s="218"/>
      <c r="AU657" s="218"/>
      <c r="AV657" s="218"/>
      <c r="AW657" s="218"/>
      <c r="AX657" s="218"/>
      <c r="AY657" s="218"/>
      <c r="AZ657" s="218"/>
      <c r="BA657" s="218"/>
      <c r="BB657" s="218"/>
      <c r="BC657" s="218"/>
      <c r="BD657" s="218"/>
      <c r="BE657" s="218"/>
      <c r="BF657" s="218"/>
      <c r="BG657" s="218"/>
      <c r="BH657" s="218"/>
      <c r="BI657" s="218"/>
      <c r="BJ657" s="224"/>
      <c r="BK657" s="224"/>
    </row>
    <row r="658" spans="1:63" ht="12.75" hidden="1" customHeight="1" outlineLevel="1">
      <c r="A658" s="9"/>
      <c r="B658" s="44"/>
      <c r="C658" s="271" t="str">
        <f>Asset3</f>
        <v>Standard metering</v>
      </c>
      <c r="D658" s="9"/>
      <c r="E658" s="9"/>
      <c r="F658" s="28"/>
      <c r="G658" s="207">
        <f>Input!S9</f>
        <v>0</v>
      </c>
      <c r="H658" s="122"/>
      <c r="I658" s="122"/>
      <c r="J658" s="122"/>
      <c r="K658" s="122"/>
      <c r="L658" s="122"/>
      <c r="M658" s="110"/>
      <c r="N658" s="110"/>
      <c r="O658" s="110"/>
      <c r="P658" s="110"/>
      <c r="Q658" s="110"/>
      <c r="R658" s="110"/>
      <c r="S658" s="110"/>
      <c r="T658" s="110"/>
      <c r="U658" s="110"/>
      <c r="V658" s="110"/>
      <c r="W658" s="110"/>
      <c r="X658" s="110"/>
      <c r="Y658" s="110"/>
      <c r="Z658" s="110"/>
      <c r="AA658" s="218"/>
      <c r="AB658" s="218"/>
      <c r="AC658" s="218"/>
      <c r="AD658" s="218"/>
      <c r="AE658" s="218"/>
      <c r="AF658" s="218"/>
      <c r="AG658" s="218"/>
      <c r="AH658" s="218"/>
      <c r="AI658" s="218"/>
      <c r="AJ658" s="218"/>
      <c r="AK658" s="218"/>
      <c r="AL658" s="218"/>
      <c r="AM658" s="218"/>
      <c r="AN658" s="218"/>
      <c r="AO658" s="218"/>
      <c r="AP658" s="218"/>
      <c r="AQ658" s="218"/>
      <c r="AR658" s="218"/>
      <c r="AS658" s="218"/>
      <c r="AT658" s="218"/>
      <c r="AU658" s="218"/>
      <c r="AV658" s="218"/>
      <c r="AW658" s="218"/>
      <c r="AX658" s="218"/>
      <c r="AY658" s="218"/>
      <c r="AZ658" s="218"/>
      <c r="BA658" s="218"/>
      <c r="BB658" s="218"/>
      <c r="BC658" s="218"/>
      <c r="BD658" s="218"/>
      <c r="BE658" s="218"/>
      <c r="BF658" s="218"/>
      <c r="BG658" s="218"/>
      <c r="BH658" s="218"/>
      <c r="BI658" s="218"/>
      <c r="BJ658" s="224"/>
      <c r="BK658" s="224"/>
    </row>
    <row r="659" spans="1:63" ht="12.75" hidden="1" customHeight="1" outlineLevel="1">
      <c r="A659" s="9"/>
      <c r="B659" s="44"/>
      <c r="C659" s="271" t="str">
        <f>Asset4</f>
        <v>Public lighting</v>
      </c>
      <c r="D659" s="9"/>
      <c r="E659" s="9"/>
      <c r="F659" s="28"/>
      <c r="G659" s="207">
        <f>Input!S10</f>
        <v>0</v>
      </c>
      <c r="H659" s="122"/>
      <c r="I659" s="122"/>
      <c r="J659" s="122"/>
      <c r="K659" s="122"/>
      <c r="L659" s="122"/>
      <c r="M659" s="110"/>
      <c r="N659" s="110"/>
      <c r="O659" s="110"/>
      <c r="P659" s="110"/>
      <c r="Q659" s="110"/>
      <c r="R659" s="110"/>
      <c r="S659" s="110"/>
      <c r="T659" s="110"/>
      <c r="U659" s="110"/>
      <c r="V659" s="110"/>
      <c r="W659" s="110"/>
      <c r="X659" s="110"/>
      <c r="Y659" s="110"/>
      <c r="Z659" s="110"/>
      <c r="AA659" s="218"/>
      <c r="AB659" s="218"/>
      <c r="AC659" s="218"/>
      <c r="AD659" s="218"/>
      <c r="AE659" s="218"/>
      <c r="AF659" s="218"/>
      <c r="AG659" s="218"/>
      <c r="AH659" s="218"/>
      <c r="AI659" s="218"/>
      <c r="AJ659" s="218"/>
      <c r="AK659" s="218"/>
      <c r="AL659" s="218"/>
      <c r="AM659" s="218"/>
      <c r="AN659" s="218"/>
      <c r="AO659" s="218"/>
      <c r="AP659" s="218"/>
      <c r="AQ659" s="218"/>
      <c r="AR659" s="218"/>
      <c r="AS659" s="218"/>
      <c r="AT659" s="218"/>
      <c r="AU659" s="218"/>
      <c r="AV659" s="218"/>
      <c r="AW659" s="218"/>
      <c r="AX659" s="218"/>
      <c r="AY659" s="218"/>
      <c r="AZ659" s="218"/>
      <c r="BA659" s="218"/>
      <c r="BB659" s="218"/>
      <c r="BC659" s="218"/>
      <c r="BD659" s="218"/>
      <c r="BE659" s="218"/>
      <c r="BF659" s="218"/>
      <c r="BG659" s="218"/>
      <c r="BH659" s="218"/>
      <c r="BI659" s="218"/>
      <c r="BJ659" s="224"/>
      <c r="BK659" s="224"/>
    </row>
    <row r="660" spans="1:63" ht="12.75" hidden="1" customHeight="1" outlineLevel="1">
      <c r="A660" s="9"/>
      <c r="B660" s="44"/>
      <c r="C660" s="271" t="str">
        <f>Asset5</f>
        <v>SCADA/Network control</v>
      </c>
      <c r="D660" s="9"/>
      <c r="E660" s="9"/>
      <c r="F660" s="28"/>
      <c r="G660" s="207">
        <f>Input!S11</f>
        <v>0</v>
      </c>
      <c r="H660" s="122"/>
      <c r="I660" s="122"/>
      <c r="J660" s="122"/>
      <c r="K660" s="122"/>
      <c r="L660" s="122"/>
      <c r="M660" s="110"/>
      <c r="N660" s="110"/>
      <c r="O660" s="110"/>
      <c r="P660" s="110"/>
      <c r="Q660" s="110"/>
      <c r="R660" s="110"/>
      <c r="S660" s="110"/>
      <c r="T660" s="110"/>
      <c r="U660" s="110"/>
      <c r="V660" s="110"/>
      <c r="W660" s="110"/>
      <c r="X660" s="110"/>
      <c r="Y660" s="110"/>
      <c r="Z660" s="110"/>
      <c r="AA660" s="218"/>
      <c r="AB660" s="218"/>
      <c r="AC660" s="218"/>
      <c r="AD660" s="218"/>
      <c r="AE660" s="218"/>
      <c r="AF660" s="218"/>
      <c r="AG660" s="218"/>
      <c r="AH660" s="218"/>
      <c r="AI660" s="218"/>
      <c r="AJ660" s="218"/>
      <c r="AK660" s="218"/>
      <c r="AL660" s="218"/>
      <c r="AM660" s="218"/>
      <c r="AN660" s="218"/>
      <c r="AO660" s="218"/>
      <c r="AP660" s="218"/>
      <c r="AQ660" s="218"/>
      <c r="AR660" s="218"/>
      <c r="AS660" s="218"/>
      <c r="AT660" s="218"/>
      <c r="AU660" s="218"/>
      <c r="AV660" s="218"/>
      <c r="AW660" s="218"/>
      <c r="AX660" s="218"/>
      <c r="AY660" s="218"/>
      <c r="AZ660" s="218"/>
      <c r="BA660" s="218"/>
      <c r="BB660" s="218"/>
      <c r="BC660" s="218"/>
      <c r="BD660" s="218"/>
      <c r="BE660" s="218"/>
      <c r="BF660" s="218"/>
      <c r="BG660" s="218"/>
      <c r="BH660" s="218"/>
      <c r="BI660" s="218"/>
      <c r="BJ660" s="224"/>
      <c r="BK660" s="224"/>
    </row>
    <row r="661" spans="1:63" ht="12.75" hidden="1" customHeight="1" outlineLevel="1">
      <c r="A661" s="9"/>
      <c r="B661" s="44"/>
      <c r="C661" s="271" t="str">
        <f>Asset6</f>
        <v>Non-network general assets - IT</v>
      </c>
      <c r="D661" s="9"/>
      <c r="E661" s="9"/>
      <c r="F661" s="28"/>
      <c r="G661" s="207">
        <f>Input!S12</f>
        <v>0</v>
      </c>
      <c r="H661" s="122"/>
      <c r="I661" s="122"/>
      <c r="J661" s="122"/>
      <c r="K661" s="122"/>
      <c r="L661" s="122"/>
      <c r="M661" s="110"/>
      <c r="N661" s="110"/>
      <c r="O661" s="110"/>
      <c r="P661" s="110"/>
      <c r="Q661" s="110"/>
      <c r="R661" s="110"/>
      <c r="S661" s="110"/>
      <c r="T661" s="110"/>
      <c r="U661" s="110"/>
      <c r="V661" s="110"/>
      <c r="W661" s="110"/>
      <c r="X661" s="110"/>
      <c r="Y661" s="110"/>
      <c r="Z661" s="110"/>
      <c r="AA661" s="218"/>
      <c r="AB661" s="218"/>
      <c r="AC661" s="218"/>
      <c r="AD661" s="218"/>
      <c r="AE661" s="218"/>
      <c r="AF661" s="218"/>
      <c r="AG661" s="218"/>
      <c r="AH661" s="218"/>
      <c r="AI661" s="218"/>
      <c r="AJ661" s="218"/>
      <c r="AK661" s="218"/>
      <c r="AL661" s="218"/>
      <c r="AM661" s="218"/>
      <c r="AN661" s="218"/>
      <c r="AO661" s="218"/>
      <c r="AP661" s="218"/>
      <c r="AQ661" s="218"/>
      <c r="AR661" s="218"/>
      <c r="AS661" s="218"/>
      <c r="AT661" s="218"/>
      <c r="AU661" s="218"/>
      <c r="AV661" s="218"/>
      <c r="AW661" s="218"/>
      <c r="AX661" s="218"/>
      <c r="AY661" s="218"/>
      <c r="AZ661" s="218"/>
      <c r="BA661" s="218"/>
      <c r="BB661" s="218"/>
      <c r="BC661" s="218"/>
      <c r="BD661" s="218"/>
      <c r="BE661" s="218"/>
      <c r="BF661" s="218"/>
      <c r="BG661" s="218"/>
      <c r="BH661" s="218"/>
      <c r="BI661" s="218"/>
      <c r="BJ661" s="224"/>
      <c r="BK661" s="224"/>
    </row>
    <row r="662" spans="1:63" ht="12.75" hidden="1" customHeight="1" outlineLevel="1">
      <c r="A662" s="9"/>
      <c r="B662" s="44"/>
      <c r="C662" s="271" t="str">
        <f>Asset7</f>
        <v>Non-network general assets - Other</v>
      </c>
      <c r="D662" s="9"/>
      <c r="E662" s="9"/>
      <c r="F662" s="28"/>
      <c r="G662" s="207">
        <f>Input!S13</f>
        <v>0</v>
      </c>
      <c r="H662" s="122"/>
      <c r="I662" s="122"/>
      <c r="J662" s="122"/>
      <c r="K662" s="122"/>
      <c r="L662" s="122"/>
      <c r="M662" s="110"/>
      <c r="N662" s="110"/>
      <c r="O662" s="110"/>
      <c r="P662" s="110"/>
      <c r="Q662" s="110"/>
      <c r="R662" s="110"/>
      <c r="S662" s="110"/>
      <c r="T662" s="110"/>
      <c r="U662" s="110"/>
      <c r="V662" s="110"/>
      <c r="W662" s="110"/>
      <c r="X662" s="110"/>
      <c r="Y662" s="110"/>
      <c r="Z662" s="110"/>
      <c r="AA662" s="218"/>
      <c r="AB662" s="218"/>
      <c r="AC662" s="218"/>
      <c r="AD662" s="218"/>
      <c r="AE662" s="218"/>
      <c r="AF662" s="218"/>
      <c r="AG662" s="218"/>
      <c r="AH662" s="218"/>
      <c r="AI662" s="218"/>
      <c r="AJ662" s="218"/>
      <c r="AK662" s="218"/>
      <c r="AL662" s="218"/>
      <c r="AM662" s="218"/>
      <c r="AN662" s="218"/>
      <c r="AO662" s="218"/>
      <c r="AP662" s="218"/>
      <c r="AQ662" s="218"/>
      <c r="AR662" s="218"/>
      <c r="AS662" s="218"/>
      <c r="AT662" s="218"/>
      <c r="AU662" s="218"/>
      <c r="AV662" s="218"/>
      <c r="AW662" s="218"/>
      <c r="AX662" s="218"/>
      <c r="AY662" s="218"/>
      <c r="AZ662" s="218"/>
      <c r="BA662" s="218"/>
      <c r="BB662" s="218"/>
      <c r="BC662" s="218"/>
      <c r="BD662" s="218"/>
      <c r="BE662" s="218"/>
      <c r="BF662" s="218"/>
      <c r="BG662" s="218"/>
      <c r="BH662" s="218"/>
      <c r="BI662" s="218"/>
      <c r="BJ662" s="224"/>
      <c r="BK662" s="224"/>
    </row>
    <row r="663" spans="1:63" ht="12.75" hidden="1" customHeight="1" outlineLevel="1">
      <c r="A663" s="9"/>
      <c r="B663" s="44"/>
      <c r="C663" s="271" t="str">
        <f>Asset8</f>
        <v>Equity Raising Costs</v>
      </c>
      <c r="D663" s="9"/>
      <c r="E663" s="9"/>
      <c r="F663" s="28"/>
      <c r="G663" s="207">
        <f>Input!S14</f>
        <v>0</v>
      </c>
      <c r="H663" s="122"/>
      <c r="I663" s="122"/>
      <c r="J663" s="122"/>
      <c r="K663" s="122"/>
      <c r="L663" s="122"/>
      <c r="M663" s="110"/>
      <c r="N663" s="110"/>
      <c r="O663" s="110"/>
      <c r="P663" s="110"/>
      <c r="Q663" s="110"/>
      <c r="R663" s="110"/>
      <c r="S663" s="110"/>
      <c r="T663" s="110"/>
      <c r="U663" s="110"/>
      <c r="V663" s="110"/>
      <c r="W663" s="110"/>
      <c r="X663" s="110"/>
      <c r="Y663" s="110"/>
      <c r="Z663" s="110"/>
      <c r="AA663" s="218"/>
      <c r="AB663" s="218"/>
      <c r="AC663" s="218"/>
      <c r="AD663" s="218"/>
      <c r="AE663" s="218"/>
      <c r="AF663" s="218"/>
      <c r="AG663" s="218"/>
      <c r="AH663" s="218"/>
      <c r="AI663" s="218"/>
      <c r="AJ663" s="218"/>
      <c r="AK663" s="218"/>
      <c r="AL663" s="218"/>
      <c r="AM663" s="218"/>
      <c r="AN663" s="218"/>
      <c r="AO663" s="218"/>
      <c r="AP663" s="218"/>
      <c r="AQ663" s="218"/>
      <c r="AR663" s="218"/>
      <c r="AS663" s="218"/>
      <c r="AT663" s="218"/>
      <c r="AU663" s="218"/>
      <c r="AV663" s="218"/>
      <c r="AW663" s="218"/>
      <c r="AX663" s="218"/>
      <c r="AY663" s="218"/>
      <c r="AZ663" s="218"/>
      <c r="BA663" s="218"/>
      <c r="BB663" s="218"/>
      <c r="BC663" s="218"/>
      <c r="BD663" s="218"/>
      <c r="BE663" s="218"/>
      <c r="BF663" s="218"/>
      <c r="BG663" s="218"/>
      <c r="BH663" s="218"/>
      <c r="BI663" s="218"/>
      <c r="BJ663" s="224"/>
      <c r="BK663" s="224"/>
    </row>
    <row r="664" spans="1:63" ht="12.75" hidden="1" customHeight="1" outlineLevel="1">
      <c r="A664" s="9"/>
      <c r="B664" s="44"/>
      <c r="C664" s="271">
        <f>Asset9</f>
        <v>0</v>
      </c>
      <c r="D664" s="9"/>
      <c r="E664" s="9"/>
      <c r="F664" s="28"/>
      <c r="G664" s="207">
        <f>Input!S15</f>
        <v>0</v>
      </c>
      <c r="H664" s="122"/>
      <c r="I664" s="122"/>
      <c r="J664" s="122"/>
      <c r="K664" s="122"/>
      <c r="L664" s="122"/>
      <c r="M664" s="110"/>
      <c r="N664" s="110"/>
      <c r="O664" s="110"/>
      <c r="P664" s="110"/>
      <c r="Q664" s="110"/>
      <c r="R664" s="110"/>
      <c r="S664" s="110"/>
      <c r="T664" s="110"/>
      <c r="U664" s="110"/>
      <c r="V664" s="110"/>
      <c r="W664" s="110"/>
      <c r="X664" s="110"/>
      <c r="Y664" s="110"/>
      <c r="Z664" s="110"/>
      <c r="AA664" s="218"/>
      <c r="AB664" s="218"/>
      <c r="AC664" s="218"/>
      <c r="AD664" s="218"/>
      <c r="AE664" s="218"/>
      <c r="AF664" s="218"/>
      <c r="AG664" s="218"/>
      <c r="AH664" s="218"/>
      <c r="AI664" s="218"/>
      <c r="AJ664" s="218"/>
      <c r="AK664" s="218"/>
      <c r="AL664" s="218"/>
      <c r="AM664" s="218"/>
      <c r="AN664" s="218"/>
      <c r="AO664" s="218"/>
      <c r="AP664" s="218"/>
      <c r="AQ664" s="218"/>
      <c r="AR664" s="218"/>
      <c r="AS664" s="218"/>
      <c r="AT664" s="218"/>
      <c r="AU664" s="218"/>
      <c r="AV664" s="218"/>
      <c r="AW664" s="218"/>
      <c r="AX664" s="218"/>
      <c r="AY664" s="218"/>
      <c r="AZ664" s="218"/>
      <c r="BA664" s="218"/>
      <c r="BB664" s="218"/>
      <c r="BC664" s="218"/>
      <c r="BD664" s="218"/>
      <c r="BE664" s="218"/>
      <c r="BF664" s="218"/>
      <c r="BG664" s="218"/>
      <c r="BH664" s="218"/>
      <c r="BI664" s="218"/>
      <c r="BJ664" s="224"/>
      <c r="BK664" s="224"/>
    </row>
    <row r="665" spans="1:63" ht="12.75" hidden="1" customHeight="1" outlineLevel="1">
      <c r="A665" s="9"/>
      <c r="B665" s="44"/>
      <c r="C665" s="271">
        <f>Asset10</f>
        <v>0</v>
      </c>
      <c r="D665" s="9"/>
      <c r="E665" s="9"/>
      <c r="F665" s="28"/>
      <c r="G665" s="207">
        <f>Input!S16</f>
        <v>0</v>
      </c>
      <c r="H665" s="122"/>
      <c r="I665" s="122"/>
      <c r="J665" s="122"/>
      <c r="K665" s="122"/>
      <c r="L665" s="122"/>
      <c r="M665" s="110"/>
      <c r="N665" s="110"/>
      <c r="O665" s="110"/>
      <c r="P665" s="110"/>
      <c r="Q665" s="110"/>
      <c r="R665" s="110"/>
      <c r="S665" s="110"/>
      <c r="T665" s="110"/>
      <c r="U665" s="110"/>
      <c r="V665" s="110"/>
      <c r="W665" s="110"/>
      <c r="X665" s="110"/>
      <c r="Y665" s="110"/>
      <c r="Z665" s="110"/>
      <c r="AA665" s="218"/>
      <c r="AB665" s="218"/>
      <c r="AC665" s="218"/>
      <c r="AD665" s="218"/>
      <c r="AE665" s="218"/>
      <c r="AF665" s="218"/>
      <c r="AG665" s="218"/>
      <c r="AH665" s="218"/>
      <c r="AI665" s="218"/>
      <c r="AJ665" s="218"/>
      <c r="AK665" s="218"/>
      <c r="AL665" s="218"/>
      <c r="AM665" s="218"/>
      <c r="AN665" s="218"/>
      <c r="AO665" s="218"/>
      <c r="AP665" s="218"/>
      <c r="AQ665" s="218"/>
      <c r="AR665" s="218"/>
      <c r="AS665" s="218"/>
      <c r="AT665" s="218"/>
      <c r="AU665" s="218"/>
      <c r="AV665" s="218"/>
      <c r="AW665" s="218"/>
      <c r="AX665" s="218"/>
      <c r="AY665" s="218"/>
      <c r="AZ665" s="218"/>
      <c r="BA665" s="218"/>
      <c r="BB665" s="218"/>
      <c r="BC665" s="218"/>
      <c r="BD665" s="218"/>
      <c r="BE665" s="218"/>
      <c r="BF665" s="218"/>
      <c r="BG665" s="218"/>
      <c r="BH665" s="218"/>
      <c r="BI665" s="218"/>
      <c r="BJ665" s="224"/>
      <c r="BK665" s="224"/>
    </row>
    <row r="666" spans="1:63" ht="12.75" hidden="1" customHeight="1" outlineLevel="1">
      <c r="A666" s="9"/>
      <c r="B666" s="44"/>
      <c r="C666" s="271">
        <f>Asset11</f>
        <v>0</v>
      </c>
      <c r="D666" s="9"/>
      <c r="E666" s="9"/>
      <c r="F666" s="28"/>
      <c r="G666" s="207">
        <f>Input!S17</f>
        <v>0</v>
      </c>
      <c r="H666" s="122"/>
      <c r="I666" s="122"/>
      <c r="J666" s="122"/>
      <c r="K666" s="122"/>
      <c r="L666" s="122"/>
      <c r="M666" s="110"/>
      <c r="N666" s="110"/>
      <c r="O666" s="110"/>
      <c r="P666" s="110"/>
      <c r="Q666" s="110"/>
      <c r="R666" s="110"/>
      <c r="S666" s="110"/>
      <c r="T666" s="110"/>
      <c r="U666" s="110"/>
      <c r="V666" s="110"/>
      <c r="W666" s="110"/>
      <c r="X666" s="110"/>
      <c r="Y666" s="110"/>
      <c r="Z666" s="110"/>
      <c r="AA666" s="218"/>
      <c r="AB666" s="218"/>
      <c r="AC666" s="218"/>
      <c r="AD666" s="218"/>
      <c r="AE666" s="218"/>
      <c r="AF666" s="218"/>
      <c r="AG666" s="218"/>
      <c r="AH666" s="218"/>
      <c r="AI666" s="218"/>
      <c r="AJ666" s="218"/>
      <c r="AK666" s="218"/>
      <c r="AL666" s="218"/>
      <c r="AM666" s="218"/>
      <c r="AN666" s="218"/>
      <c r="AO666" s="218"/>
      <c r="AP666" s="218"/>
      <c r="AQ666" s="218"/>
      <c r="AR666" s="218"/>
      <c r="AS666" s="218"/>
      <c r="AT666" s="218"/>
      <c r="AU666" s="218"/>
      <c r="AV666" s="218"/>
      <c r="AW666" s="218"/>
      <c r="AX666" s="218"/>
      <c r="AY666" s="218"/>
      <c r="AZ666" s="218"/>
      <c r="BA666" s="218"/>
      <c r="BB666" s="218"/>
      <c r="BC666" s="218"/>
      <c r="BD666" s="218"/>
      <c r="BE666" s="218"/>
      <c r="BF666" s="218"/>
      <c r="BG666" s="218"/>
      <c r="BH666" s="218"/>
      <c r="BI666" s="218"/>
      <c r="BJ666" s="224"/>
      <c r="BK666" s="224"/>
    </row>
    <row r="667" spans="1:63" ht="12.75" hidden="1" customHeight="1" outlineLevel="1">
      <c r="A667" s="9"/>
      <c r="B667" s="44"/>
      <c r="C667" s="271">
        <f>Asset12</f>
        <v>0</v>
      </c>
      <c r="D667" s="9"/>
      <c r="E667" s="9"/>
      <c r="F667" s="28"/>
      <c r="G667" s="207">
        <f>Input!S18</f>
        <v>0</v>
      </c>
      <c r="H667" s="122"/>
      <c r="I667" s="122"/>
      <c r="J667" s="122"/>
      <c r="K667" s="122"/>
      <c r="L667" s="122"/>
      <c r="M667" s="110"/>
      <c r="N667" s="110"/>
      <c r="O667" s="110"/>
      <c r="P667" s="110"/>
      <c r="Q667" s="110"/>
      <c r="R667" s="110"/>
      <c r="S667" s="110"/>
      <c r="T667" s="110"/>
      <c r="U667" s="110"/>
      <c r="V667" s="110"/>
      <c r="W667" s="110"/>
      <c r="X667" s="110"/>
      <c r="Y667" s="110"/>
      <c r="Z667" s="110"/>
      <c r="AA667" s="218"/>
      <c r="AB667" s="218"/>
      <c r="AC667" s="218"/>
      <c r="AD667" s="218"/>
      <c r="AE667" s="218"/>
      <c r="AF667" s="218"/>
      <c r="AG667" s="218"/>
      <c r="AH667" s="218"/>
      <c r="AI667" s="218"/>
      <c r="AJ667" s="218"/>
      <c r="AK667" s="218"/>
      <c r="AL667" s="218"/>
      <c r="AM667" s="218"/>
      <c r="AN667" s="218"/>
      <c r="AO667" s="218"/>
      <c r="AP667" s="218"/>
      <c r="AQ667" s="218"/>
      <c r="AR667" s="218"/>
      <c r="AS667" s="218"/>
      <c r="AT667" s="218"/>
      <c r="AU667" s="218"/>
      <c r="AV667" s="218"/>
      <c r="AW667" s="218"/>
      <c r="AX667" s="218"/>
      <c r="AY667" s="218"/>
      <c r="AZ667" s="218"/>
      <c r="BA667" s="218"/>
      <c r="BB667" s="218"/>
      <c r="BC667" s="218"/>
      <c r="BD667" s="218"/>
      <c r="BE667" s="218"/>
      <c r="BF667" s="218"/>
      <c r="BG667" s="218"/>
      <c r="BH667" s="218"/>
      <c r="BI667" s="218"/>
      <c r="BJ667" s="224"/>
      <c r="BK667" s="224"/>
    </row>
    <row r="668" spans="1:63" ht="12.75" hidden="1" customHeight="1" outlineLevel="1">
      <c r="A668" s="9"/>
      <c r="B668" s="44"/>
      <c r="C668" s="271">
        <f>Asset13</f>
        <v>0</v>
      </c>
      <c r="D668" s="9"/>
      <c r="E668" s="9"/>
      <c r="F668" s="28"/>
      <c r="G668" s="207">
        <f>Input!S19</f>
        <v>0</v>
      </c>
      <c r="H668" s="122"/>
      <c r="I668" s="122"/>
      <c r="J668" s="122"/>
      <c r="K668" s="122"/>
      <c r="L668" s="122"/>
      <c r="M668" s="110"/>
      <c r="N668" s="110"/>
      <c r="O668" s="110"/>
      <c r="P668" s="110"/>
      <c r="Q668" s="110"/>
      <c r="R668" s="110"/>
      <c r="S668" s="110"/>
      <c r="T668" s="110"/>
      <c r="U668" s="110"/>
      <c r="V668" s="110"/>
      <c r="W668" s="110"/>
      <c r="X668" s="110"/>
      <c r="Y668" s="110"/>
      <c r="Z668" s="110"/>
      <c r="AA668" s="218"/>
      <c r="AB668" s="218"/>
      <c r="AC668" s="218"/>
      <c r="AD668" s="218"/>
      <c r="AE668" s="218"/>
      <c r="AF668" s="218"/>
      <c r="AG668" s="218"/>
      <c r="AH668" s="218"/>
      <c r="AI668" s="218"/>
      <c r="AJ668" s="218"/>
      <c r="AK668" s="218"/>
      <c r="AL668" s="218"/>
      <c r="AM668" s="218"/>
      <c r="AN668" s="218"/>
      <c r="AO668" s="218"/>
      <c r="AP668" s="218"/>
      <c r="AQ668" s="218"/>
      <c r="AR668" s="218"/>
      <c r="AS668" s="218"/>
      <c r="AT668" s="218"/>
      <c r="AU668" s="218"/>
      <c r="AV668" s="218"/>
      <c r="AW668" s="218"/>
      <c r="AX668" s="218"/>
      <c r="AY668" s="218"/>
      <c r="AZ668" s="218"/>
      <c r="BA668" s="218"/>
      <c r="BB668" s="218"/>
      <c r="BC668" s="218"/>
      <c r="BD668" s="218"/>
      <c r="BE668" s="218"/>
      <c r="BF668" s="218"/>
      <c r="BG668" s="218"/>
      <c r="BH668" s="218"/>
      <c r="BI668" s="218"/>
      <c r="BJ668" s="224"/>
      <c r="BK668" s="224"/>
    </row>
    <row r="669" spans="1:63" ht="12.75" hidden="1" customHeight="1" outlineLevel="1">
      <c r="A669" s="9"/>
      <c r="B669" s="44"/>
      <c r="C669" s="271">
        <f>Asset14</f>
        <v>0</v>
      </c>
      <c r="D669" s="9"/>
      <c r="E669" s="9"/>
      <c r="F669" s="28"/>
      <c r="G669" s="207">
        <f>Input!S20</f>
        <v>0</v>
      </c>
      <c r="H669" s="122"/>
      <c r="I669" s="122"/>
      <c r="J669" s="122"/>
      <c r="K669" s="122"/>
      <c r="L669" s="122"/>
      <c r="M669" s="110"/>
      <c r="N669" s="110"/>
      <c r="O669" s="110"/>
      <c r="P669" s="110"/>
      <c r="Q669" s="110"/>
      <c r="R669" s="110"/>
      <c r="S669" s="110"/>
      <c r="T669" s="110"/>
      <c r="U669" s="110"/>
      <c r="V669" s="110"/>
      <c r="W669" s="110"/>
      <c r="X669" s="110"/>
      <c r="Y669" s="110"/>
      <c r="Z669" s="110"/>
      <c r="AA669" s="218"/>
      <c r="AB669" s="218"/>
      <c r="AC669" s="218"/>
      <c r="AD669" s="218"/>
      <c r="AE669" s="218"/>
      <c r="AF669" s="218"/>
      <c r="AG669" s="218"/>
      <c r="AH669" s="218"/>
      <c r="AI669" s="218"/>
      <c r="AJ669" s="218"/>
      <c r="AK669" s="218"/>
      <c r="AL669" s="218"/>
      <c r="AM669" s="218"/>
      <c r="AN669" s="218"/>
      <c r="AO669" s="218"/>
      <c r="AP669" s="218"/>
      <c r="AQ669" s="218"/>
      <c r="AR669" s="218"/>
      <c r="AS669" s="218"/>
      <c r="AT669" s="218"/>
      <c r="AU669" s="218"/>
      <c r="AV669" s="218"/>
      <c r="AW669" s="218"/>
      <c r="AX669" s="218"/>
      <c r="AY669" s="218"/>
      <c r="AZ669" s="218"/>
      <c r="BA669" s="218"/>
      <c r="BB669" s="218"/>
      <c r="BC669" s="218"/>
      <c r="BD669" s="218"/>
      <c r="BE669" s="218"/>
      <c r="BF669" s="218"/>
      <c r="BG669" s="218"/>
      <c r="BH669" s="218"/>
      <c r="BI669" s="218"/>
      <c r="BJ669" s="224"/>
      <c r="BK669" s="224"/>
    </row>
    <row r="670" spans="1:63" ht="12.75" hidden="1" customHeight="1" outlineLevel="1">
      <c r="A670" s="9"/>
      <c r="B670" s="44"/>
      <c r="C670" s="271">
        <f>Asset15</f>
        <v>0</v>
      </c>
      <c r="D670" s="9"/>
      <c r="E670" s="9"/>
      <c r="F670" s="28"/>
      <c r="G670" s="207">
        <f>Input!S21</f>
        <v>0</v>
      </c>
      <c r="H670" s="122"/>
      <c r="I670" s="122"/>
      <c r="J670" s="122"/>
      <c r="K670" s="122"/>
      <c r="L670" s="122"/>
      <c r="M670" s="110"/>
      <c r="N670" s="110"/>
      <c r="O670" s="110"/>
      <c r="P670" s="110"/>
      <c r="Q670" s="110"/>
      <c r="R670" s="110"/>
      <c r="S670" s="110"/>
      <c r="T670" s="110"/>
      <c r="U670" s="110"/>
      <c r="V670" s="110"/>
      <c r="W670" s="110"/>
      <c r="X670" s="110"/>
      <c r="Y670" s="110"/>
      <c r="Z670" s="110"/>
      <c r="AA670" s="218"/>
      <c r="AB670" s="218"/>
      <c r="AC670" s="218"/>
      <c r="AD670" s="218"/>
      <c r="AE670" s="218"/>
      <c r="AF670" s="218"/>
      <c r="AG670" s="218"/>
      <c r="AH670" s="218"/>
      <c r="AI670" s="218"/>
      <c r="AJ670" s="218"/>
      <c r="AK670" s="218"/>
      <c r="AL670" s="218"/>
      <c r="AM670" s="218"/>
      <c r="AN670" s="218"/>
      <c r="AO670" s="218"/>
      <c r="AP670" s="218"/>
      <c r="AQ670" s="218"/>
      <c r="AR670" s="218"/>
      <c r="AS670" s="218"/>
      <c r="AT670" s="218"/>
      <c r="AU670" s="218"/>
      <c r="AV670" s="218"/>
      <c r="AW670" s="218"/>
      <c r="AX670" s="218"/>
      <c r="AY670" s="218"/>
      <c r="AZ670" s="218"/>
      <c r="BA670" s="218"/>
      <c r="BB670" s="218"/>
      <c r="BC670" s="218"/>
      <c r="BD670" s="218"/>
      <c r="BE670" s="218"/>
      <c r="BF670" s="218"/>
      <c r="BG670" s="218"/>
      <c r="BH670" s="218"/>
      <c r="BI670" s="218"/>
      <c r="BJ670" s="224"/>
      <c r="BK670" s="224"/>
    </row>
    <row r="671" spans="1:63" ht="12.75" hidden="1" customHeight="1" outlineLevel="1">
      <c r="A671" s="9"/>
      <c r="B671" s="44"/>
      <c r="C671" s="271">
        <f>Asset16</f>
        <v>0</v>
      </c>
      <c r="D671" s="9"/>
      <c r="E671" s="9"/>
      <c r="F671" s="28"/>
      <c r="G671" s="207">
        <f>Input!S22</f>
        <v>0</v>
      </c>
      <c r="H671" s="122"/>
      <c r="I671" s="122"/>
      <c r="J671" s="122"/>
      <c r="K671" s="122"/>
      <c r="L671" s="122"/>
      <c r="M671" s="110"/>
      <c r="N671" s="110"/>
      <c r="O671" s="110"/>
      <c r="P671" s="110"/>
      <c r="Q671" s="110"/>
      <c r="R671" s="110"/>
      <c r="S671" s="110"/>
      <c r="T671" s="110"/>
      <c r="U671" s="110"/>
      <c r="V671" s="110"/>
      <c r="W671" s="110"/>
      <c r="X671" s="110"/>
      <c r="Y671" s="110"/>
      <c r="Z671" s="110"/>
      <c r="AA671" s="218"/>
      <c r="AB671" s="218"/>
      <c r="AC671" s="218"/>
      <c r="AD671" s="218"/>
      <c r="AE671" s="218"/>
      <c r="AF671" s="218"/>
      <c r="AG671" s="218"/>
      <c r="AH671" s="218"/>
      <c r="AI671" s="218"/>
      <c r="AJ671" s="218"/>
      <c r="AK671" s="218"/>
      <c r="AL671" s="218"/>
      <c r="AM671" s="218"/>
      <c r="AN671" s="218"/>
      <c r="AO671" s="218"/>
      <c r="AP671" s="218"/>
      <c r="AQ671" s="218"/>
      <c r="AR671" s="218"/>
      <c r="AS671" s="218"/>
      <c r="AT671" s="218"/>
      <c r="AU671" s="218"/>
      <c r="AV671" s="218"/>
      <c r="AW671" s="218"/>
      <c r="AX671" s="218"/>
      <c r="AY671" s="218"/>
      <c r="AZ671" s="218"/>
      <c r="BA671" s="218"/>
      <c r="BB671" s="218"/>
      <c r="BC671" s="218"/>
      <c r="BD671" s="218"/>
      <c r="BE671" s="218"/>
      <c r="BF671" s="218"/>
      <c r="BG671" s="218"/>
      <c r="BH671" s="218"/>
      <c r="BI671" s="218"/>
      <c r="BJ671" s="224"/>
      <c r="BK671" s="224"/>
    </row>
    <row r="672" spans="1:63" ht="12.75" hidden="1" customHeight="1" outlineLevel="1">
      <c r="A672" s="9"/>
      <c r="B672" s="44"/>
      <c r="C672" s="271">
        <f>Asset17</f>
        <v>0</v>
      </c>
      <c r="D672" s="9"/>
      <c r="E672" s="9"/>
      <c r="F672" s="28"/>
      <c r="G672" s="207">
        <f>Input!S23</f>
        <v>0</v>
      </c>
      <c r="H672" s="122"/>
      <c r="I672" s="122"/>
      <c r="J672" s="122"/>
      <c r="K672" s="122"/>
      <c r="L672" s="122"/>
      <c r="M672" s="110"/>
      <c r="N672" s="110"/>
      <c r="O672" s="110"/>
      <c r="P672" s="110"/>
      <c r="Q672" s="110"/>
      <c r="R672" s="110"/>
      <c r="S672" s="110"/>
      <c r="T672" s="110"/>
      <c r="U672" s="110"/>
      <c r="V672" s="110"/>
      <c r="W672" s="110"/>
      <c r="X672" s="110"/>
      <c r="Y672" s="110"/>
      <c r="Z672" s="110"/>
      <c r="AA672" s="218"/>
      <c r="AB672" s="218"/>
      <c r="AC672" s="218"/>
      <c r="AD672" s="218"/>
      <c r="AE672" s="218"/>
      <c r="AF672" s="218"/>
      <c r="AG672" s="218"/>
      <c r="AH672" s="218"/>
      <c r="AI672" s="218"/>
      <c r="AJ672" s="218"/>
      <c r="AK672" s="218"/>
      <c r="AL672" s="218"/>
      <c r="AM672" s="218"/>
      <c r="AN672" s="218"/>
      <c r="AO672" s="218"/>
      <c r="AP672" s="218"/>
      <c r="AQ672" s="218"/>
      <c r="AR672" s="218"/>
      <c r="AS672" s="218"/>
      <c r="AT672" s="218"/>
      <c r="AU672" s="218"/>
      <c r="AV672" s="218"/>
      <c r="AW672" s="218"/>
      <c r="AX672" s="218"/>
      <c r="AY672" s="218"/>
      <c r="AZ672" s="218"/>
      <c r="BA672" s="218"/>
      <c r="BB672" s="218"/>
      <c r="BC672" s="218"/>
      <c r="BD672" s="218"/>
      <c r="BE672" s="218"/>
      <c r="BF672" s="218"/>
      <c r="BG672" s="218"/>
      <c r="BH672" s="218"/>
      <c r="BI672" s="218"/>
      <c r="BJ672" s="224"/>
      <c r="BK672" s="224"/>
    </row>
    <row r="673" spans="1:63" ht="12.75" hidden="1" customHeight="1" outlineLevel="1">
      <c r="A673" s="9"/>
      <c r="B673" s="44"/>
      <c r="C673" s="271">
        <f>Asset18</f>
        <v>0</v>
      </c>
      <c r="D673" s="9"/>
      <c r="E673" s="9"/>
      <c r="F673" s="28"/>
      <c r="G673" s="207">
        <f>Input!S24</f>
        <v>0</v>
      </c>
      <c r="H673" s="122"/>
      <c r="I673" s="122"/>
      <c r="J673" s="122"/>
      <c r="K673" s="122"/>
      <c r="L673" s="122"/>
      <c r="M673" s="110"/>
      <c r="N673" s="110"/>
      <c r="O673" s="110"/>
      <c r="P673" s="110"/>
      <c r="Q673" s="110"/>
      <c r="R673" s="110"/>
      <c r="S673" s="110"/>
      <c r="T673" s="110"/>
      <c r="U673" s="110"/>
      <c r="V673" s="110"/>
      <c r="W673" s="110"/>
      <c r="X673" s="110"/>
      <c r="Y673" s="110"/>
      <c r="Z673" s="110"/>
      <c r="AA673" s="218"/>
      <c r="AB673" s="218"/>
      <c r="AC673" s="218"/>
      <c r="AD673" s="218"/>
      <c r="AE673" s="218"/>
      <c r="AF673" s="218"/>
      <c r="AG673" s="218"/>
      <c r="AH673" s="218"/>
      <c r="AI673" s="218"/>
      <c r="AJ673" s="218"/>
      <c r="AK673" s="218"/>
      <c r="AL673" s="218"/>
      <c r="AM673" s="218"/>
      <c r="AN673" s="218"/>
      <c r="AO673" s="218"/>
      <c r="AP673" s="218"/>
      <c r="AQ673" s="218"/>
      <c r="AR673" s="218"/>
      <c r="AS673" s="218"/>
      <c r="AT673" s="218"/>
      <c r="AU673" s="218"/>
      <c r="AV673" s="218"/>
      <c r="AW673" s="218"/>
      <c r="AX673" s="218"/>
      <c r="AY673" s="218"/>
      <c r="AZ673" s="218"/>
      <c r="BA673" s="218"/>
      <c r="BB673" s="218"/>
      <c r="BC673" s="218"/>
      <c r="BD673" s="218"/>
      <c r="BE673" s="218"/>
      <c r="BF673" s="218"/>
      <c r="BG673" s="218"/>
      <c r="BH673" s="218"/>
      <c r="BI673" s="218"/>
      <c r="BJ673" s="224"/>
      <c r="BK673" s="224"/>
    </row>
    <row r="674" spans="1:63" ht="12.75" hidden="1" customHeight="1" outlineLevel="1">
      <c r="A674" s="9"/>
      <c r="B674" s="44"/>
      <c r="C674" s="271">
        <f>Asset19</f>
        <v>0</v>
      </c>
      <c r="D674" s="9"/>
      <c r="E674" s="9"/>
      <c r="F674" s="28"/>
      <c r="G674" s="207">
        <f>Input!S25</f>
        <v>0</v>
      </c>
      <c r="H674" s="122"/>
      <c r="I674" s="122"/>
      <c r="J674" s="122"/>
      <c r="K674" s="122"/>
      <c r="L674" s="122"/>
      <c r="M674" s="110"/>
      <c r="N674" s="110"/>
      <c r="O674" s="110"/>
      <c r="P674" s="110"/>
      <c r="Q674" s="110"/>
      <c r="R674" s="110"/>
      <c r="S674" s="110"/>
      <c r="T674" s="110"/>
      <c r="U674" s="110"/>
      <c r="V674" s="110"/>
      <c r="W674" s="110"/>
      <c r="X674" s="110"/>
      <c r="Y674" s="110"/>
      <c r="Z674" s="110"/>
      <c r="AA674" s="218"/>
      <c r="AB674" s="218"/>
      <c r="AC674" s="218"/>
      <c r="AD674" s="218"/>
      <c r="AE674" s="218"/>
      <c r="AF674" s="218"/>
      <c r="AG674" s="218"/>
      <c r="AH674" s="218"/>
      <c r="AI674" s="218"/>
      <c r="AJ674" s="218"/>
      <c r="AK674" s="218"/>
      <c r="AL674" s="218"/>
      <c r="AM674" s="218"/>
      <c r="AN674" s="218"/>
      <c r="AO674" s="218"/>
      <c r="AP674" s="218"/>
      <c r="AQ674" s="218"/>
      <c r="AR674" s="218"/>
      <c r="AS674" s="218"/>
      <c r="AT674" s="218"/>
      <c r="AU674" s="218"/>
      <c r="AV674" s="218"/>
      <c r="AW674" s="218"/>
      <c r="AX674" s="218"/>
      <c r="AY674" s="218"/>
      <c r="AZ674" s="218"/>
      <c r="BA674" s="218"/>
      <c r="BB674" s="218"/>
      <c r="BC674" s="218"/>
      <c r="BD674" s="218"/>
      <c r="BE674" s="218"/>
      <c r="BF674" s="218"/>
      <c r="BG674" s="218"/>
      <c r="BH674" s="218"/>
      <c r="BI674" s="218"/>
      <c r="BJ674" s="224"/>
      <c r="BK674" s="224"/>
    </row>
    <row r="675" spans="1:63" ht="12.75" hidden="1" customHeight="1" outlineLevel="1">
      <c r="A675" s="9"/>
      <c r="B675" s="44"/>
      <c r="C675" s="271">
        <f>Asset20</f>
        <v>0</v>
      </c>
      <c r="D675" s="9"/>
      <c r="E675" s="9"/>
      <c r="F675" s="28"/>
      <c r="G675" s="207">
        <f>Input!S26</f>
        <v>0</v>
      </c>
      <c r="H675" s="122"/>
      <c r="I675" s="122"/>
      <c r="J675" s="122"/>
      <c r="K675" s="122"/>
      <c r="L675" s="122"/>
      <c r="M675" s="110"/>
      <c r="N675" s="110"/>
      <c r="O675" s="110"/>
      <c r="P675" s="110"/>
      <c r="Q675" s="110"/>
      <c r="R675" s="110"/>
      <c r="S675" s="110"/>
      <c r="T675" s="110"/>
      <c r="U675" s="110"/>
      <c r="V675" s="110"/>
      <c r="W675" s="110"/>
      <c r="X675" s="110"/>
      <c r="Y675" s="110"/>
      <c r="Z675" s="110"/>
      <c r="AA675" s="218"/>
      <c r="AB675" s="218"/>
      <c r="AC675" s="218"/>
      <c r="AD675" s="218"/>
      <c r="AE675" s="218"/>
      <c r="AF675" s="218"/>
      <c r="AG675" s="218"/>
      <c r="AH675" s="218"/>
      <c r="AI675" s="218"/>
      <c r="AJ675" s="218"/>
      <c r="AK675" s="218"/>
      <c r="AL675" s="218"/>
      <c r="AM675" s="218"/>
      <c r="AN675" s="218"/>
      <c r="AO675" s="218"/>
      <c r="AP675" s="218"/>
      <c r="AQ675" s="218"/>
      <c r="AR675" s="218"/>
      <c r="AS675" s="218"/>
      <c r="AT675" s="218"/>
      <c r="AU675" s="218"/>
      <c r="AV675" s="218"/>
      <c r="AW675" s="218"/>
      <c r="AX675" s="218"/>
      <c r="AY675" s="218"/>
      <c r="AZ675" s="218"/>
      <c r="BA675" s="218"/>
      <c r="BB675" s="218"/>
      <c r="BC675" s="218"/>
      <c r="BD675" s="218"/>
      <c r="BE675" s="218"/>
      <c r="BF675" s="218"/>
      <c r="BG675" s="218"/>
      <c r="BH675" s="218"/>
      <c r="BI675" s="218"/>
      <c r="BJ675" s="224"/>
      <c r="BK675" s="224"/>
    </row>
    <row r="676" spans="1:63" ht="12.75" hidden="1" customHeight="1" outlineLevel="1">
      <c r="A676" s="9"/>
      <c r="B676" s="44"/>
      <c r="C676" s="271">
        <f>Asset21</f>
        <v>0</v>
      </c>
      <c r="D676" s="9"/>
      <c r="E676" s="9"/>
      <c r="F676" s="28"/>
      <c r="G676" s="207">
        <f>Input!S27</f>
        <v>0</v>
      </c>
      <c r="H676" s="122"/>
      <c r="I676" s="122"/>
      <c r="J676" s="122"/>
      <c r="K676" s="122"/>
      <c r="L676" s="122"/>
      <c r="M676" s="110"/>
      <c r="N676" s="110"/>
      <c r="O676" s="110"/>
      <c r="P676" s="110"/>
      <c r="Q676" s="110"/>
      <c r="R676" s="110"/>
      <c r="S676" s="110"/>
      <c r="T676" s="110"/>
      <c r="U676" s="110"/>
      <c r="V676" s="110"/>
      <c r="W676" s="110"/>
      <c r="X676" s="110"/>
      <c r="Y676" s="110"/>
      <c r="Z676" s="110"/>
      <c r="AA676" s="218"/>
      <c r="AB676" s="218"/>
      <c r="AC676" s="218"/>
      <c r="AD676" s="218"/>
      <c r="AE676" s="218"/>
      <c r="AF676" s="218"/>
      <c r="AG676" s="218"/>
      <c r="AH676" s="218"/>
      <c r="AI676" s="218"/>
      <c r="AJ676" s="218"/>
      <c r="AK676" s="218"/>
      <c r="AL676" s="218"/>
      <c r="AM676" s="218"/>
      <c r="AN676" s="218"/>
      <c r="AO676" s="218"/>
      <c r="AP676" s="218"/>
      <c r="AQ676" s="218"/>
      <c r="AR676" s="218"/>
      <c r="AS676" s="218"/>
      <c r="AT676" s="218"/>
      <c r="AU676" s="218"/>
      <c r="AV676" s="218"/>
      <c r="AW676" s="218"/>
      <c r="AX676" s="218"/>
      <c r="AY676" s="218"/>
      <c r="AZ676" s="218"/>
      <c r="BA676" s="218"/>
      <c r="BB676" s="218"/>
      <c r="BC676" s="218"/>
      <c r="BD676" s="218"/>
      <c r="BE676" s="218"/>
      <c r="BF676" s="218"/>
      <c r="BG676" s="218"/>
      <c r="BH676" s="218"/>
      <c r="BI676" s="218"/>
      <c r="BJ676" s="224"/>
      <c r="BK676" s="224"/>
    </row>
    <row r="677" spans="1:63" ht="12.75" hidden="1" customHeight="1" outlineLevel="1">
      <c r="A677" s="9"/>
      <c r="B677" s="44"/>
      <c r="C677" s="271">
        <f>Asset22</f>
        <v>0</v>
      </c>
      <c r="D677" s="9"/>
      <c r="E677" s="9"/>
      <c r="F677" s="28"/>
      <c r="G677" s="207">
        <f>Input!S28</f>
        <v>0</v>
      </c>
      <c r="H677" s="122"/>
      <c r="I677" s="122"/>
      <c r="J677" s="122"/>
      <c r="K677" s="122"/>
      <c r="L677" s="122"/>
      <c r="M677" s="110"/>
      <c r="N677" s="110"/>
      <c r="O677" s="110"/>
      <c r="P677" s="110"/>
      <c r="Q677" s="110"/>
      <c r="R677" s="110"/>
      <c r="S677" s="110"/>
      <c r="T677" s="110"/>
      <c r="U677" s="110"/>
      <c r="V677" s="110"/>
      <c r="W677" s="110"/>
      <c r="X677" s="110"/>
      <c r="Y677" s="110"/>
      <c r="Z677" s="110"/>
      <c r="AA677" s="218"/>
      <c r="AB677" s="218"/>
      <c r="AC677" s="218"/>
      <c r="AD677" s="218"/>
      <c r="AE677" s="218"/>
      <c r="AF677" s="218"/>
      <c r="AG677" s="218"/>
      <c r="AH677" s="218"/>
      <c r="AI677" s="218"/>
      <c r="AJ677" s="218"/>
      <c r="AK677" s="218"/>
      <c r="AL677" s="218"/>
      <c r="AM677" s="218"/>
      <c r="AN677" s="218"/>
      <c r="AO677" s="218"/>
      <c r="AP677" s="218"/>
      <c r="AQ677" s="218"/>
      <c r="AR677" s="218"/>
      <c r="AS677" s="218"/>
      <c r="AT677" s="218"/>
      <c r="AU677" s="218"/>
      <c r="AV677" s="218"/>
      <c r="AW677" s="218"/>
      <c r="AX677" s="218"/>
      <c r="AY677" s="218"/>
      <c r="AZ677" s="218"/>
      <c r="BA677" s="218"/>
      <c r="BB677" s="218"/>
      <c r="BC677" s="218"/>
      <c r="BD677" s="218"/>
      <c r="BE677" s="218"/>
      <c r="BF677" s="218"/>
      <c r="BG677" s="218"/>
      <c r="BH677" s="218"/>
      <c r="BI677" s="218"/>
      <c r="BJ677" s="224"/>
      <c r="BK677" s="224"/>
    </row>
    <row r="678" spans="1:63" ht="12.75" hidden="1" customHeight="1" outlineLevel="1">
      <c r="A678" s="9"/>
      <c r="B678" s="44"/>
      <c r="C678" s="271">
        <f>Asset23</f>
        <v>0</v>
      </c>
      <c r="D678" s="9"/>
      <c r="E678" s="9"/>
      <c r="F678" s="28"/>
      <c r="G678" s="207">
        <f>Input!S29</f>
        <v>0</v>
      </c>
      <c r="H678" s="122"/>
      <c r="I678" s="122"/>
      <c r="J678" s="122"/>
      <c r="K678" s="122"/>
      <c r="L678" s="122"/>
      <c r="M678" s="110"/>
      <c r="N678" s="110"/>
      <c r="O678" s="110"/>
      <c r="P678" s="110"/>
      <c r="Q678" s="110"/>
      <c r="R678" s="110"/>
      <c r="S678" s="110"/>
      <c r="T678" s="110"/>
      <c r="U678" s="110"/>
      <c r="V678" s="110"/>
      <c r="W678" s="110"/>
      <c r="X678" s="110"/>
      <c r="Y678" s="110"/>
      <c r="Z678" s="110"/>
      <c r="AA678" s="218"/>
      <c r="AB678" s="218"/>
      <c r="AC678" s="218"/>
      <c r="AD678" s="218"/>
      <c r="AE678" s="218"/>
      <c r="AF678" s="218"/>
      <c r="AG678" s="218"/>
      <c r="AH678" s="218"/>
      <c r="AI678" s="218"/>
      <c r="AJ678" s="218"/>
      <c r="AK678" s="218"/>
      <c r="AL678" s="218"/>
      <c r="AM678" s="218"/>
      <c r="AN678" s="218"/>
      <c r="AO678" s="218"/>
      <c r="AP678" s="218"/>
      <c r="AQ678" s="218"/>
      <c r="AR678" s="218"/>
      <c r="AS678" s="218"/>
      <c r="AT678" s="218"/>
      <c r="AU678" s="218"/>
      <c r="AV678" s="218"/>
      <c r="AW678" s="218"/>
      <c r="AX678" s="218"/>
      <c r="AY678" s="218"/>
      <c r="AZ678" s="218"/>
      <c r="BA678" s="218"/>
      <c r="BB678" s="218"/>
      <c r="BC678" s="218"/>
      <c r="BD678" s="218"/>
      <c r="BE678" s="218"/>
      <c r="BF678" s="218"/>
      <c r="BG678" s="218"/>
      <c r="BH678" s="218"/>
      <c r="BI678" s="218"/>
      <c r="BJ678" s="224"/>
      <c r="BK678" s="224"/>
    </row>
    <row r="679" spans="1:63" ht="12.75" hidden="1" customHeight="1" outlineLevel="1">
      <c r="A679" s="9"/>
      <c r="B679" s="44"/>
      <c r="C679" s="271">
        <f>Asset24</f>
        <v>0</v>
      </c>
      <c r="D679" s="9"/>
      <c r="E679" s="9"/>
      <c r="F679" s="28"/>
      <c r="G679" s="207">
        <f>Input!S30</f>
        <v>0</v>
      </c>
      <c r="H679" s="122"/>
      <c r="I679" s="122"/>
      <c r="J679" s="122"/>
      <c r="K679" s="122"/>
      <c r="L679" s="122"/>
      <c r="M679" s="110"/>
      <c r="N679" s="110"/>
      <c r="O679" s="110"/>
      <c r="P679" s="110"/>
      <c r="Q679" s="110"/>
      <c r="R679" s="110"/>
      <c r="S679" s="110"/>
      <c r="T679" s="110"/>
      <c r="U679" s="110"/>
      <c r="V679" s="110"/>
      <c r="W679" s="110"/>
      <c r="X679" s="110"/>
      <c r="Y679" s="110"/>
      <c r="Z679" s="110"/>
      <c r="AA679" s="218"/>
      <c r="AB679" s="218"/>
      <c r="AC679" s="218"/>
      <c r="AD679" s="218"/>
      <c r="AE679" s="218"/>
      <c r="AF679" s="218"/>
      <c r="AG679" s="218"/>
      <c r="AH679" s="218"/>
      <c r="AI679" s="218"/>
      <c r="AJ679" s="218"/>
      <c r="AK679" s="218"/>
      <c r="AL679" s="218"/>
      <c r="AM679" s="218"/>
      <c r="AN679" s="218"/>
      <c r="AO679" s="218"/>
      <c r="AP679" s="218"/>
      <c r="AQ679" s="218"/>
      <c r="AR679" s="218"/>
      <c r="AS679" s="218"/>
      <c r="AT679" s="218"/>
      <c r="AU679" s="218"/>
      <c r="AV679" s="218"/>
      <c r="AW679" s="218"/>
      <c r="AX679" s="218"/>
      <c r="AY679" s="218"/>
      <c r="AZ679" s="218"/>
      <c r="BA679" s="218"/>
      <c r="BB679" s="218"/>
      <c r="BC679" s="218"/>
      <c r="BD679" s="218"/>
      <c r="BE679" s="218"/>
      <c r="BF679" s="218"/>
      <c r="BG679" s="218"/>
      <c r="BH679" s="218"/>
      <c r="BI679" s="218"/>
      <c r="BJ679" s="224"/>
      <c r="BK679" s="224"/>
    </row>
    <row r="680" spans="1:63" ht="12.75" hidden="1" customHeight="1" outlineLevel="1">
      <c r="A680" s="9"/>
      <c r="B680" s="44"/>
      <c r="C680" s="271">
        <f>Asset25</f>
        <v>0</v>
      </c>
      <c r="D680" s="9"/>
      <c r="E680" s="9"/>
      <c r="F680" s="28"/>
      <c r="G680" s="207">
        <f>Input!S31</f>
        <v>0</v>
      </c>
      <c r="H680" s="122"/>
      <c r="I680" s="122"/>
      <c r="J680" s="122"/>
      <c r="K680" s="122"/>
      <c r="L680" s="122"/>
      <c r="M680" s="110"/>
      <c r="N680" s="110"/>
      <c r="O680" s="110"/>
      <c r="P680" s="110"/>
      <c r="Q680" s="110"/>
      <c r="R680" s="110"/>
      <c r="S680" s="110"/>
      <c r="T680" s="110"/>
      <c r="U680" s="110"/>
      <c r="V680" s="110"/>
      <c r="W680" s="110"/>
      <c r="X680" s="110"/>
      <c r="Y680" s="110"/>
      <c r="Z680" s="110"/>
      <c r="AA680" s="218"/>
      <c r="AB680" s="218"/>
      <c r="AC680" s="218"/>
      <c r="AD680" s="218"/>
      <c r="AE680" s="218"/>
      <c r="AF680" s="218"/>
      <c r="AG680" s="218"/>
      <c r="AH680" s="218"/>
      <c r="AI680" s="218"/>
      <c r="AJ680" s="218"/>
      <c r="AK680" s="218"/>
      <c r="AL680" s="218"/>
      <c r="AM680" s="218"/>
      <c r="AN680" s="218"/>
      <c r="AO680" s="218"/>
      <c r="AP680" s="218"/>
      <c r="AQ680" s="218"/>
      <c r="AR680" s="218"/>
      <c r="AS680" s="218"/>
      <c r="AT680" s="218"/>
      <c r="AU680" s="218"/>
      <c r="AV680" s="218"/>
      <c r="AW680" s="218"/>
      <c r="AX680" s="218"/>
      <c r="AY680" s="218"/>
      <c r="AZ680" s="218"/>
      <c r="BA680" s="218"/>
      <c r="BB680" s="218"/>
      <c r="BC680" s="218"/>
      <c r="BD680" s="218"/>
      <c r="BE680" s="218"/>
      <c r="BF680" s="218"/>
      <c r="BG680" s="218"/>
      <c r="BH680" s="218"/>
      <c r="BI680" s="218"/>
      <c r="BJ680" s="224"/>
      <c r="BK680" s="224"/>
    </row>
    <row r="681" spans="1:63" ht="12.75" hidden="1" customHeight="1" outlineLevel="1">
      <c r="A681" s="9"/>
      <c r="B681" s="44"/>
      <c r="C681" s="271">
        <f>Asset26</f>
        <v>0</v>
      </c>
      <c r="D681" s="9"/>
      <c r="E681" s="9"/>
      <c r="F681" s="28"/>
      <c r="G681" s="207">
        <f>Input!S32</f>
        <v>0</v>
      </c>
      <c r="H681" s="122"/>
      <c r="I681" s="122"/>
      <c r="J681" s="122"/>
      <c r="K681" s="122"/>
      <c r="L681" s="122"/>
      <c r="M681" s="110"/>
      <c r="N681" s="110"/>
      <c r="O681" s="110"/>
      <c r="P681" s="110"/>
      <c r="Q681" s="110"/>
      <c r="R681" s="110"/>
      <c r="S681" s="110"/>
      <c r="T681" s="110"/>
      <c r="U681" s="110"/>
      <c r="V681" s="110"/>
      <c r="W681" s="110"/>
      <c r="X681" s="110"/>
      <c r="Y681" s="110"/>
      <c r="Z681" s="110"/>
      <c r="AA681" s="218"/>
      <c r="AB681" s="218"/>
      <c r="AC681" s="218"/>
      <c r="AD681" s="218"/>
      <c r="AE681" s="218"/>
      <c r="AF681" s="218"/>
      <c r="AG681" s="218"/>
      <c r="AH681" s="218"/>
      <c r="AI681" s="218"/>
      <c r="AJ681" s="218"/>
      <c r="AK681" s="218"/>
      <c r="AL681" s="218"/>
      <c r="AM681" s="218"/>
      <c r="AN681" s="218"/>
      <c r="AO681" s="218"/>
      <c r="AP681" s="218"/>
      <c r="AQ681" s="218"/>
      <c r="AR681" s="218"/>
      <c r="AS681" s="218"/>
      <c r="AT681" s="218"/>
      <c r="AU681" s="218"/>
      <c r="AV681" s="218"/>
      <c r="AW681" s="218"/>
      <c r="AX681" s="218"/>
      <c r="AY681" s="218"/>
      <c r="AZ681" s="218"/>
      <c r="BA681" s="218"/>
      <c r="BB681" s="218"/>
      <c r="BC681" s="218"/>
      <c r="BD681" s="218"/>
      <c r="BE681" s="218"/>
      <c r="BF681" s="218"/>
      <c r="BG681" s="218"/>
      <c r="BH681" s="218"/>
      <c r="BI681" s="218"/>
      <c r="BJ681" s="224"/>
      <c r="BK681" s="224"/>
    </row>
    <row r="682" spans="1:63" ht="12.75" hidden="1" customHeight="1" outlineLevel="1">
      <c r="A682" s="9"/>
      <c r="B682" s="44"/>
      <c r="C682" s="271">
        <f>Asset27</f>
        <v>0</v>
      </c>
      <c r="D682" s="9"/>
      <c r="E682" s="9"/>
      <c r="F682" s="28"/>
      <c r="G682" s="207">
        <f>Input!S33</f>
        <v>0</v>
      </c>
      <c r="H682" s="122"/>
      <c r="I682" s="122"/>
      <c r="J682" s="122"/>
      <c r="K682" s="122"/>
      <c r="L682" s="122"/>
      <c r="M682" s="110"/>
      <c r="N682" s="110"/>
      <c r="O682" s="110"/>
      <c r="P682" s="110"/>
      <c r="Q682" s="110"/>
      <c r="R682" s="110"/>
      <c r="S682" s="110"/>
      <c r="T682" s="110"/>
      <c r="U682" s="110"/>
      <c r="V682" s="110"/>
      <c r="W682" s="110"/>
      <c r="X682" s="110"/>
      <c r="Y682" s="110"/>
      <c r="Z682" s="110"/>
      <c r="AA682" s="218"/>
      <c r="AB682" s="218"/>
      <c r="AC682" s="218"/>
      <c r="AD682" s="218"/>
      <c r="AE682" s="218"/>
      <c r="AF682" s="218"/>
      <c r="AG682" s="218"/>
      <c r="AH682" s="218"/>
      <c r="AI682" s="218"/>
      <c r="AJ682" s="218"/>
      <c r="AK682" s="218"/>
      <c r="AL682" s="218"/>
      <c r="AM682" s="218"/>
      <c r="AN682" s="218"/>
      <c r="AO682" s="218"/>
      <c r="AP682" s="218"/>
      <c r="AQ682" s="218"/>
      <c r="AR682" s="218"/>
      <c r="AS682" s="218"/>
      <c r="AT682" s="218"/>
      <c r="AU682" s="218"/>
      <c r="AV682" s="218"/>
      <c r="AW682" s="218"/>
      <c r="AX682" s="218"/>
      <c r="AY682" s="218"/>
      <c r="AZ682" s="218"/>
      <c r="BA682" s="218"/>
      <c r="BB682" s="218"/>
      <c r="BC682" s="218"/>
      <c r="BD682" s="218"/>
      <c r="BE682" s="218"/>
      <c r="BF682" s="218"/>
      <c r="BG682" s="218"/>
      <c r="BH682" s="218"/>
      <c r="BI682" s="218"/>
      <c r="BJ682" s="224"/>
      <c r="BK682" s="224"/>
    </row>
    <row r="683" spans="1:63" ht="12.75" hidden="1" customHeight="1" outlineLevel="1">
      <c r="A683" s="9"/>
      <c r="B683" s="44"/>
      <c r="C683" s="271">
        <f>Asset28</f>
        <v>0</v>
      </c>
      <c r="D683" s="9"/>
      <c r="E683" s="9"/>
      <c r="F683" s="28"/>
      <c r="G683" s="207">
        <f>Input!S34</f>
        <v>0</v>
      </c>
      <c r="H683" s="122"/>
      <c r="I683" s="122"/>
      <c r="J683" s="122"/>
      <c r="K683" s="122"/>
      <c r="L683" s="122"/>
      <c r="M683" s="110"/>
      <c r="N683" s="110"/>
      <c r="O683" s="110"/>
      <c r="P683" s="110"/>
      <c r="Q683" s="110"/>
      <c r="R683" s="110"/>
      <c r="S683" s="110"/>
      <c r="T683" s="110"/>
      <c r="U683" s="110"/>
      <c r="V683" s="110"/>
      <c r="W683" s="110"/>
      <c r="X683" s="110"/>
      <c r="Y683" s="110"/>
      <c r="Z683" s="110"/>
      <c r="AA683" s="218"/>
      <c r="AB683" s="218"/>
      <c r="AC683" s="218"/>
      <c r="AD683" s="218"/>
      <c r="AE683" s="218"/>
      <c r="AF683" s="218"/>
      <c r="AG683" s="218"/>
      <c r="AH683" s="218"/>
      <c r="AI683" s="218"/>
      <c r="AJ683" s="218"/>
      <c r="AK683" s="218"/>
      <c r="AL683" s="218"/>
      <c r="AM683" s="218"/>
      <c r="AN683" s="218"/>
      <c r="AO683" s="218"/>
      <c r="AP683" s="218"/>
      <c r="AQ683" s="218"/>
      <c r="AR683" s="218"/>
      <c r="AS683" s="218"/>
      <c r="AT683" s="218"/>
      <c r="AU683" s="218"/>
      <c r="AV683" s="218"/>
      <c r="AW683" s="218"/>
      <c r="AX683" s="218"/>
      <c r="AY683" s="218"/>
      <c r="AZ683" s="218"/>
      <c r="BA683" s="218"/>
      <c r="BB683" s="218"/>
      <c r="BC683" s="218"/>
      <c r="BD683" s="218"/>
      <c r="BE683" s="218"/>
      <c r="BF683" s="218"/>
      <c r="BG683" s="218"/>
      <c r="BH683" s="218"/>
      <c r="BI683" s="218"/>
      <c r="BJ683" s="224"/>
      <c r="BK683" s="224"/>
    </row>
    <row r="684" spans="1:63" ht="12.75" hidden="1" customHeight="1" outlineLevel="1">
      <c r="A684" s="9"/>
      <c r="B684" s="44"/>
      <c r="C684" s="271">
        <f>Asset29</f>
        <v>0</v>
      </c>
      <c r="D684" s="9"/>
      <c r="E684" s="9"/>
      <c r="F684" s="28"/>
      <c r="G684" s="207">
        <f>Input!S35</f>
        <v>0</v>
      </c>
      <c r="H684" s="122"/>
      <c r="I684" s="122"/>
      <c r="J684" s="122"/>
      <c r="K684" s="122"/>
      <c r="L684" s="122"/>
      <c r="M684" s="110"/>
      <c r="N684" s="110"/>
      <c r="O684" s="110"/>
      <c r="P684" s="110"/>
      <c r="Q684" s="110"/>
      <c r="R684" s="110"/>
      <c r="S684" s="110"/>
      <c r="T684" s="110"/>
      <c r="U684" s="110"/>
      <c r="V684" s="110"/>
      <c r="W684" s="110"/>
      <c r="X684" s="110"/>
      <c r="Y684" s="110"/>
      <c r="Z684" s="110"/>
      <c r="AA684" s="218"/>
      <c r="AB684" s="218"/>
      <c r="AC684" s="218"/>
      <c r="AD684" s="218"/>
      <c r="AE684" s="218"/>
      <c r="AF684" s="218"/>
      <c r="AG684" s="218"/>
      <c r="AH684" s="218"/>
      <c r="AI684" s="218"/>
      <c r="AJ684" s="218"/>
      <c r="AK684" s="218"/>
      <c r="AL684" s="218"/>
      <c r="AM684" s="218"/>
      <c r="AN684" s="218"/>
      <c r="AO684" s="218"/>
      <c r="AP684" s="218"/>
      <c r="AQ684" s="218"/>
      <c r="AR684" s="218"/>
      <c r="AS684" s="218"/>
      <c r="AT684" s="218"/>
      <c r="AU684" s="218"/>
      <c r="AV684" s="218"/>
      <c r="AW684" s="218"/>
      <c r="AX684" s="218"/>
      <c r="AY684" s="218"/>
      <c r="AZ684" s="218"/>
      <c r="BA684" s="218"/>
      <c r="BB684" s="218"/>
      <c r="BC684" s="218"/>
      <c r="BD684" s="218"/>
      <c r="BE684" s="218"/>
      <c r="BF684" s="218"/>
      <c r="BG684" s="218"/>
      <c r="BH684" s="218"/>
      <c r="BI684" s="218"/>
      <c r="BJ684" s="224"/>
      <c r="BK684" s="224"/>
    </row>
    <row r="685" spans="1:63" ht="12.75" hidden="1" customHeight="1" outlineLevel="1">
      <c r="A685" s="9"/>
      <c r="B685" s="44"/>
      <c r="C685" s="271">
        <f>Asset30</f>
        <v>0</v>
      </c>
      <c r="D685" s="9"/>
      <c r="E685" s="9"/>
      <c r="F685" s="28"/>
      <c r="G685" s="207">
        <f>Input!S36</f>
        <v>0</v>
      </c>
      <c r="H685" s="122"/>
      <c r="I685" s="122"/>
      <c r="J685" s="122"/>
      <c r="K685" s="122"/>
      <c r="L685" s="122"/>
      <c r="M685" s="110"/>
      <c r="N685" s="110"/>
      <c r="O685" s="110"/>
      <c r="P685" s="110"/>
      <c r="Q685" s="110"/>
      <c r="R685" s="110"/>
      <c r="S685" s="110"/>
      <c r="T685" s="110"/>
      <c r="U685" s="110"/>
      <c r="V685" s="110"/>
      <c r="W685" s="110"/>
      <c r="X685" s="110"/>
      <c r="Y685" s="110"/>
      <c r="Z685" s="110"/>
      <c r="AA685" s="218"/>
      <c r="AB685" s="218"/>
      <c r="AC685" s="218"/>
      <c r="AD685" s="218"/>
      <c r="AE685" s="218"/>
      <c r="AF685" s="218"/>
      <c r="AG685" s="218"/>
      <c r="AH685" s="218"/>
      <c r="AI685" s="218"/>
      <c r="AJ685" s="218"/>
      <c r="AK685" s="218"/>
      <c r="AL685" s="218"/>
      <c r="AM685" s="218"/>
      <c r="AN685" s="218"/>
      <c r="AO685" s="218"/>
      <c r="AP685" s="218"/>
      <c r="AQ685" s="218"/>
      <c r="AR685" s="218"/>
      <c r="AS685" s="218"/>
      <c r="AT685" s="218"/>
      <c r="AU685" s="218"/>
      <c r="AV685" s="218"/>
      <c r="AW685" s="218"/>
      <c r="AX685" s="218"/>
      <c r="AY685" s="218"/>
      <c r="AZ685" s="218"/>
      <c r="BA685" s="218"/>
      <c r="BB685" s="218"/>
      <c r="BC685" s="218"/>
      <c r="BD685" s="218"/>
      <c r="BE685" s="218"/>
      <c r="BF685" s="218"/>
      <c r="BG685" s="218"/>
      <c r="BH685" s="218"/>
      <c r="BI685" s="218"/>
      <c r="BJ685" s="224"/>
      <c r="BK685" s="224"/>
    </row>
    <row r="686" spans="1:63" collapsed="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row>
    <row r="687" spans="1:63" ht="13.5" customHeight="1" collapsed="1">
      <c r="A687" s="9"/>
      <c r="B687" s="472" t="s">
        <v>101</v>
      </c>
      <c r="C687" s="473"/>
      <c r="D687" s="474"/>
      <c r="E687" s="474"/>
      <c r="F687" s="481"/>
      <c r="G687" s="482">
        <f>SUM(G688:G707)</f>
        <v>0</v>
      </c>
      <c r="H687" s="503"/>
      <c r="I687" s="122"/>
      <c r="J687" s="122"/>
      <c r="K687" s="122"/>
      <c r="L687" s="122"/>
      <c r="M687" s="110"/>
      <c r="N687" s="110"/>
      <c r="O687" s="110"/>
      <c r="P687" s="110"/>
      <c r="Q687" s="110"/>
      <c r="R687" s="110"/>
      <c r="S687" s="110"/>
      <c r="T687" s="110"/>
      <c r="U687" s="110"/>
      <c r="V687" s="110"/>
      <c r="W687" s="110"/>
      <c r="X687" s="110"/>
      <c r="Y687" s="110"/>
      <c r="Z687" s="110"/>
      <c r="AA687" s="218"/>
      <c r="AB687" s="218"/>
      <c r="AC687" s="218"/>
      <c r="AD687" s="218"/>
      <c r="AE687" s="218"/>
      <c r="AF687" s="218"/>
      <c r="AG687" s="218"/>
      <c r="AH687" s="218"/>
      <c r="AI687" s="218"/>
      <c r="AJ687" s="218"/>
      <c r="AK687" s="218"/>
      <c r="AL687" s="218"/>
      <c r="AM687" s="218"/>
      <c r="AN687" s="218"/>
      <c r="AO687" s="218"/>
      <c r="AP687" s="218"/>
      <c r="AQ687" s="218"/>
      <c r="AR687" s="218"/>
      <c r="AS687" s="218"/>
      <c r="AT687" s="218"/>
      <c r="AU687" s="218"/>
      <c r="AV687" s="218"/>
      <c r="AW687" s="218"/>
      <c r="AX687" s="218"/>
      <c r="AY687" s="218"/>
      <c r="AZ687" s="218"/>
      <c r="BA687" s="218"/>
      <c r="BB687" s="218"/>
      <c r="BC687" s="218"/>
      <c r="BD687" s="218"/>
      <c r="BE687" s="218"/>
      <c r="BF687" s="218"/>
      <c r="BG687" s="218"/>
      <c r="BH687" s="218"/>
      <c r="BI687" s="218"/>
      <c r="BJ687" s="224"/>
      <c r="BK687" s="224"/>
    </row>
    <row r="688" spans="1:63" ht="12.75" hidden="1" customHeight="1" outlineLevel="1">
      <c r="A688" s="9"/>
      <c r="B688" s="44"/>
      <c r="C688" s="131" t="str">
        <f>Asset1</f>
        <v>Subtransmission</v>
      </c>
      <c r="D688" s="9"/>
      <c r="E688" s="9"/>
      <c r="F688" s="28"/>
      <c r="G688" s="207">
        <f>Input!N7</f>
        <v>0</v>
      </c>
      <c r="H688" s="122"/>
      <c r="I688" s="122"/>
      <c r="J688" s="122"/>
      <c r="K688" s="122"/>
      <c r="L688" s="122"/>
      <c r="M688" s="110"/>
      <c r="N688" s="110"/>
      <c r="O688" s="110"/>
      <c r="P688" s="110"/>
      <c r="Q688" s="110"/>
      <c r="R688" s="110"/>
      <c r="S688" s="110"/>
      <c r="T688" s="110"/>
      <c r="U688" s="110"/>
      <c r="V688" s="110"/>
      <c r="W688" s="110"/>
      <c r="X688" s="110"/>
      <c r="Y688" s="110"/>
      <c r="Z688" s="110"/>
      <c r="AA688" s="218"/>
      <c r="AB688" s="218"/>
      <c r="AC688" s="218"/>
      <c r="AD688" s="218"/>
      <c r="AE688" s="218"/>
      <c r="AF688" s="218"/>
      <c r="AG688" s="218"/>
      <c r="AH688" s="218"/>
      <c r="AI688" s="218"/>
      <c r="AJ688" s="218"/>
      <c r="AK688" s="218"/>
      <c r="AL688" s="218"/>
      <c r="AM688" s="218"/>
      <c r="AN688" s="218"/>
      <c r="AO688" s="218"/>
      <c r="AP688" s="218"/>
      <c r="AQ688" s="218"/>
      <c r="AR688" s="218"/>
      <c r="AS688" s="218"/>
      <c r="AT688" s="218"/>
      <c r="AU688" s="218"/>
      <c r="AV688" s="218"/>
      <c r="AW688" s="218"/>
      <c r="AX688" s="218"/>
      <c r="AY688" s="218"/>
      <c r="AZ688" s="218"/>
      <c r="BA688" s="218"/>
      <c r="BB688" s="218"/>
      <c r="BC688" s="218"/>
      <c r="BD688" s="218"/>
      <c r="BE688" s="218"/>
      <c r="BF688" s="218"/>
      <c r="BG688" s="218"/>
      <c r="BH688" s="218"/>
      <c r="BI688" s="218"/>
      <c r="BJ688" s="224"/>
      <c r="BK688" s="224"/>
    </row>
    <row r="689" spans="1:63" ht="12.75" hidden="1" customHeight="1" outlineLevel="1">
      <c r="A689" s="9"/>
      <c r="B689" s="44"/>
      <c r="C689" s="131" t="str">
        <f>Asset2</f>
        <v>Distribution system assets</v>
      </c>
      <c r="D689" s="9"/>
      <c r="E689" s="9"/>
      <c r="F689" s="28"/>
      <c r="G689" s="207">
        <f>Input!N8</f>
        <v>0</v>
      </c>
      <c r="H689" s="122"/>
      <c r="I689" s="122"/>
      <c r="J689" s="122"/>
      <c r="K689" s="122"/>
      <c r="L689" s="122"/>
      <c r="M689" s="110"/>
      <c r="N689" s="110"/>
      <c r="O689" s="110"/>
      <c r="P689" s="110"/>
      <c r="Q689" s="110"/>
      <c r="R689" s="110"/>
      <c r="S689" s="110"/>
      <c r="T689" s="110"/>
      <c r="U689" s="110"/>
      <c r="V689" s="110"/>
      <c r="W689" s="110"/>
      <c r="X689" s="110"/>
      <c r="Y689" s="110"/>
      <c r="Z689" s="110"/>
      <c r="AA689" s="218"/>
      <c r="AB689" s="218"/>
      <c r="AC689" s="218"/>
      <c r="AD689" s="218"/>
      <c r="AE689" s="218"/>
      <c r="AF689" s="218"/>
      <c r="AG689" s="218"/>
      <c r="AH689" s="218"/>
      <c r="AI689" s="218"/>
      <c r="AJ689" s="218"/>
      <c r="AK689" s="218"/>
      <c r="AL689" s="218"/>
      <c r="AM689" s="218"/>
      <c r="AN689" s="218"/>
      <c r="AO689" s="218"/>
      <c r="AP689" s="218"/>
      <c r="AQ689" s="218"/>
      <c r="AR689" s="218"/>
      <c r="AS689" s="218"/>
      <c r="AT689" s="218"/>
      <c r="AU689" s="218"/>
      <c r="AV689" s="218"/>
      <c r="AW689" s="218"/>
      <c r="AX689" s="218"/>
      <c r="AY689" s="218"/>
      <c r="AZ689" s="218"/>
      <c r="BA689" s="218"/>
      <c r="BB689" s="218"/>
      <c r="BC689" s="218"/>
      <c r="BD689" s="218"/>
      <c r="BE689" s="218"/>
      <c r="BF689" s="218"/>
      <c r="BG689" s="218"/>
      <c r="BH689" s="218"/>
      <c r="BI689" s="218"/>
      <c r="BJ689" s="224"/>
      <c r="BK689" s="224"/>
    </row>
    <row r="690" spans="1:63" ht="12.75" hidden="1" customHeight="1" outlineLevel="1">
      <c r="A690" s="9"/>
      <c r="B690" s="44"/>
      <c r="C690" s="131" t="str">
        <f>Asset3</f>
        <v>Standard metering</v>
      </c>
      <c r="D690" s="9"/>
      <c r="E690" s="9"/>
      <c r="F690" s="28"/>
      <c r="G690" s="207">
        <f>Input!N9</f>
        <v>0</v>
      </c>
      <c r="H690" s="122"/>
      <c r="I690" s="122"/>
      <c r="J690" s="122"/>
      <c r="K690" s="122"/>
      <c r="L690" s="122"/>
      <c r="M690" s="110"/>
      <c r="N690" s="110"/>
      <c r="O690" s="110"/>
      <c r="P690" s="110"/>
      <c r="Q690" s="110"/>
      <c r="R690" s="110"/>
      <c r="S690" s="110"/>
      <c r="T690" s="110"/>
      <c r="U690" s="110"/>
      <c r="V690" s="110"/>
      <c r="W690" s="110"/>
      <c r="X690" s="110"/>
      <c r="Y690" s="110"/>
      <c r="Z690" s="110"/>
      <c r="AA690" s="218"/>
      <c r="AB690" s="218"/>
      <c r="AC690" s="218"/>
      <c r="AD690" s="218"/>
      <c r="AE690" s="218"/>
      <c r="AF690" s="218"/>
      <c r="AG690" s="218"/>
      <c r="AH690" s="218"/>
      <c r="AI690" s="218"/>
      <c r="AJ690" s="218"/>
      <c r="AK690" s="218"/>
      <c r="AL690" s="218"/>
      <c r="AM690" s="218"/>
      <c r="AN690" s="218"/>
      <c r="AO690" s="218"/>
      <c r="AP690" s="218"/>
      <c r="AQ690" s="218"/>
      <c r="AR690" s="218"/>
      <c r="AS690" s="218"/>
      <c r="AT690" s="218"/>
      <c r="AU690" s="218"/>
      <c r="AV690" s="218"/>
      <c r="AW690" s="218"/>
      <c r="AX690" s="218"/>
      <c r="AY690" s="218"/>
      <c r="AZ690" s="218"/>
      <c r="BA690" s="218"/>
      <c r="BB690" s="218"/>
      <c r="BC690" s="218"/>
      <c r="BD690" s="218"/>
      <c r="BE690" s="218"/>
      <c r="BF690" s="218"/>
      <c r="BG690" s="218"/>
      <c r="BH690" s="218"/>
      <c r="BI690" s="218"/>
      <c r="BJ690" s="224"/>
      <c r="BK690" s="224"/>
    </row>
    <row r="691" spans="1:63" ht="12.75" hidden="1" customHeight="1" outlineLevel="1">
      <c r="A691" s="9"/>
      <c r="B691" s="44"/>
      <c r="C691" s="131" t="str">
        <f>Asset4</f>
        <v>Public lighting</v>
      </c>
      <c r="D691" s="9"/>
      <c r="E691" s="9"/>
      <c r="F691" s="28"/>
      <c r="G691" s="207">
        <f>Input!N10</f>
        <v>0</v>
      </c>
      <c r="H691" s="122"/>
      <c r="I691" s="122"/>
      <c r="J691" s="122"/>
      <c r="K691" s="122"/>
      <c r="L691" s="122"/>
      <c r="M691" s="110"/>
      <c r="N691" s="110"/>
      <c r="O691" s="110"/>
      <c r="P691" s="110"/>
      <c r="Q691" s="110"/>
      <c r="R691" s="110"/>
      <c r="S691" s="110"/>
      <c r="T691" s="110"/>
      <c r="U691" s="110"/>
      <c r="V691" s="110"/>
      <c r="W691" s="110"/>
      <c r="X691" s="110"/>
      <c r="Y691" s="110"/>
      <c r="Z691" s="110"/>
      <c r="AA691" s="218"/>
      <c r="AB691" s="218"/>
      <c r="AC691" s="218"/>
      <c r="AD691" s="218"/>
      <c r="AE691" s="218"/>
      <c r="AF691" s="218"/>
      <c r="AG691" s="218"/>
      <c r="AH691" s="218"/>
      <c r="AI691" s="218"/>
      <c r="AJ691" s="218"/>
      <c r="AK691" s="218"/>
      <c r="AL691" s="218"/>
      <c r="AM691" s="218"/>
      <c r="AN691" s="218"/>
      <c r="AO691" s="218"/>
      <c r="AP691" s="218"/>
      <c r="AQ691" s="218"/>
      <c r="AR691" s="218"/>
      <c r="AS691" s="218"/>
      <c r="AT691" s="218"/>
      <c r="AU691" s="218"/>
      <c r="AV691" s="218"/>
      <c r="AW691" s="218"/>
      <c r="AX691" s="218"/>
      <c r="AY691" s="218"/>
      <c r="AZ691" s="218"/>
      <c r="BA691" s="218"/>
      <c r="BB691" s="218"/>
      <c r="BC691" s="218"/>
      <c r="BD691" s="218"/>
      <c r="BE691" s="218"/>
      <c r="BF691" s="218"/>
      <c r="BG691" s="218"/>
      <c r="BH691" s="218"/>
      <c r="BI691" s="218"/>
      <c r="BJ691" s="224"/>
      <c r="BK691" s="224"/>
    </row>
    <row r="692" spans="1:63" ht="12.75" hidden="1" customHeight="1" outlineLevel="1">
      <c r="A692" s="9"/>
      <c r="B692" s="44"/>
      <c r="C692" s="131" t="str">
        <f>Asset5</f>
        <v>SCADA/Network control</v>
      </c>
      <c r="D692" s="9"/>
      <c r="E692" s="9"/>
      <c r="F692" s="28"/>
      <c r="G692" s="207">
        <f>Input!N11</f>
        <v>0</v>
      </c>
      <c r="H692" s="122"/>
      <c r="I692" s="122"/>
      <c r="J692" s="122"/>
      <c r="K692" s="122"/>
      <c r="L692" s="122"/>
      <c r="M692" s="110"/>
      <c r="N692" s="110"/>
      <c r="O692" s="110"/>
      <c r="P692" s="110"/>
      <c r="Q692" s="110"/>
      <c r="R692" s="110"/>
      <c r="S692" s="110"/>
      <c r="T692" s="110"/>
      <c r="U692" s="110"/>
      <c r="V692" s="110"/>
      <c r="W692" s="110"/>
      <c r="X692" s="110"/>
      <c r="Y692" s="110"/>
      <c r="Z692" s="110"/>
      <c r="AA692" s="218"/>
      <c r="AB692" s="218"/>
      <c r="AC692" s="218"/>
      <c r="AD692" s="218"/>
      <c r="AE692" s="218"/>
      <c r="AF692" s="218"/>
      <c r="AG692" s="218"/>
      <c r="AH692" s="218"/>
      <c r="AI692" s="218"/>
      <c r="AJ692" s="218"/>
      <c r="AK692" s="218"/>
      <c r="AL692" s="218"/>
      <c r="AM692" s="218"/>
      <c r="AN692" s="218"/>
      <c r="AO692" s="218"/>
      <c r="AP692" s="218"/>
      <c r="AQ692" s="218"/>
      <c r="AR692" s="218"/>
      <c r="AS692" s="218"/>
      <c r="AT692" s="218"/>
      <c r="AU692" s="218"/>
      <c r="AV692" s="218"/>
      <c r="AW692" s="218"/>
      <c r="AX692" s="218"/>
      <c r="AY692" s="218"/>
      <c r="AZ692" s="218"/>
      <c r="BA692" s="218"/>
      <c r="BB692" s="218"/>
      <c r="BC692" s="218"/>
      <c r="BD692" s="218"/>
      <c r="BE692" s="218"/>
      <c r="BF692" s="218"/>
      <c r="BG692" s="218"/>
      <c r="BH692" s="218"/>
      <c r="BI692" s="218"/>
      <c r="BJ692" s="224"/>
      <c r="BK692" s="224"/>
    </row>
    <row r="693" spans="1:63" ht="12.75" hidden="1" customHeight="1" outlineLevel="1">
      <c r="A693" s="9"/>
      <c r="B693" s="44"/>
      <c r="C693" s="131" t="str">
        <f>Asset6</f>
        <v>Non-network general assets - IT</v>
      </c>
      <c r="D693" s="9"/>
      <c r="E693" s="9"/>
      <c r="F693" s="28"/>
      <c r="G693" s="207">
        <f>Input!N12</f>
        <v>0</v>
      </c>
      <c r="H693" s="122"/>
      <c r="I693" s="122"/>
      <c r="J693" s="122"/>
      <c r="K693" s="122"/>
      <c r="L693" s="122"/>
      <c r="M693" s="110"/>
      <c r="N693" s="110"/>
      <c r="O693" s="110"/>
      <c r="P693" s="110"/>
      <c r="Q693" s="110"/>
      <c r="R693" s="110"/>
      <c r="S693" s="110"/>
      <c r="T693" s="110"/>
      <c r="U693" s="110"/>
      <c r="V693" s="110"/>
      <c r="W693" s="110"/>
      <c r="X693" s="110"/>
      <c r="Y693" s="110"/>
      <c r="Z693" s="110"/>
      <c r="AA693" s="218"/>
      <c r="AB693" s="218"/>
      <c r="AC693" s="218"/>
      <c r="AD693" s="218"/>
      <c r="AE693" s="218"/>
      <c r="AF693" s="218"/>
      <c r="AG693" s="218"/>
      <c r="AH693" s="218"/>
      <c r="AI693" s="218"/>
      <c r="AJ693" s="218"/>
      <c r="AK693" s="218"/>
      <c r="AL693" s="218"/>
      <c r="AM693" s="218"/>
      <c r="AN693" s="218"/>
      <c r="AO693" s="218"/>
      <c r="AP693" s="218"/>
      <c r="AQ693" s="218"/>
      <c r="AR693" s="218"/>
      <c r="AS693" s="218"/>
      <c r="AT693" s="218"/>
      <c r="AU693" s="218"/>
      <c r="AV693" s="218"/>
      <c r="AW693" s="218"/>
      <c r="AX693" s="218"/>
      <c r="AY693" s="218"/>
      <c r="AZ693" s="218"/>
      <c r="BA693" s="218"/>
      <c r="BB693" s="218"/>
      <c r="BC693" s="218"/>
      <c r="BD693" s="218"/>
      <c r="BE693" s="218"/>
      <c r="BF693" s="218"/>
      <c r="BG693" s="218"/>
      <c r="BH693" s="218"/>
      <c r="BI693" s="218"/>
      <c r="BJ693" s="224"/>
      <c r="BK693" s="224"/>
    </row>
    <row r="694" spans="1:63" ht="12.75" hidden="1" customHeight="1" outlineLevel="1">
      <c r="A694" s="9"/>
      <c r="B694" s="44"/>
      <c r="C694" s="131" t="str">
        <f>Asset7</f>
        <v>Non-network general assets - Other</v>
      </c>
      <c r="D694" s="9"/>
      <c r="E694" s="9"/>
      <c r="F694" s="28"/>
      <c r="G694" s="207">
        <f>Input!N13</f>
        <v>0</v>
      </c>
      <c r="H694" s="122"/>
      <c r="I694" s="122"/>
      <c r="J694" s="122"/>
      <c r="K694" s="122"/>
      <c r="L694" s="122"/>
      <c r="M694" s="110"/>
      <c r="N694" s="110"/>
      <c r="O694" s="110"/>
      <c r="P694" s="110"/>
      <c r="Q694" s="110"/>
      <c r="R694" s="110"/>
      <c r="S694" s="110"/>
      <c r="T694" s="110"/>
      <c r="U694" s="110"/>
      <c r="V694" s="110"/>
      <c r="W694" s="110"/>
      <c r="X694" s="110"/>
      <c r="Y694" s="110"/>
      <c r="Z694" s="110"/>
      <c r="AA694" s="218"/>
      <c r="AB694" s="218"/>
      <c r="AC694" s="218"/>
      <c r="AD694" s="218"/>
      <c r="AE694" s="218"/>
      <c r="AF694" s="218"/>
      <c r="AG694" s="218"/>
      <c r="AH694" s="218"/>
      <c r="AI694" s="218"/>
      <c r="AJ694" s="218"/>
      <c r="AK694" s="218"/>
      <c r="AL694" s="218"/>
      <c r="AM694" s="218"/>
      <c r="AN694" s="218"/>
      <c r="AO694" s="218"/>
      <c r="AP694" s="218"/>
      <c r="AQ694" s="218"/>
      <c r="AR694" s="218"/>
      <c r="AS694" s="218"/>
      <c r="AT694" s="218"/>
      <c r="AU694" s="218"/>
      <c r="AV694" s="218"/>
      <c r="AW694" s="218"/>
      <c r="AX694" s="218"/>
      <c r="AY694" s="218"/>
      <c r="AZ694" s="218"/>
      <c r="BA694" s="218"/>
      <c r="BB694" s="218"/>
      <c r="BC694" s="218"/>
      <c r="BD694" s="218"/>
      <c r="BE694" s="218"/>
      <c r="BF694" s="218"/>
      <c r="BG694" s="218"/>
      <c r="BH694" s="218"/>
      <c r="BI694" s="218"/>
      <c r="BJ694" s="224"/>
      <c r="BK694" s="224"/>
    </row>
    <row r="695" spans="1:63" ht="12.75" hidden="1" customHeight="1" outlineLevel="1">
      <c r="A695" s="9"/>
      <c r="B695" s="44"/>
      <c r="C695" s="131" t="str">
        <f>Asset8</f>
        <v>Equity Raising Costs</v>
      </c>
      <c r="D695" s="9"/>
      <c r="E695" s="9"/>
      <c r="F695" s="28"/>
      <c r="G695" s="207">
        <f>Input!N14</f>
        <v>0</v>
      </c>
      <c r="H695" s="122"/>
      <c r="I695" s="122"/>
      <c r="J695" s="122"/>
      <c r="K695" s="122"/>
      <c r="L695" s="122"/>
      <c r="M695" s="110"/>
      <c r="N695" s="110"/>
      <c r="O695" s="110"/>
      <c r="P695" s="110"/>
      <c r="Q695" s="110"/>
      <c r="R695" s="110"/>
      <c r="S695" s="110"/>
      <c r="T695" s="110"/>
      <c r="U695" s="110"/>
      <c r="V695" s="110"/>
      <c r="W695" s="110"/>
      <c r="X695" s="110"/>
      <c r="Y695" s="110"/>
      <c r="Z695" s="110"/>
      <c r="AA695" s="218"/>
      <c r="AB695" s="218"/>
      <c r="AC695" s="218"/>
      <c r="AD695" s="218"/>
      <c r="AE695" s="218"/>
      <c r="AF695" s="218"/>
      <c r="AG695" s="218"/>
      <c r="AH695" s="218"/>
      <c r="AI695" s="218"/>
      <c r="AJ695" s="218"/>
      <c r="AK695" s="218"/>
      <c r="AL695" s="218"/>
      <c r="AM695" s="218"/>
      <c r="AN695" s="218"/>
      <c r="AO695" s="218"/>
      <c r="AP695" s="218"/>
      <c r="AQ695" s="218"/>
      <c r="AR695" s="218"/>
      <c r="AS695" s="218"/>
      <c r="AT695" s="218"/>
      <c r="AU695" s="218"/>
      <c r="AV695" s="218"/>
      <c r="AW695" s="218"/>
      <c r="AX695" s="218"/>
      <c r="AY695" s="218"/>
      <c r="AZ695" s="218"/>
      <c r="BA695" s="218"/>
      <c r="BB695" s="218"/>
      <c r="BC695" s="218"/>
      <c r="BD695" s="218"/>
      <c r="BE695" s="218"/>
      <c r="BF695" s="218"/>
      <c r="BG695" s="218"/>
      <c r="BH695" s="218"/>
      <c r="BI695" s="218"/>
      <c r="BJ695" s="224"/>
      <c r="BK695" s="224"/>
    </row>
    <row r="696" spans="1:63" ht="12.75" hidden="1" customHeight="1" outlineLevel="1">
      <c r="A696" s="9"/>
      <c r="B696" s="44"/>
      <c r="C696" s="131">
        <f>Asset9</f>
        <v>0</v>
      </c>
      <c r="D696" s="9"/>
      <c r="E696" s="9"/>
      <c r="F696" s="28"/>
      <c r="G696" s="207">
        <f>Input!N15</f>
        <v>0</v>
      </c>
      <c r="H696" s="122"/>
      <c r="I696" s="122"/>
      <c r="J696" s="122"/>
      <c r="K696" s="122"/>
      <c r="L696" s="122"/>
      <c r="M696" s="110"/>
      <c r="N696" s="110"/>
      <c r="O696" s="110"/>
      <c r="P696" s="110"/>
      <c r="Q696" s="110"/>
      <c r="R696" s="110"/>
      <c r="S696" s="110"/>
      <c r="T696" s="110"/>
      <c r="U696" s="110"/>
      <c r="V696" s="110"/>
      <c r="W696" s="110"/>
      <c r="X696" s="110"/>
      <c r="Y696" s="110"/>
      <c r="Z696" s="110"/>
      <c r="AA696" s="218"/>
      <c r="AB696" s="218"/>
      <c r="AC696" s="218"/>
      <c r="AD696" s="218"/>
      <c r="AE696" s="218"/>
      <c r="AF696" s="218"/>
      <c r="AG696" s="218"/>
      <c r="AH696" s="218"/>
      <c r="AI696" s="218"/>
      <c r="AJ696" s="218"/>
      <c r="AK696" s="218"/>
      <c r="AL696" s="218"/>
      <c r="AM696" s="218"/>
      <c r="AN696" s="218"/>
      <c r="AO696" s="218"/>
      <c r="AP696" s="218"/>
      <c r="AQ696" s="218"/>
      <c r="AR696" s="218"/>
      <c r="AS696" s="218"/>
      <c r="AT696" s="218"/>
      <c r="AU696" s="218"/>
      <c r="AV696" s="218"/>
      <c r="AW696" s="218"/>
      <c r="AX696" s="218"/>
      <c r="AY696" s="218"/>
      <c r="AZ696" s="218"/>
      <c r="BA696" s="218"/>
      <c r="BB696" s="218"/>
      <c r="BC696" s="218"/>
      <c r="BD696" s="218"/>
      <c r="BE696" s="218"/>
      <c r="BF696" s="218"/>
      <c r="BG696" s="218"/>
      <c r="BH696" s="218"/>
      <c r="BI696" s="218"/>
      <c r="BJ696" s="224"/>
      <c r="BK696" s="224"/>
    </row>
    <row r="697" spans="1:63" ht="12.75" hidden="1" customHeight="1" outlineLevel="1">
      <c r="A697" s="9"/>
      <c r="B697" s="44"/>
      <c r="C697" s="131">
        <f>Asset10</f>
        <v>0</v>
      </c>
      <c r="D697" s="9"/>
      <c r="E697" s="9"/>
      <c r="F697" s="28"/>
      <c r="G697" s="207">
        <f>Input!N16</f>
        <v>0</v>
      </c>
      <c r="H697" s="122"/>
      <c r="I697" s="122"/>
      <c r="J697" s="122"/>
      <c r="K697" s="122"/>
      <c r="L697" s="122"/>
      <c r="M697" s="110"/>
      <c r="N697" s="110"/>
      <c r="O697" s="110"/>
      <c r="P697" s="110"/>
      <c r="Q697" s="110"/>
      <c r="R697" s="110"/>
      <c r="S697" s="110"/>
      <c r="T697" s="110"/>
      <c r="U697" s="110"/>
      <c r="V697" s="110"/>
      <c r="W697" s="110"/>
      <c r="X697" s="110"/>
      <c r="Y697" s="110"/>
      <c r="Z697" s="110"/>
      <c r="AA697" s="218"/>
      <c r="AB697" s="218"/>
      <c r="AC697" s="218"/>
      <c r="AD697" s="218"/>
      <c r="AE697" s="218"/>
      <c r="AF697" s="218"/>
      <c r="AG697" s="218"/>
      <c r="AH697" s="218"/>
      <c r="AI697" s="218"/>
      <c r="AJ697" s="218"/>
      <c r="AK697" s="218"/>
      <c r="AL697" s="218"/>
      <c r="AM697" s="218"/>
      <c r="AN697" s="218"/>
      <c r="AO697" s="218"/>
      <c r="AP697" s="218"/>
      <c r="AQ697" s="218"/>
      <c r="AR697" s="218"/>
      <c r="AS697" s="218"/>
      <c r="AT697" s="218"/>
      <c r="AU697" s="218"/>
      <c r="AV697" s="218"/>
      <c r="AW697" s="218"/>
      <c r="AX697" s="218"/>
      <c r="AY697" s="218"/>
      <c r="AZ697" s="218"/>
      <c r="BA697" s="218"/>
      <c r="BB697" s="218"/>
      <c r="BC697" s="218"/>
      <c r="BD697" s="218"/>
      <c r="BE697" s="218"/>
      <c r="BF697" s="218"/>
      <c r="BG697" s="218"/>
      <c r="BH697" s="218"/>
      <c r="BI697" s="218"/>
      <c r="BJ697" s="224"/>
      <c r="BK697" s="224"/>
    </row>
    <row r="698" spans="1:63" ht="12.75" hidden="1" customHeight="1" outlineLevel="1">
      <c r="A698" s="9"/>
      <c r="B698" s="44"/>
      <c r="C698" s="131">
        <f>Asset11</f>
        <v>0</v>
      </c>
      <c r="D698" s="9"/>
      <c r="E698" s="9"/>
      <c r="F698" s="28"/>
      <c r="G698" s="207">
        <f>Input!N17</f>
        <v>0</v>
      </c>
      <c r="H698" s="122"/>
      <c r="I698" s="122"/>
      <c r="J698" s="122"/>
      <c r="K698" s="122"/>
      <c r="L698" s="122"/>
      <c r="M698" s="110"/>
      <c r="N698" s="110"/>
      <c r="O698" s="110"/>
      <c r="P698" s="110"/>
      <c r="Q698" s="110"/>
      <c r="R698" s="110"/>
      <c r="S698" s="110"/>
      <c r="T698" s="110"/>
      <c r="U698" s="110"/>
      <c r="V698" s="110"/>
      <c r="W698" s="110"/>
      <c r="X698" s="110"/>
      <c r="Y698" s="110"/>
      <c r="Z698" s="110"/>
      <c r="AA698" s="218"/>
      <c r="AB698" s="218"/>
      <c r="AC698" s="218"/>
      <c r="AD698" s="218"/>
      <c r="AE698" s="218"/>
      <c r="AF698" s="218"/>
      <c r="AG698" s="218"/>
      <c r="AH698" s="218"/>
      <c r="AI698" s="218"/>
      <c r="AJ698" s="218"/>
      <c r="AK698" s="218"/>
      <c r="AL698" s="218"/>
      <c r="AM698" s="218"/>
      <c r="AN698" s="218"/>
      <c r="AO698" s="218"/>
      <c r="AP698" s="218"/>
      <c r="AQ698" s="218"/>
      <c r="AR698" s="218"/>
      <c r="AS698" s="218"/>
      <c r="AT698" s="218"/>
      <c r="AU698" s="218"/>
      <c r="AV698" s="218"/>
      <c r="AW698" s="218"/>
      <c r="AX698" s="218"/>
      <c r="AY698" s="218"/>
      <c r="AZ698" s="218"/>
      <c r="BA698" s="218"/>
      <c r="BB698" s="218"/>
      <c r="BC698" s="218"/>
      <c r="BD698" s="218"/>
      <c r="BE698" s="218"/>
      <c r="BF698" s="218"/>
      <c r="BG698" s="218"/>
      <c r="BH698" s="218"/>
      <c r="BI698" s="218"/>
      <c r="BJ698" s="224"/>
      <c r="BK698" s="224"/>
    </row>
    <row r="699" spans="1:63" ht="12.75" hidden="1" customHeight="1" outlineLevel="1">
      <c r="A699" s="9"/>
      <c r="B699" s="44"/>
      <c r="C699" s="131">
        <f>Asset12</f>
        <v>0</v>
      </c>
      <c r="D699" s="9"/>
      <c r="E699" s="9"/>
      <c r="F699" s="28"/>
      <c r="G699" s="207">
        <f>Input!N18</f>
        <v>0</v>
      </c>
      <c r="H699" s="122"/>
      <c r="I699" s="122"/>
      <c r="J699" s="122"/>
      <c r="K699" s="122"/>
      <c r="L699" s="122"/>
      <c r="M699" s="110"/>
      <c r="N699" s="110"/>
      <c r="O699" s="110"/>
      <c r="P699" s="110"/>
      <c r="Q699" s="110"/>
      <c r="R699" s="110"/>
      <c r="S699" s="110"/>
      <c r="T699" s="110"/>
      <c r="U699" s="110"/>
      <c r="V699" s="110"/>
      <c r="W699" s="110"/>
      <c r="X699" s="110"/>
      <c r="Y699" s="110"/>
      <c r="Z699" s="110"/>
      <c r="AA699" s="218"/>
      <c r="AB699" s="218"/>
      <c r="AC699" s="218"/>
      <c r="AD699" s="218"/>
      <c r="AE699" s="218"/>
      <c r="AF699" s="218"/>
      <c r="AG699" s="218"/>
      <c r="AH699" s="218"/>
      <c r="AI699" s="218"/>
      <c r="AJ699" s="218"/>
      <c r="AK699" s="218"/>
      <c r="AL699" s="218"/>
      <c r="AM699" s="218"/>
      <c r="AN699" s="218"/>
      <c r="AO699" s="218"/>
      <c r="AP699" s="218"/>
      <c r="AQ699" s="218"/>
      <c r="AR699" s="218"/>
      <c r="AS699" s="218"/>
      <c r="AT699" s="218"/>
      <c r="AU699" s="218"/>
      <c r="AV699" s="218"/>
      <c r="AW699" s="218"/>
      <c r="AX699" s="218"/>
      <c r="AY699" s="218"/>
      <c r="AZ699" s="218"/>
      <c r="BA699" s="218"/>
      <c r="BB699" s="218"/>
      <c r="BC699" s="218"/>
      <c r="BD699" s="218"/>
      <c r="BE699" s="218"/>
      <c r="BF699" s="218"/>
      <c r="BG699" s="218"/>
      <c r="BH699" s="218"/>
      <c r="BI699" s="218"/>
      <c r="BJ699" s="224"/>
      <c r="BK699" s="224"/>
    </row>
    <row r="700" spans="1:63" ht="12.75" hidden="1" customHeight="1" outlineLevel="1">
      <c r="A700" s="9"/>
      <c r="B700" s="44"/>
      <c r="C700" s="131">
        <f>Asset13</f>
        <v>0</v>
      </c>
      <c r="D700" s="9"/>
      <c r="E700" s="9"/>
      <c r="F700" s="28"/>
      <c r="G700" s="207">
        <f>Input!N19</f>
        <v>0</v>
      </c>
      <c r="H700" s="122"/>
      <c r="I700" s="122"/>
      <c r="J700" s="122"/>
      <c r="K700" s="122"/>
      <c r="L700" s="122"/>
      <c r="M700" s="110"/>
      <c r="N700" s="110"/>
      <c r="O700" s="110"/>
      <c r="P700" s="110"/>
      <c r="Q700" s="110"/>
      <c r="R700" s="110"/>
      <c r="S700" s="110"/>
      <c r="T700" s="110"/>
      <c r="U700" s="110"/>
      <c r="V700" s="110"/>
      <c r="W700" s="110"/>
      <c r="X700" s="110"/>
      <c r="Y700" s="110"/>
      <c r="Z700" s="110"/>
      <c r="AA700" s="218"/>
      <c r="AB700" s="218"/>
      <c r="AC700" s="218"/>
      <c r="AD700" s="218"/>
      <c r="AE700" s="218"/>
      <c r="AF700" s="218"/>
      <c r="AG700" s="218"/>
      <c r="AH700" s="218"/>
      <c r="AI700" s="218"/>
      <c r="AJ700" s="218"/>
      <c r="AK700" s="218"/>
      <c r="AL700" s="218"/>
      <c r="AM700" s="218"/>
      <c r="AN700" s="218"/>
      <c r="AO700" s="218"/>
      <c r="AP700" s="218"/>
      <c r="AQ700" s="218"/>
      <c r="AR700" s="218"/>
      <c r="AS700" s="218"/>
      <c r="AT700" s="218"/>
      <c r="AU700" s="218"/>
      <c r="AV700" s="218"/>
      <c r="AW700" s="218"/>
      <c r="AX700" s="218"/>
      <c r="AY700" s="218"/>
      <c r="AZ700" s="218"/>
      <c r="BA700" s="218"/>
      <c r="BB700" s="218"/>
      <c r="BC700" s="218"/>
      <c r="BD700" s="218"/>
      <c r="BE700" s="218"/>
      <c r="BF700" s="218"/>
      <c r="BG700" s="218"/>
      <c r="BH700" s="218"/>
      <c r="BI700" s="218"/>
      <c r="BJ700" s="224"/>
      <c r="BK700" s="224"/>
    </row>
    <row r="701" spans="1:63" ht="12.75" hidden="1" customHeight="1" outlineLevel="1">
      <c r="A701" s="9"/>
      <c r="B701" s="44"/>
      <c r="C701" s="131">
        <f>Asset14</f>
        <v>0</v>
      </c>
      <c r="D701" s="9"/>
      <c r="E701" s="9"/>
      <c r="F701" s="28"/>
      <c r="G701" s="207">
        <f>Input!N20</f>
        <v>0</v>
      </c>
      <c r="H701" s="122"/>
      <c r="I701" s="122"/>
      <c r="J701" s="122"/>
      <c r="K701" s="122"/>
      <c r="L701" s="122"/>
      <c r="M701" s="110"/>
      <c r="N701" s="110"/>
      <c r="O701" s="110"/>
      <c r="P701" s="110"/>
      <c r="Q701" s="110"/>
      <c r="R701" s="110"/>
      <c r="S701" s="110"/>
      <c r="T701" s="110"/>
      <c r="U701" s="110"/>
      <c r="V701" s="110"/>
      <c r="W701" s="110"/>
      <c r="X701" s="110"/>
      <c r="Y701" s="110"/>
      <c r="Z701" s="110"/>
      <c r="AA701" s="218"/>
      <c r="AB701" s="218"/>
      <c r="AC701" s="218"/>
      <c r="AD701" s="218"/>
      <c r="AE701" s="218"/>
      <c r="AF701" s="218"/>
      <c r="AG701" s="218"/>
      <c r="AH701" s="218"/>
      <c r="AI701" s="218"/>
      <c r="AJ701" s="218"/>
      <c r="AK701" s="218"/>
      <c r="AL701" s="218"/>
      <c r="AM701" s="218"/>
      <c r="AN701" s="218"/>
      <c r="AO701" s="218"/>
      <c r="AP701" s="218"/>
      <c r="AQ701" s="218"/>
      <c r="AR701" s="218"/>
      <c r="AS701" s="218"/>
      <c r="AT701" s="218"/>
      <c r="AU701" s="218"/>
      <c r="AV701" s="218"/>
      <c r="AW701" s="218"/>
      <c r="AX701" s="218"/>
      <c r="AY701" s="218"/>
      <c r="AZ701" s="218"/>
      <c r="BA701" s="218"/>
      <c r="BB701" s="218"/>
      <c r="BC701" s="218"/>
      <c r="BD701" s="218"/>
      <c r="BE701" s="218"/>
      <c r="BF701" s="218"/>
      <c r="BG701" s="218"/>
      <c r="BH701" s="218"/>
      <c r="BI701" s="218"/>
      <c r="BJ701" s="224"/>
      <c r="BK701" s="224"/>
    </row>
    <row r="702" spans="1:63" ht="12.75" hidden="1" customHeight="1" outlineLevel="1">
      <c r="A702" s="9"/>
      <c r="B702" s="44"/>
      <c r="C702" s="131">
        <f>Asset15</f>
        <v>0</v>
      </c>
      <c r="D702" s="9"/>
      <c r="E702" s="9"/>
      <c r="F702" s="28"/>
      <c r="G702" s="207">
        <f>Input!N21</f>
        <v>0</v>
      </c>
      <c r="H702" s="122"/>
      <c r="I702" s="122"/>
      <c r="J702" s="122"/>
      <c r="K702" s="122"/>
      <c r="L702" s="122"/>
      <c r="M702" s="110"/>
      <c r="N702" s="110"/>
      <c r="O702" s="110"/>
      <c r="P702" s="110"/>
      <c r="Q702" s="110"/>
      <c r="R702" s="110"/>
      <c r="S702" s="110"/>
      <c r="T702" s="110"/>
      <c r="U702" s="110"/>
      <c r="V702" s="110"/>
      <c r="W702" s="110"/>
      <c r="X702" s="110"/>
      <c r="Y702" s="110"/>
      <c r="Z702" s="110"/>
      <c r="AA702" s="218"/>
      <c r="AB702" s="218"/>
      <c r="AC702" s="218"/>
      <c r="AD702" s="218"/>
      <c r="AE702" s="218"/>
      <c r="AF702" s="218"/>
      <c r="AG702" s="218"/>
      <c r="AH702" s="218"/>
      <c r="AI702" s="218"/>
      <c r="AJ702" s="218"/>
      <c r="AK702" s="218"/>
      <c r="AL702" s="218"/>
      <c r="AM702" s="218"/>
      <c r="AN702" s="218"/>
      <c r="AO702" s="218"/>
      <c r="AP702" s="218"/>
      <c r="AQ702" s="218"/>
      <c r="AR702" s="218"/>
      <c r="AS702" s="218"/>
      <c r="AT702" s="218"/>
      <c r="AU702" s="218"/>
      <c r="AV702" s="218"/>
      <c r="AW702" s="218"/>
      <c r="AX702" s="218"/>
      <c r="AY702" s="218"/>
      <c r="AZ702" s="218"/>
      <c r="BA702" s="218"/>
      <c r="BB702" s="218"/>
      <c r="BC702" s="218"/>
      <c r="BD702" s="218"/>
      <c r="BE702" s="218"/>
      <c r="BF702" s="218"/>
      <c r="BG702" s="218"/>
      <c r="BH702" s="218"/>
      <c r="BI702" s="218"/>
      <c r="BJ702" s="224"/>
      <c r="BK702" s="224"/>
    </row>
    <row r="703" spans="1:63" ht="12.75" hidden="1" customHeight="1" outlineLevel="1">
      <c r="A703" s="9"/>
      <c r="B703" s="44"/>
      <c r="C703" s="131">
        <f>Asset16</f>
        <v>0</v>
      </c>
      <c r="D703" s="9"/>
      <c r="E703" s="9"/>
      <c r="F703" s="28"/>
      <c r="G703" s="207">
        <f>Input!N22</f>
        <v>0</v>
      </c>
      <c r="H703" s="122"/>
      <c r="I703" s="122"/>
      <c r="J703" s="122"/>
      <c r="K703" s="122"/>
      <c r="L703" s="122"/>
      <c r="M703" s="110"/>
      <c r="N703" s="110"/>
      <c r="O703" s="110"/>
      <c r="P703" s="110"/>
      <c r="Q703" s="110"/>
      <c r="R703" s="110"/>
      <c r="S703" s="110"/>
      <c r="T703" s="110"/>
      <c r="U703" s="110"/>
      <c r="V703" s="110"/>
      <c r="W703" s="110"/>
      <c r="X703" s="110"/>
      <c r="Y703" s="110"/>
      <c r="Z703" s="110"/>
      <c r="AA703" s="218"/>
      <c r="AB703" s="218"/>
      <c r="AC703" s="218"/>
      <c r="AD703" s="218"/>
      <c r="AE703" s="218"/>
      <c r="AF703" s="218"/>
      <c r="AG703" s="218"/>
      <c r="AH703" s="218"/>
      <c r="AI703" s="218"/>
      <c r="AJ703" s="218"/>
      <c r="AK703" s="218"/>
      <c r="AL703" s="218"/>
      <c r="AM703" s="218"/>
      <c r="AN703" s="218"/>
      <c r="AO703" s="218"/>
      <c r="AP703" s="218"/>
      <c r="AQ703" s="218"/>
      <c r="AR703" s="218"/>
      <c r="AS703" s="218"/>
      <c r="AT703" s="218"/>
      <c r="AU703" s="218"/>
      <c r="AV703" s="218"/>
      <c r="AW703" s="218"/>
      <c r="AX703" s="218"/>
      <c r="AY703" s="218"/>
      <c r="AZ703" s="218"/>
      <c r="BA703" s="218"/>
      <c r="BB703" s="218"/>
      <c r="BC703" s="218"/>
      <c r="BD703" s="218"/>
      <c r="BE703" s="218"/>
      <c r="BF703" s="218"/>
      <c r="BG703" s="218"/>
      <c r="BH703" s="218"/>
      <c r="BI703" s="218"/>
      <c r="BJ703" s="224"/>
      <c r="BK703" s="224"/>
    </row>
    <row r="704" spans="1:63" ht="12.75" hidden="1" customHeight="1" outlineLevel="1">
      <c r="A704" s="9"/>
      <c r="B704" s="44"/>
      <c r="C704" s="131">
        <f>Asset17</f>
        <v>0</v>
      </c>
      <c r="D704" s="9"/>
      <c r="E704" s="9"/>
      <c r="F704" s="28"/>
      <c r="G704" s="207">
        <f>Input!N23</f>
        <v>0</v>
      </c>
      <c r="H704" s="122"/>
      <c r="I704" s="122"/>
      <c r="J704" s="122"/>
      <c r="K704" s="122"/>
      <c r="L704" s="122"/>
      <c r="M704" s="110"/>
      <c r="N704" s="110"/>
      <c r="O704" s="110"/>
      <c r="P704" s="110"/>
      <c r="Q704" s="110"/>
      <c r="R704" s="110"/>
      <c r="S704" s="110"/>
      <c r="T704" s="110"/>
      <c r="U704" s="110"/>
      <c r="V704" s="110"/>
      <c r="W704" s="110"/>
      <c r="X704" s="110"/>
      <c r="Y704" s="110"/>
      <c r="Z704" s="110"/>
      <c r="AA704" s="218"/>
      <c r="AB704" s="218"/>
      <c r="AC704" s="218"/>
      <c r="AD704" s="218"/>
      <c r="AE704" s="218"/>
      <c r="AF704" s="218"/>
      <c r="AG704" s="218"/>
      <c r="AH704" s="218"/>
      <c r="AI704" s="218"/>
      <c r="AJ704" s="218"/>
      <c r="AK704" s="218"/>
      <c r="AL704" s="218"/>
      <c r="AM704" s="218"/>
      <c r="AN704" s="218"/>
      <c r="AO704" s="218"/>
      <c r="AP704" s="218"/>
      <c r="AQ704" s="218"/>
      <c r="AR704" s="218"/>
      <c r="AS704" s="218"/>
      <c r="AT704" s="218"/>
      <c r="AU704" s="218"/>
      <c r="AV704" s="218"/>
      <c r="AW704" s="218"/>
      <c r="AX704" s="218"/>
      <c r="AY704" s="218"/>
      <c r="AZ704" s="218"/>
      <c r="BA704" s="218"/>
      <c r="BB704" s="218"/>
      <c r="BC704" s="218"/>
      <c r="BD704" s="218"/>
      <c r="BE704" s="218"/>
      <c r="BF704" s="218"/>
      <c r="BG704" s="218"/>
      <c r="BH704" s="218"/>
      <c r="BI704" s="218"/>
      <c r="BJ704" s="224"/>
      <c r="BK704" s="224"/>
    </row>
    <row r="705" spans="1:63" ht="12.75" hidden="1" customHeight="1" outlineLevel="1">
      <c r="A705" s="9"/>
      <c r="B705" s="44"/>
      <c r="C705" s="131">
        <f>Asset18</f>
        <v>0</v>
      </c>
      <c r="D705" s="9"/>
      <c r="E705" s="9"/>
      <c r="F705" s="28"/>
      <c r="G705" s="207">
        <f>Input!N24</f>
        <v>0</v>
      </c>
      <c r="H705" s="122"/>
      <c r="I705" s="122"/>
      <c r="J705" s="122"/>
      <c r="K705" s="122"/>
      <c r="L705" s="122"/>
      <c r="M705" s="110"/>
      <c r="N705" s="110"/>
      <c r="O705" s="110"/>
      <c r="P705" s="110"/>
      <c r="Q705" s="110"/>
      <c r="R705" s="110"/>
      <c r="S705" s="110"/>
      <c r="T705" s="110"/>
      <c r="U705" s="110"/>
      <c r="V705" s="110"/>
      <c r="W705" s="110"/>
      <c r="X705" s="110"/>
      <c r="Y705" s="110"/>
      <c r="Z705" s="110"/>
      <c r="AA705" s="218"/>
      <c r="AB705" s="218"/>
      <c r="AC705" s="218"/>
      <c r="AD705" s="218"/>
      <c r="AE705" s="218"/>
      <c r="AF705" s="218"/>
      <c r="AG705" s="218"/>
      <c r="AH705" s="218"/>
      <c r="AI705" s="218"/>
      <c r="AJ705" s="218"/>
      <c r="AK705" s="218"/>
      <c r="AL705" s="218"/>
      <c r="AM705" s="218"/>
      <c r="AN705" s="218"/>
      <c r="AO705" s="218"/>
      <c r="AP705" s="218"/>
      <c r="AQ705" s="218"/>
      <c r="AR705" s="218"/>
      <c r="AS705" s="218"/>
      <c r="AT705" s="218"/>
      <c r="AU705" s="218"/>
      <c r="AV705" s="218"/>
      <c r="AW705" s="218"/>
      <c r="AX705" s="218"/>
      <c r="AY705" s="218"/>
      <c r="AZ705" s="218"/>
      <c r="BA705" s="218"/>
      <c r="BB705" s="218"/>
      <c r="BC705" s="218"/>
      <c r="BD705" s="218"/>
      <c r="BE705" s="218"/>
      <c r="BF705" s="218"/>
      <c r="BG705" s="218"/>
      <c r="BH705" s="218"/>
      <c r="BI705" s="218"/>
      <c r="BJ705" s="224"/>
      <c r="BK705" s="224"/>
    </row>
    <row r="706" spans="1:63" ht="12.75" hidden="1" customHeight="1" outlineLevel="1">
      <c r="A706" s="9"/>
      <c r="B706" s="44"/>
      <c r="C706" s="131">
        <f>Asset19</f>
        <v>0</v>
      </c>
      <c r="D706" s="9"/>
      <c r="E706" s="9"/>
      <c r="F706" s="28"/>
      <c r="G706" s="207">
        <f>Input!N25</f>
        <v>0</v>
      </c>
      <c r="H706" s="122"/>
      <c r="I706" s="122"/>
      <c r="J706" s="122"/>
      <c r="K706" s="122"/>
      <c r="L706" s="122"/>
      <c r="M706" s="110"/>
      <c r="N706" s="110"/>
      <c r="O706" s="110"/>
      <c r="P706" s="110"/>
      <c r="Q706" s="110"/>
      <c r="R706" s="110"/>
      <c r="S706" s="110"/>
      <c r="T706" s="110"/>
      <c r="U706" s="110"/>
      <c r="V706" s="110"/>
      <c r="W706" s="110"/>
      <c r="X706" s="110"/>
      <c r="Y706" s="110"/>
      <c r="Z706" s="110"/>
      <c r="AA706" s="218"/>
      <c r="AB706" s="218"/>
      <c r="AC706" s="218"/>
      <c r="AD706" s="218"/>
      <c r="AE706" s="218"/>
      <c r="AF706" s="218"/>
      <c r="AG706" s="218"/>
      <c r="AH706" s="218"/>
      <c r="AI706" s="218"/>
      <c r="AJ706" s="218"/>
      <c r="AK706" s="218"/>
      <c r="AL706" s="218"/>
      <c r="AM706" s="218"/>
      <c r="AN706" s="218"/>
      <c r="AO706" s="218"/>
      <c r="AP706" s="218"/>
      <c r="AQ706" s="218"/>
      <c r="AR706" s="218"/>
      <c r="AS706" s="218"/>
      <c r="AT706" s="218"/>
      <c r="AU706" s="218"/>
      <c r="AV706" s="218"/>
      <c r="AW706" s="218"/>
      <c r="AX706" s="218"/>
      <c r="AY706" s="218"/>
      <c r="AZ706" s="218"/>
      <c r="BA706" s="218"/>
      <c r="BB706" s="218"/>
      <c r="BC706" s="218"/>
      <c r="BD706" s="218"/>
      <c r="BE706" s="218"/>
      <c r="BF706" s="218"/>
      <c r="BG706" s="218"/>
      <c r="BH706" s="218"/>
      <c r="BI706" s="218"/>
      <c r="BJ706" s="224"/>
      <c r="BK706" s="224"/>
    </row>
    <row r="707" spans="1:63" ht="12.75" hidden="1" customHeight="1" outlineLevel="1">
      <c r="A707" s="9"/>
      <c r="B707" s="44"/>
      <c r="C707" s="131">
        <f>Asset20</f>
        <v>0</v>
      </c>
      <c r="D707" s="9"/>
      <c r="E707" s="9"/>
      <c r="F707" s="28"/>
      <c r="G707" s="207">
        <f>Input!N26</f>
        <v>0</v>
      </c>
      <c r="H707" s="122"/>
      <c r="I707" s="122"/>
      <c r="J707" s="122"/>
      <c r="K707" s="122"/>
      <c r="L707" s="122"/>
      <c r="M707" s="110"/>
      <c r="N707" s="110"/>
      <c r="O707" s="110"/>
      <c r="P707" s="110"/>
      <c r="Q707" s="110"/>
      <c r="R707" s="110"/>
      <c r="S707" s="110"/>
      <c r="T707" s="110"/>
      <c r="U707" s="110"/>
      <c r="V707" s="110"/>
      <c r="W707" s="110"/>
      <c r="X707" s="110"/>
      <c r="Y707" s="110"/>
      <c r="Z707" s="110"/>
      <c r="AA707" s="218"/>
      <c r="AB707" s="218"/>
      <c r="AC707" s="218"/>
      <c r="AD707" s="218"/>
      <c r="AE707" s="218"/>
      <c r="AF707" s="218"/>
      <c r="AG707" s="218"/>
      <c r="AH707" s="218"/>
      <c r="AI707" s="218"/>
      <c r="AJ707" s="218"/>
      <c r="AK707" s="218"/>
      <c r="AL707" s="218"/>
      <c r="AM707" s="218"/>
      <c r="AN707" s="218"/>
      <c r="AO707" s="218"/>
      <c r="AP707" s="218"/>
      <c r="AQ707" s="218"/>
      <c r="AR707" s="218"/>
      <c r="AS707" s="218"/>
      <c r="AT707" s="218"/>
      <c r="AU707" s="218"/>
      <c r="AV707" s="218"/>
      <c r="AW707" s="218"/>
      <c r="AX707" s="218"/>
      <c r="AY707" s="218"/>
      <c r="AZ707" s="218"/>
      <c r="BA707" s="218"/>
      <c r="BB707" s="218"/>
      <c r="BC707" s="218"/>
      <c r="BD707" s="218"/>
      <c r="BE707" s="218"/>
      <c r="BF707" s="218"/>
      <c r="BG707" s="218"/>
      <c r="BH707" s="218"/>
      <c r="BI707" s="218"/>
      <c r="BJ707" s="224"/>
      <c r="BK707" s="224"/>
    </row>
    <row r="708" spans="1:63" hidden="1" outlineLevel="1">
      <c r="A708" s="9"/>
      <c r="B708" s="44"/>
      <c r="C708" s="131">
        <f>Asset21</f>
        <v>0</v>
      </c>
      <c r="D708" s="9"/>
      <c r="E708" s="9"/>
      <c r="F708" s="28"/>
      <c r="G708" s="207">
        <f>Input!N27</f>
        <v>0</v>
      </c>
      <c r="H708" s="122"/>
      <c r="I708" s="122"/>
      <c r="J708" s="122"/>
      <c r="K708" s="122"/>
      <c r="L708" s="122"/>
      <c r="M708" s="110"/>
      <c r="N708" s="110"/>
      <c r="O708" s="110"/>
      <c r="P708" s="110"/>
      <c r="Q708" s="110"/>
      <c r="R708" s="110"/>
      <c r="S708" s="110"/>
      <c r="T708" s="110"/>
      <c r="U708" s="110"/>
      <c r="V708" s="110"/>
      <c r="W708" s="110"/>
      <c r="X708" s="110"/>
      <c r="Y708" s="110"/>
      <c r="Z708" s="110"/>
      <c r="AA708" s="218"/>
      <c r="AB708" s="218"/>
      <c r="AC708" s="218"/>
      <c r="AD708" s="218"/>
      <c r="AE708" s="218"/>
      <c r="AF708" s="218"/>
      <c r="AG708" s="218"/>
      <c r="AH708" s="218"/>
      <c r="AI708" s="218"/>
      <c r="AJ708" s="218"/>
      <c r="AK708" s="218"/>
      <c r="AL708" s="218"/>
      <c r="AM708" s="218"/>
      <c r="AN708" s="218"/>
      <c r="AO708" s="218"/>
      <c r="AP708" s="218"/>
      <c r="AQ708" s="218"/>
      <c r="AR708" s="218"/>
      <c r="AS708" s="218"/>
      <c r="AT708" s="218"/>
      <c r="AU708" s="218"/>
      <c r="AV708" s="218"/>
      <c r="AW708" s="218"/>
      <c r="AX708" s="218"/>
      <c r="AY708" s="218"/>
      <c r="AZ708" s="218"/>
      <c r="BA708" s="218"/>
      <c r="BB708" s="218"/>
      <c r="BC708" s="218"/>
      <c r="BD708" s="218"/>
      <c r="BE708" s="218"/>
      <c r="BF708" s="218"/>
      <c r="BG708" s="218"/>
      <c r="BH708" s="218"/>
      <c r="BI708" s="218"/>
      <c r="BJ708" s="224"/>
      <c r="BK708" s="224"/>
    </row>
    <row r="709" spans="1:63" hidden="1" outlineLevel="1">
      <c r="A709" s="9"/>
      <c r="B709" s="9"/>
      <c r="C709" s="131">
        <f>Asset22</f>
        <v>0</v>
      </c>
      <c r="D709" s="9"/>
      <c r="E709" s="9"/>
      <c r="F709" s="9"/>
      <c r="G709" s="207">
        <f>Input!N28</f>
        <v>0</v>
      </c>
      <c r="H709" s="9"/>
      <c r="I709" s="9"/>
      <c r="J709" s="9"/>
      <c r="K709" s="9"/>
      <c r="L709" s="9"/>
      <c r="M709" s="9"/>
      <c r="N709" s="9"/>
      <c r="O709" s="9"/>
      <c r="P709" s="9"/>
      <c r="Q709" s="9"/>
      <c r="R709" s="9"/>
      <c r="S709" s="9"/>
      <c r="T709" s="9"/>
      <c r="U709" s="9"/>
      <c r="V709" s="9"/>
      <c r="W709" s="9"/>
      <c r="X709" s="9"/>
      <c r="Y709" s="9"/>
      <c r="Z709" s="9"/>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row>
    <row r="710" spans="1:63" hidden="1" outlineLevel="1">
      <c r="A710" s="9"/>
      <c r="B710" s="9"/>
      <c r="C710" s="131">
        <f>Asset23</f>
        <v>0</v>
      </c>
      <c r="D710" s="9"/>
      <c r="E710" s="9"/>
      <c r="F710" s="9"/>
      <c r="G710" s="207">
        <f>Input!N29</f>
        <v>0</v>
      </c>
      <c r="H710" s="9"/>
      <c r="I710" s="9"/>
      <c r="J710" s="9"/>
      <c r="K710" s="9"/>
      <c r="L710" s="9"/>
      <c r="M710" s="9"/>
      <c r="N710" s="9"/>
      <c r="O710" s="9"/>
      <c r="P710" s="9"/>
      <c r="Q710" s="9"/>
      <c r="R710" s="9"/>
      <c r="S710" s="9"/>
      <c r="T710" s="9"/>
      <c r="U710" s="9"/>
      <c r="V710" s="9"/>
      <c r="W710" s="9"/>
      <c r="X710" s="9"/>
      <c r="Y710" s="9"/>
      <c r="Z710" s="9"/>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row>
    <row r="711" spans="1:63" hidden="1" outlineLevel="1">
      <c r="A711" s="9"/>
      <c r="B711" s="9"/>
      <c r="C711" s="131">
        <f>Asset24</f>
        <v>0</v>
      </c>
      <c r="D711" s="9"/>
      <c r="E711" s="9"/>
      <c r="F711" s="9"/>
      <c r="G711" s="207">
        <f>Input!N30</f>
        <v>0</v>
      </c>
      <c r="H711" s="9"/>
      <c r="I711" s="9"/>
      <c r="J711" s="9"/>
      <c r="K711" s="9"/>
      <c r="L711" s="9"/>
      <c r="M711" s="9"/>
      <c r="N711" s="9"/>
      <c r="O711" s="9"/>
      <c r="P711" s="9"/>
      <c r="Q711" s="9"/>
      <c r="R711" s="9"/>
      <c r="S711" s="9"/>
      <c r="T711" s="9"/>
      <c r="U711" s="9"/>
      <c r="V711" s="9"/>
      <c r="W711" s="9"/>
      <c r="X711" s="9"/>
      <c r="Y711" s="9"/>
      <c r="Z711" s="9"/>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row>
    <row r="712" spans="1:63" hidden="1" outlineLevel="1">
      <c r="A712" s="9"/>
      <c r="B712" s="9"/>
      <c r="C712" s="131">
        <f>Asset25</f>
        <v>0</v>
      </c>
      <c r="D712" s="9"/>
      <c r="E712" s="9"/>
      <c r="F712" s="9"/>
      <c r="G712" s="207">
        <f>Input!N31</f>
        <v>0</v>
      </c>
      <c r="H712" s="9"/>
      <c r="I712" s="9"/>
      <c r="J712" s="9"/>
      <c r="K712" s="9"/>
      <c r="L712" s="9"/>
      <c r="M712" s="9"/>
      <c r="N712" s="9"/>
      <c r="O712" s="9"/>
      <c r="P712" s="9"/>
      <c r="Q712" s="9"/>
      <c r="R712" s="9"/>
      <c r="S712" s="9"/>
      <c r="T712" s="9"/>
      <c r="U712" s="9"/>
      <c r="V712" s="9"/>
      <c r="W712" s="9"/>
      <c r="X712" s="9"/>
      <c r="Y712" s="9"/>
      <c r="Z712" s="9"/>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row>
    <row r="713" spans="1:63" hidden="1" outlineLevel="1">
      <c r="A713" s="9"/>
      <c r="B713" s="9"/>
      <c r="C713" s="131">
        <f>Asset26</f>
        <v>0</v>
      </c>
      <c r="D713" s="9"/>
      <c r="E713" s="9"/>
      <c r="F713" s="9"/>
      <c r="G713" s="207">
        <f>Input!N32</f>
        <v>0</v>
      </c>
      <c r="H713" s="9"/>
      <c r="I713" s="9"/>
      <c r="J713" s="9"/>
      <c r="K713" s="9"/>
      <c r="L713" s="9"/>
      <c r="M713" s="9"/>
      <c r="N713" s="9"/>
      <c r="O713" s="9"/>
      <c r="P713" s="9"/>
      <c r="Q713" s="9"/>
      <c r="R713" s="9"/>
      <c r="S713" s="9"/>
      <c r="T713" s="9"/>
      <c r="U713" s="9"/>
      <c r="V713" s="9"/>
      <c r="W713" s="9"/>
      <c r="X713" s="9"/>
      <c r="Y713" s="9"/>
      <c r="Z713" s="9"/>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row>
    <row r="714" spans="1:63" hidden="1" outlineLevel="1">
      <c r="A714" s="9"/>
      <c r="B714" s="9"/>
      <c r="C714" s="131">
        <f>Asset27</f>
        <v>0</v>
      </c>
      <c r="D714" s="9"/>
      <c r="E714" s="9"/>
      <c r="F714" s="9"/>
      <c r="G714" s="207">
        <f>Input!N33</f>
        <v>0</v>
      </c>
      <c r="H714" s="9"/>
      <c r="I714" s="9"/>
      <c r="J714" s="9"/>
      <c r="K714" s="9"/>
      <c r="L714" s="9"/>
      <c r="M714" s="9"/>
      <c r="N714" s="9"/>
      <c r="O714" s="9"/>
      <c r="P714" s="9"/>
      <c r="Q714" s="9"/>
      <c r="R714" s="9"/>
      <c r="S714" s="9"/>
      <c r="T714" s="9"/>
      <c r="U714" s="9"/>
      <c r="V714" s="9"/>
      <c r="W714" s="9"/>
      <c r="X714" s="9"/>
      <c r="Y714" s="9"/>
      <c r="Z714" s="9"/>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row>
    <row r="715" spans="1:63" hidden="1" outlineLevel="1">
      <c r="A715" s="9"/>
      <c r="B715" s="9"/>
      <c r="C715" s="131">
        <f>Asset28</f>
        <v>0</v>
      </c>
      <c r="D715" s="9"/>
      <c r="E715" s="9"/>
      <c r="F715" s="9"/>
      <c r="G715" s="207">
        <f>Input!N34</f>
        <v>0</v>
      </c>
      <c r="H715" s="9"/>
      <c r="I715" s="9"/>
      <c r="J715" s="9"/>
      <c r="K715" s="9"/>
      <c r="L715" s="9"/>
      <c r="M715" s="9"/>
      <c r="N715" s="9"/>
      <c r="O715" s="9"/>
      <c r="P715" s="9"/>
      <c r="Q715" s="9"/>
      <c r="R715" s="9"/>
      <c r="S715" s="9"/>
      <c r="T715" s="9"/>
      <c r="U715" s="9"/>
      <c r="V715" s="9"/>
      <c r="W715" s="9"/>
      <c r="X715" s="9"/>
      <c r="Y715" s="9"/>
      <c r="Z715" s="9"/>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row>
    <row r="716" spans="1:63" hidden="1" outlineLevel="1">
      <c r="A716" s="9"/>
      <c r="B716" s="9"/>
      <c r="C716" s="131">
        <f>Asset29</f>
        <v>0</v>
      </c>
      <c r="D716" s="9"/>
      <c r="E716" s="9"/>
      <c r="F716" s="9"/>
      <c r="G716" s="207">
        <f>Input!N35</f>
        <v>0</v>
      </c>
      <c r="H716" s="9"/>
      <c r="I716" s="9"/>
      <c r="J716" s="9"/>
      <c r="K716" s="9"/>
      <c r="L716" s="9"/>
      <c r="M716" s="9"/>
      <c r="N716" s="9"/>
      <c r="O716" s="9"/>
      <c r="P716" s="9"/>
      <c r="Q716" s="9"/>
      <c r="R716" s="9"/>
      <c r="S716" s="9"/>
      <c r="T716" s="9"/>
      <c r="U716" s="9"/>
      <c r="V716" s="9"/>
      <c r="W716" s="9"/>
      <c r="X716" s="9"/>
      <c r="Y716" s="9"/>
      <c r="Z716" s="9"/>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row>
    <row r="717" spans="1:63" hidden="1" outlineLevel="1">
      <c r="A717" s="9"/>
      <c r="B717" s="9"/>
      <c r="C717" s="131">
        <f>Asset30</f>
        <v>0</v>
      </c>
      <c r="D717" s="9"/>
      <c r="E717" s="9"/>
      <c r="F717" s="9"/>
      <c r="G717" s="207">
        <f>Input!N36</f>
        <v>0</v>
      </c>
      <c r="H717" s="9"/>
      <c r="I717" s="9"/>
      <c r="J717" s="9"/>
      <c r="K717" s="9"/>
      <c r="L717" s="9"/>
      <c r="M717" s="9"/>
      <c r="N717" s="9"/>
      <c r="O717" s="9"/>
      <c r="P717" s="9"/>
      <c r="Q717" s="9"/>
      <c r="R717" s="9"/>
      <c r="S717" s="9"/>
      <c r="T717" s="9"/>
      <c r="U717" s="9"/>
      <c r="V717" s="9"/>
      <c r="W717" s="9"/>
      <c r="X717" s="9"/>
      <c r="Y717" s="9"/>
      <c r="Z717" s="9"/>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row>
    <row r="718" spans="1:63" collapsed="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row>
    <row r="719" spans="1:63">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row>
    <row r="720" spans="1:63">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row>
    <row r="721" spans="1:63">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row>
    <row r="722" spans="1:63">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row>
    <row r="723" spans="1:63">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row>
    <row r="724" spans="1:63">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row>
    <row r="725" spans="1:63">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row>
    <row r="726" spans="1:63">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row>
    <row r="727" spans="1:63">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row>
    <row r="728" spans="1:63">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row>
    <row r="729" spans="1:63">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row>
    <row r="730" spans="1:63">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row>
    <row r="731" spans="1:63">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row>
    <row r="732" spans="1:63">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row>
    <row r="733" spans="1:63">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row>
    <row r="734" spans="1:63">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row>
    <row r="735" spans="1:63">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row>
    <row r="736" spans="1:63">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c r="BR741" s="201"/>
      <c r="BS741" s="201"/>
      <c r="BT741" s="201"/>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c r="BR742" s="201"/>
      <c r="BS742" s="201"/>
      <c r="BT742" s="201"/>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c r="BR743" s="201"/>
      <c r="BS743" s="201"/>
      <c r="BT743" s="201"/>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c r="BR744" s="201"/>
      <c r="BS744" s="201"/>
      <c r="BT744" s="201"/>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c r="BR745" s="201"/>
      <c r="BS745" s="201"/>
      <c r="BT745" s="201"/>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c r="BR746" s="201"/>
      <c r="BS746" s="201"/>
      <c r="BT746" s="201"/>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c r="BR747" s="201"/>
      <c r="BS747" s="201"/>
      <c r="BT747" s="201"/>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c r="BR749" s="201"/>
      <c r="BS749" s="201"/>
      <c r="BT749" s="201"/>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c r="BR750" s="201"/>
      <c r="BS750" s="201"/>
      <c r="BT750" s="201"/>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c r="BR751" s="201"/>
      <c r="BS751" s="201"/>
      <c r="BT751" s="201"/>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c r="BR752" s="201"/>
      <c r="BS752" s="201"/>
      <c r="BT752" s="201"/>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c r="BR753" s="201"/>
      <c r="BS753" s="201"/>
      <c r="BT753" s="201"/>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c r="BR754" s="201"/>
      <c r="BS754" s="201"/>
      <c r="BT754" s="201"/>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c r="BR755" s="201"/>
      <c r="BS755" s="201"/>
      <c r="BT755" s="201"/>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c r="BR756" s="201"/>
      <c r="BS756" s="201"/>
      <c r="BT756" s="201"/>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c r="BR757" s="201"/>
      <c r="BS757" s="201"/>
      <c r="BT757" s="201"/>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c r="BR758" s="201"/>
      <c r="BS758" s="201"/>
      <c r="BT758" s="201"/>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c r="BR759" s="201"/>
      <c r="BS759" s="201"/>
      <c r="BT759" s="201"/>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c r="BR761" s="201"/>
      <c r="BS761" s="201"/>
      <c r="BT761" s="201"/>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c r="BR762" s="201"/>
      <c r="BS762" s="201"/>
      <c r="BT762" s="201"/>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c r="BR763" s="201"/>
      <c r="BS763" s="201"/>
      <c r="BT763" s="201"/>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c r="BR764" s="201"/>
      <c r="BS764" s="201"/>
      <c r="BT764" s="201"/>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c r="BR766" s="201"/>
      <c r="BS766" s="201"/>
      <c r="BT766" s="201"/>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c r="BR767" s="201"/>
      <c r="BS767" s="201"/>
      <c r="BT767" s="201"/>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c r="BR768" s="201"/>
      <c r="BS768" s="201"/>
      <c r="BT768" s="201"/>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c r="BR769" s="201"/>
      <c r="BS769" s="201"/>
      <c r="BT769" s="201"/>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c r="BR771" s="201"/>
      <c r="BS771" s="201"/>
      <c r="BT771" s="201"/>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c r="BR772" s="201"/>
      <c r="BS772" s="201"/>
      <c r="BT772" s="201"/>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c r="BR773" s="201"/>
      <c r="BS773" s="201"/>
      <c r="BT773" s="201"/>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c r="BR774" s="201"/>
      <c r="BS774" s="201"/>
      <c r="BT774" s="201"/>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c r="BR775" s="201"/>
      <c r="BS775" s="201"/>
      <c r="BT775" s="201"/>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c r="BR778" s="201"/>
      <c r="BS778" s="201"/>
      <c r="BT778" s="201"/>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c r="BR779" s="201"/>
      <c r="BS779" s="201"/>
      <c r="BT779" s="201"/>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c r="BR780" s="201"/>
      <c r="BS780" s="201"/>
      <c r="BT780" s="201"/>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c r="BR781" s="201"/>
      <c r="BS781" s="201"/>
      <c r="BT781" s="201"/>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201"/>
      <c r="AA783" s="201"/>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c r="BM783" s="201"/>
      <c r="BN783" s="201"/>
      <c r="BO783" s="201"/>
      <c r="BP783" s="201"/>
      <c r="BQ783" s="201"/>
      <c r="BR783" s="201"/>
      <c r="BS783" s="201"/>
      <c r="BT783" s="201"/>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201"/>
      <c r="AA784" s="201"/>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c r="BM784" s="201"/>
      <c r="BN784" s="201"/>
      <c r="BO784" s="201"/>
      <c r="BP784" s="201"/>
      <c r="BQ784" s="201"/>
      <c r="BR784" s="201"/>
      <c r="BS784" s="201"/>
      <c r="BT784" s="201"/>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201"/>
      <c r="AA785" s="201"/>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c r="BM785" s="201"/>
      <c r="BN785" s="201"/>
      <c r="BO785" s="201"/>
      <c r="BP785" s="201"/>
      <c r="BQ785" s="201"/>
      <c r="BR785" s="201"/>
      <c r="BS785" s="201"/>
      <c r="BT785" s="201"/>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c r="BR786" s="201"/>
      <c r="BS786" s="201"/>
      <c r="BT786" s="201"/>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c r="BR787" s="201"/>
      <c r="BS787" s="201"/>
      <c r="BT787" s="201"/>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201"/>
      <c r="AA788" s="201"/>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c r="BM788" s="201"/>
      <c r="BN788" s="201"/>
      <c r="BO788" s="201"/>
      <c r="BP788" s="201"/>
      <c r="BQ788" s="201"/>
      <c r="BR788" s="201"/>
      <c r="BS788" s="201"/>
      <c r="BT788" s="201"/>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201"/>
      <c r="AA789" s="201"/>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c r="BM789" s="201"/>
      <c r="BN789" s="201"/>
      <c r="BO789" s="201"/>
      <c r="BP789" s="201"/>
      <c r="BQ789" s="201"/>
      <c r="BR789" s="201"/>
      <c r="BS789" s="201"/>
      <c r="BT789" s="201"/>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201"/>
      <c r="AA790" s="201"/>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c r="BM790" s="201"/>
      <c r="BN790" s="201"/>
      <c r="BO790" s="201"/>
      <c r="BP790" s="201"/>
      <c r="BQ790" s="201"/>
      <c r="BR790" s="201"/>
      <c r="BS790" s="201"/>
      <c r="BT790" s="201"/>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201"/>
      <c r="AA791" s="201"/>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c r="BM791" s="201"/>
      <c r="BN791" s="201"/>
      <c r="BO791" s="201"/>
      <c r="BP791" s="201"/>
      <c r="BQ791" s="201"/>
      <c r="BR791" s="201"/>
      <c r="BS791" s="201"/>
      <c r="BT791" s="201"/>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c r="BR792" s="201"/>
      <c r="BS792" s="201"/>
      <c r="BT792" s="201"/>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c r="BR793" s="201"/>
      <c r="BS793" s="201"/>
      <c r="BT793" s="201"/>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c r="BR794" s="201"/>
      <c r="BS794" s="201"/>
      <c r="BT794" s="201"/>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201"/>
      <c r="AA795" s="201"/>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c r="BM795" s="201"/>
      <c r="BN795" s="201"/>
      <c r="BO795" s="201"/>
      <c r="BP795" s="201"/>
      <c r="BQ795" s="201"/>
      <c r="BR795" s="201"/>
      <c r="BS795" s="201"/>
      <c r="BT795" s="201"/>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201"/>
      <c r="AA796" s="201"/>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c r="BM796" s="201"/>
      <c r="BN796" s="201"/>
      <c r="BO796" s="201"/>
      <c r="BP796" s="201"/>
      <c r="BQ796" s="201"/>
      <c r="BR796" s="201"/>
      <c r="BS796" s="201"/>
      <c r="BT796" s="201"/>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201"/>
      <c r="AA797" s="201"/>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c r="BM797" s="201"/>
      <c r="BN797" s="201"/>
      <c r="BO797" s="201"/>
      <c r="BP797" s="201"/>
      <c r="BQ797" s="201"/>
      <c r="BR797" s="201"/>
      <c r="BS797" s="201"/>
      <c r="BT797" s="201"/>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201"/>
      <c r="AA798" s="201"/>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c r="BM798" s="201"/>
      <c r="BN798" s="201"/>
      <c r="BO798" s="201"/>
      <c r="BP798" s="201"/>
      <c r="BQ798" s="201"/>
      <c r="BR798" s="201"/>
      <c r="BS798" s="201"/>
      <c r="BT798" s="201"/>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c r="BR800" s="201"/>
      <c r="BS800" s="201"/>
      <c r="BT800" s="201"/>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201"/>
      <c r="AA801" s="201"/>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c r="BM801" s="201"/>
      <c r="BN801" s="201"/>
      <c r="BO801" s="201"/>
      <c r="BP801" s="201"/>
      <c r="BQ801" s="201"/>
      <c r="BR801" s="201"/>
      <c r="BS801" s="201"/>
      <c r="BT801" s="201"/>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201"/>
      <c r="AA802" s="201"/>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c r="BM802" s="201"/>
      <c r="BN802" s="201"/>
      <c r="BO802" s="201"/>
      <c r="BP802" s="201"/>
      <c r="BQ802" s="201"/>
      <c r="BR802" s="201"/>
      <c r="BS802" s="201"/>
      <c r="BT802" s="201"/>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201"/>
      <c r="AA803" s="201"/>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c r="BM803" s="201"/>
      <c r="BN803" s="201"/>
      <c r="BO803" s="201"/>
      <c r="BP803" s="201"/>
      <c r="BQ803" s="201"/>
      <c r="BR803" s="201"/>
      <c r="BS803" s="201"/>
      <c r="BT803" s="201"/>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c r="BR804" s="201"/>
      <c r="BS804" s="201"/>
      <c r="BT804" s="201"/>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c r="BR805" s="201"/>
      <c r="BS805" s="201"/>
      <c r="BT805" s="201"/>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c r="BR806" s="201"/>
      <c r="BS806" s="201"/>
      <c r="BT806" s="201"/>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201"/>
      <c r="AA807" s="201"/>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c r="BM807" s="201"/>
      <c r="BN807" s="201"/>
      <c r="BO807" s="201"/>
      <c r="BP807" s="201"/>
      <c r="BQ807" s="201"/>
      <c r="BR807" s="201"/>
      <c r="BS807" s="201"/>
      <c r="BT807" s="201"/>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201"/>
      <c r="AA808" s="201"/>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c r="BM808" s="201"/>
      <c r="BN808" s="201"/>
      <c r="BO808" s="201"/>
      <c r="BP808" s="201"/>
      <c r="BQ808" s="201"/>
      <c r="BR808" s="201"/>
      <c r="BS808" s="201"/>
      <c r="BT808" s="201"/>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201"/>
      <c r="AA809" s="201"/>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c r="BM809" s="201"/>
      <c r="BN809" s="201"/>
      <c r="BO809" s="201"/>
      <c r="BP809" s="201"/>
      <c r="BQ809" s="201"/>
      <c r="BR809" s="201"/>
      <c r="BS809" s="201"/>
      <c r="BT809" s="201"/>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c r="BM811" s="201"/>
      <c r="BN811" s="201"/>
      <c r="BO811" s="201"/>
      <c r="BP811" s="201"/>
      <c r="BQ811" s="201"/>
      <c r="BR811" s="201"/>
      <c r="BS811" s="201"/>
      <c r="BT811" s="201"/>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201"/>
      <c r="AA812" s="201"/>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c r="BM812" s="201"/>
      <c r="BN812" s="201"/>
      <c r="BO812" s="201"/>
      <c r="BP812" s="201"/>
      <c r="BQ812" s="201"/>
      <c r="BR812" s="201"/>
      <c r="BS812" s="201"/>
      <c r="BT812" s="201"/>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201"/>
      <c r="AA813" s="201"/>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c r="BM813" s="201"/>
      <c r="BN813" s="201"/>
      <c r="BO813" s="201"/>
      <c r="BP813" s="201"/>
      <c r="BQ813" s="201"/>
      <c r="BR813" s="201"/>
      <c r="BS813" s="201"/>
      <c r="BT813" s="201"/>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201"/>
      <c r="AA814" s="201"/>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c r="BM814" s="201"/>
      <c r="BN814" s="201"/>
      <c r="BO814" s="201"/>
      <c r="BP814" s="201"/>
      <c r="BQ814" s="201"/>
      <c r="BR814" s="201"/>
      <c r="BS814" s="201"/>
      <c r="BT814" s="201"/>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201"/>
      <c r="AA815" s="201"/>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c r="BM815" s="201"/>
      <c r="BN815" s="201"/>
      <c r="BO815" s="201"/>
      <c r="BP815" s="201"/>
      <c r="BQ815" s="201"/>
      <c r="BR815" s="201"/>
      <c r="BS815" s="201"/>
      <c r="BT815" s="201"/>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c r="BR817" s="201"/>
      <c r="BS817" s="201"/>
      <c r="BT817" s="201"/>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c r="BR818" s="201"/>
      <c r="BS818" s="201"/>
      <c r="BT818" s="201"/>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c r="BR819" s="201"/>
      <c r="BS819" s="201"/>
      <c r="BT819" s="201"/>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201"/>
      <c r="AA820" s="201"/>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c r="BM820" s="201"/>
      <c r="BN820" s="201"/>
      <c r="BO820" s="201"/>
      <c r="BP820" s="201"/>
      <c r="BQ820" s="201"/>
      <c r="BR820" s="201"/>
      <c r="BS820" s="201"/>
      <c r="BT820" s="201"/>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201"/>
      <c r="AA821" s="201"/>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c r="BM821" s="201"/>
      <c r="BN821" s="201"/>
      <c r="BO821" s="201"/>
      <c r="BP821" s="201"/>
      <c r="BQ821" s="201"/>
      <c r="BR821" s="201"/>
      <c r="BS821" s="201"/>
      <c r="BT821" s="201"/>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201"/>
      <c r="AA822" s="201"/>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c r="BM822" s="201"/>
      <c r="BN822" s="201"/>
      <c r="BO822" s="201"/>
      <c r="BP822" s="201"/>
      <c r="BQ822" s="201"/>
      <c r="BR822" s="201"/>
      <c r="BS822" s="201"/>
      <c r="BT822" s="201"/>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201"/>
      <c r="AA823" s="201"/>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c r="BM823" s="201"/>
      <c r="BN823" s="201"/>
      <c r="BO823" s="201"/>
      <c r="BP823" s="201"/>
      <c r="BQ823" s="201"/>
      <c r="BR823" s="201"/>
      <c r="BS823" s="201"/>
      <c r="BT823" s="201"/>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201"/>
      <c r="AA824" s="201"/>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c r="BM824" s="201"/>
      <c r="BN824" s="201"/>
      <c r="BO824" s="201"/>
      <c r="BP824" s="201"/>
      <c r="BQ824" s="201"/>
      <c r="BR824" s="201"/>
      <c r="BS824" s="201"/>
      <c r="BT824" s="201"/>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201"/>
      <c r="AA825" s="201"/>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c r="BM825" s="201"/>
      <c r="BN825" s="201"/>
      <c r="BO825" s="201"/>
      <c r="BP825" s="201"/>
      <c r="BQ825" s="201"/>
      <c r="BR825" s="201"/>
      <c r="BS825" s="201"/>
      <c r="BT825" s="201"/>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201"/>
      <c r="AA826" s="201"/>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c r="BM826" s="201"/>
      <c r="BN826" s="201"/>
      <c r="BO826" s="201"/>
      <c r="BP826" s="201"/>
      <c r="BQ826" s="201"/>
      <c r="BR826" s="201"/>
      <c r="BS826" s="201"/>
      <c r="BT826" s="201"/>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201"/>
      <c r="AA827" s="201"/>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c r="BM827" s="201"/>
      <c r="BN827" s="201"/>
      <c r="BO827" s="201"/>
      <c r="BP827" s="201"/>
      <c r="BQ827" s="201"/>
      <c r="BR827" s="201"/>
      <c r="BS827" s="201"/>
      <c r="BT827" s="201"/>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201"/>
      <c r="AA828" s="201"/>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c r="BM828" s="201"/>
      <c r="BN828" s="201"/>
      <c r="BO828" s="201"/>
      <c r="BP828" s="201"/>
      <c r="BQ828" s="201"/>
      <c r="BR828" s="201"/>
      <c r="BS828" s="201"/>
      <c r="BT828" s="201"/>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c r="BM829" s="201"/>
      <c r="BN829" s="201"/>
      <c r="BO829" s="201"/>
      <c r="BP829" s="201"/>
      <c r="BQ829" s="201"/>
      <c r="BR829" s="201"/>
      <c r="BS829" s="201"/>
      <c r="BT829" s="201"/>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201"/>
      <c r="AA830" s="201"/>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c r="BM830" s="201"/>
      <c r="BN830" s="201"/>
      <c r="BO830" s="201"/>
      <c r="BP830" s="201"/>
      <c r="BQ830" s="201"/>
      <c r="BR830" s="201"/>
      <c r="BS830" s="201"/>
      <c r="BT830" s="201"/>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201"/>
      <c r="AA831" s="201"/>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c r="BM831" s="201"/>
      <c r="BN831" s="201"/>
      <c r="BO831" s="201"/>
      <c r="BP831" s="201"/>
      <c r="BQ831" s="201"/>
      <c r="BR831" s="201"/>
      <c r="BS831" s="201"/>
      <c r="BT831" s="201"/>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201"/>
      <c r="AA832" s="201"/>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c r="BM832" s="201"/>
      <c r="BN832" s="201"/>
      <c r="BO832" s="201"/>
      <c r="BP832" s="201"/>
      <c r="BQ832" s="201"/>
      <c r="BR832" s="201"/>
      <c r="BS832" s="201"/>
      <c r="BT832" s="201"/>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201"/>
      <c r="AA833" s="201"/>
      <c r="AB833" s="201"/>
      <c r="AC833" s="201"/>
      <c r="AD833" s="201"/>
      <c r="BH833" s="201"/>
      <c r="BI833" s="201"/>
      <c r="BJ833" s="201"/>
      <c r="BK833" s="201"/>
      <c r="BL833" s="201"/>
      <c r="BM833" s="201"/>
      <c r="BN833" s="201"/>
      <c r="BO833" s="201"/>
      <c r="BP833" s="201"/>
      <c r="BQ833" s="201"/>
      <c r="BR833" s="201"/>
      <c r="BS833" s="201"/>
      <c r="BT833" s="201"/>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201"/>
      <c r="AA834" s="201"/>
      <c r="AB834" s="201"/>
      <c r="AC834" s="201"/>
      <c r="AD834" s="201"/>
      <c r="BH834" s="201"/>
      <c r="BI834" s="201"/>
      <c r="BJ834" s="201"/>
      <c r="BK834" s="201"/>
      <c r="BL834" s="201"/>
      <c r="BM834" s="201"/>
      <c r="BN834" s="201"/>
      <c r="BO834" s="201"/>
      <c r="BP834" s="201"/>
      <c r="BQ834" s="201"/>
      <c r="BR834" s="201"/>
      <c r="BS834" s="201"/>
      <c r="BT834" s="201"/>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201"/>
      <c r="AA835" s="201"/>
      <c r="AB835" s="201"/>
      <c r="AC835" s="201"/>
      <c r="AD835" s="201"/>
      <c r="BH835" s="201"/>
      <c r="BI835" s="201"/>
      <c r="BJ835" s="201"/>
      <c r="BK835" s="201"/>
      <c r="BL835" s="201"/>
      <c r="BM835" s="201"/>
      <c r="BN835" s="201"/>
      <c r="BO835" s="201"/>
      <c r="BP835" s="201"/>
      <c r="BQ835" s="201"/>
      <c r="BR835" s="201"/>
      <c r="BS835" s="201"/>
      <c r="BT835" s="201"/>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201"/>
      <c r="AA836" s="201"/>
      <c r="AB836" s="201"/>
      <c r="AC836" s="201"/>
      <c r="AD836" s="201"/>
      <c r="BH836" s="201"/>
      <c r="BI836" s="201"/>
      <c r="BJ836" s="201"/>
      <c r="BK836" s="201"/>
      <c r="BL836" s="201"/>
      <c r="BM836" s="201"/>
      <c r="BN836" s="201"/>
      <c r="BO836" s="201"/>
      <c r="BP836" s="201"/>
      <c r="BQ836" s="201"/>
      <c r="BR836" s="201"/>
      <c r="BS836" s="201"/>
      <c r="BT836" s="201"/>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201"/>
      <c r="AA837" s="201"/>
      <c r="AB837" s="201"/>
      <c r="AC837" s="201"/>
      <c r="AD837" s="201"/>
      <c r="BH837" s="201"/>
      <c r="BI837" s="201"/>
      <c r="BJ837" s="201"/>
      <c r="BK837" s="201"/>
      <c r="BL837" s="201"/>
      <c r="BM837" s="201"/>
      <c r="BN837" s="201"/>
      <c r="BO837" s="201"/>
      <c r="BP837" s="201"/>
      <c r="BQ837" s="201"/>
      <c r="BR837" s="201"/>
      <c r="BS837" s="201"/>
      <c r="BT837" s="201"/>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201"/>
      <c r="AA838" s="201"/>
      <c r="AB838" s="201"/>
      <c r="AC838" s="201"/>
      <c r="AD838" s="201"/>
      <c r="BH838" s="201"/>
      <c r="BI838" s="201"/>
      <c r="BJ838" s="201"/>
      <c r="BK838" s="201"/>
      <c r="BL838" s="201"/>
      <c r="BM838" s="201"/>
      <c r="BN838" s="201"/>
      <c r="BO838" s="201"/>
      <c r="BP838" s="201"/>
      <c r="BQ838" s="201"/>
      <c r="BR838" s="201"/>
      <c r="BS838" s="201"/>
      <c r="BT838" s="201"/>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201"/>
      <c r="AA839" s="201"/>
      <c r="AB839" s="201"/>
      <c r="AC839" s="201"/>
      <c r="AD839" s="201"/>
      <c r="BH839" s="201"/>
      <c r="BI839" s="201"/>
      <c r="BJ839" s="201"/>
      <c r="BK839" s="201"/>
      <c r="BL839" s="201"/>
      <c r="BM839" s="201"/>
      <c r="BN839" s="201"/>
      <c r="BO839" s="201"/>
      <c r="BP839" s="201"/>
      <c r="BQ839" s="201"/>
      <c r="BR839" s="201"/>
      <c r="BS839" s="201"/>
      <c r="BT839" s="201"/>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201"/>
      <c r="AA840" s="201"/>
      <c r="AB840" s="201"/>
      <c r="AC840" s="201"/>
      <c r="AD840" s="201"/>
      <c r="BH840" s="201"/>
      <c r="BI840" s="201"/>
      <c r="BJ840" s="201"/>
      <c r="BK840" s="201"/>
      <c r="BL840" s="201"/>
      <c r="BM840" s="201"/>
      <c r="BN840" s="201"/>
      <c r="BO840" s="201"/>
      <c r="BP840" s="201"/>
      <c r="BQ840" s="201"/>
      <c r="BR840" s="201"/>
      <c r="BS840" s="201"/>
      <c r="BT840" s="201"/>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201"/>
      <c r="AA841" s="201"/>
      <c r="AB841" s="201"/>
      <c r="AC841" s="201"/>
      <c r="AD841" s="201"/>
      <c r="BH841" s="201"/>
      <c r="BI841" s="201"/>
      <c r="BJ841" s="201"/>
      <c r="BK841" s="201"/>
      <c r="BL841" s="201"/>
      <c r="BM841" s="201"/>
      <c r="BN841" s="201"/>
      <c r="BO841" s="201"/>
      <c r="BP841" s="201"/>
      <c r="BQ841" s="201"/>
      <c r="BR841" s="201"/>
      <c r="BS841" s="201"/>
      <c r="BT841" s="201"/>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201"/>
      <c r="AA842" s="201"/>
      <c r="AB842" s="201"/>
      <c r="AC842" s="201"/>
      <c r="AD842" s="201"/>
      <c r="BH842" s="201"/>
      <c r="BI842" s="201"/>
      <c r="BJ842" s="201"/>
      <c r="BK842" s="201"/>
      <c r="BL842" s="201"/>
      <c r="BM842" s="201"/>
      <c r="BN842" s="201"/>
      <c r="BO842" s="201"/>
      <c r="BP842" s="201"/>
      <c r="BQ842" s="201"/>
      <c r="BR842" s="201"/>
      <c r="BS842" s="201"/>
      <c r="BT842" s="201"/>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201"/>
      <c r="AA843" s="201"/>
      <c r="AB843" s="201"/>
      <c r="AC843" s="201"/>
      <c r="AD843" s="201"/>
      <c r="BH843" s="201"/>
      <c r="BI843" s="201"/>
      <c r="BJ843" s="201"/>
      <c r="BK843" s="201"/>
      <c r="BL843" s="201"/>
      <c r="BM843" s="201"/>
      <c r="BN843" s="201"/>
      <c r="BO843" s="201"/>
      <c r="BP843" s="201"/>
      <c r="BQ843" s="201"/>
      <c r="BR843" s="201"/>
      <c r="BS843" s="201"/>
      <c r="BT843" s="201"/>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201"/>
      <c r="AA844" s="201"/>
      <c r="AB844" s="201"/>
      <c r="AC844" s="201"/>
      <c r="AD844" s="201"/>
      <c r="BH844" s="201"/>
      <c r="BI844" s="201"/>
      <c r="BJ844" s="201"/>
      <c r="BK844" s="201"/>
      <c r="BL844" s="201"/>
      <c r="BM844" s="201"/>
      <c r="BN844" s="201"/>
      <c r="BO844" s="201"/>
      <c r="BP844" s="201"/>
      <c r="BQ844" s="201"/>
      <c r="BR844" s="201"/>
      <c r="BS844" s="201"/>
      <c r="BT844" s="201"/>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201"/>
      <c r="AA845" s="201"/>
      <c r="AB845" s="201"/>
      <c r="AC845" s="201"/>
      <c r="AD845" s="201"/>
      <c r="BH845" s="201"/>
      <c r="BI845" s="201"/>
      <c r="BJ845" s="201"/>
      <c r="BK845" s="201"/>
      <c r="BL845" s="201"/>
      <c r="BM845" s="201"/>
      <c r="BN845" s="201"/>
      <c r="BO845" s="201"/>
      <c r="BP845" s="201"/>
      <c r="BQ845" s="201"/>
      <c r="BR845" s="201"/>
      <c r="BS845" s="201"/>
      <c r="BT845" s="201"/>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201"/>
      <c r="AA846" s="201"/>
      <c r="AB846" s="201"/>
      <c r="AC846" s="201"/>
      <c r="AD846" s="201"/>
      <c r="BH846" s="201"/>
      <c r="BI846" s="201"/>
      <c r="BJ846" s="201"/>
      <c r="BK846" s="201"/>
      <c r="BL846" s="201"/>
      <c r="BM846" s="201"/>
      <c r="BN846" s="201"/>
      <c r="BO846" s="201"/>
      <c r="BP846" s="201"/>
      <c r="BQ846" s="201"/>
      <c r="BR846" s="201"/>
      <c r="BS846" s="201"/>
      <c r="BT846" s="201"/>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201"/>
      <c r="AA847" s="201"/>
      <c r="AB847" s="201"/>
      <c r="AC847" s="201"/>
      <c r="AD847" s="201"/>
      <c r="BH847" s="201"/>
      <c r="BI847" s="201"/>
      <c r="BJ847" s="201"/>
      <c r="BK847" s="201"/>
      <c r="BL847" s="201"/>
      <c r="BM847" s="201"/>
      <c r="BN847" s="201"/>
      <c r="BO847" s="201"/>
      <c r="BP847" s="201"/>
      <c r="BQ847" s="201"/>
      <c r="BR847" s="201"/>
      <c r="BS847" s="201"/>
      <c r="BT847" s="201"/>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201"/>
      <c r="AA848" s="201"/>
      <c r="AB848" s="201"/>
      <c r="AC848" s="201"/>
      <c r="AD848" s="201"/>
      <c r="BH848" s="201"/>
      <c r="BI848" s="201"/>
      <c r="BJ848" s="201"/>
      <c r="BK848" s="201"/>
      <c r="BL848" s="201"/>
      <c r="BM848" s="201"/>
      <c r="BN848" s="201"/>
      <c r="BO848" s="201"/>
      <c r="BP848" s="201"/>
      <c r="BQ848" s="201"/>
      <c r="BR848" s="201"/>
      <c r="BS848" s="201"/>
      <c r="BT848" s="201"/>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201"/>
      <c r="AA849" s="201"/>
      <c r="AB849" s="201"/>
      <c r="AC849" s="201"/>
      <c r="AD849" s="201"/>
      <c r="BH849" s="201"/>
      <c r="BI849" s="201"/>
      <c r="BJ849" s="201"/>
      <c r="BK849" s="201"/>
      <c r="BL849" s="201"/>
      <c r="BM849" s="201"/>
      <c r="BN849" s="201"/>
      <c r="BO849" s="201"/>
      <c r="BP849" s="201"/>
      <c r="BQ849" s="201"/>
      <c r="BR849" s="201"/>
      <c r="BS849" s="201"/>
      <c r="BT849" s="201"/>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201"/>
      <c r="AA850" s="201"/>
      <c r="AB850" s="201"/>
      <c r="AC850" s="201"/>
      <c r="AD850" s="201"/>
      <c r="BH850" s="201"/>
      <c r="BI850" s="201"/>
      <c r="BJ850" s="201"/>
      <c r="BK850" s="201"/>
      <c r="BL850" s="201"/>
      <c r="BM850" s="201"/>
      <c r="BN850" s="201"/>
      <c r="BO850" s="201"/>
      <c r="BP850" s="201"/>
      <c r="BQ850" s="201"/>
      <c r="BR850" s="201"/>
      <c r="BS850" s="201"/>
      <c r="BT850" s="201"/>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201"/>
      <c r="AA851" s="201"/>
      <c r="AB851" s="201"/>
      <c r="AC851" s="201"/>
      <c r="AD851" s="201"/>
      <c r="BH851" s="201"/>
      <c r="BI851" s="201"/>
      <c r="BJ851" s="201"/>
      <c r="BK851" s="201"/>
      <c r="BL851" s="201"/>
      <c r="BM851" s="201"/>
      <c r="BN851" s="201"/>
      <c r="BO851" s="201"/>
      <c r="BP851" s="201"/>
      <c r="BQ851" s="201"/>
      <c r="BR851" s="201"/>
      <c r="BS851" s="201"/>
      <c r="BT851" s="201"/>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201"/>
      <c r="AA852" s="201"/>
      <c r="AB852" s="201"/>
      <c r="AC852" s="201"/>
      <c r="AD852" s="201"/>
      <c r="BH852" s="201"/>
      <c r="BI852" s="201"/>
      <c r="BJ852" s="201"/>
      <c r="BK852" s="201"/>
      <c r="BL852" s="201"/>
      <c r="BM852" s="201"/>
      <c r="BN852" s="201"/>
      <c r="BO852" s="201"/>
      <c r="BP852" s="201"/>
      <c r="BQ852" s="201"/>
      <c r="BR852" s="201"/>
      <c r="BS852" s="201"/>
      <c r="BT852" s="201"/>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201"/>
      <c r="AA853" s="201"/>
      <c r="AB853" s="201"/>
      <c r="AC853" s="201"/>
      <c r="AD853" s="201"/>
      <c r="BH853" s="201"/>
      <c r="BI853" s="201"/>
      <c r="BJ853" s="201"/>
      <c r="BK853" s="201"/>
      <c r="BL853" s="201"/>
      <c r="BM853" s="201"/>
      <c r="BN853" s="201"/>
      <c r="BO853" s="201"/>
      <c r="BP853" s="201"/>
      <c r="BQ853" s="201"/>
      <c r="BR853" s="201"/>
      <c r="BS853" s="201"/>
      <c r="BT853" s="201"/>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201"/>
      <c r="AA854" s="201"/>
      <c r="AB854" s="201"/>
      <c r="AC854" s="201"/>
      <c r="AD854" s="201"/>
      <c r="BH854" s="201"/>
      <c r="BI854" s="201"/>
      <c r="BJ854" s="201"/>
      <c r="BK854" s="201"/>
      <c r="BL854" s="201"/>
      <c r="BM854" s="201"/>
      <c r="BN854" s="201"/>
      <c r="BO854" s="201"/>
      <c r="BP854" s="201"/>
      <c r="BQ854" s="201"/>
      <c r="BR854" s="201"/>
      <c r="BS854" s="201"/>
      <c r="BT854" s="201"/>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201"/>
      <c r="AA855" s="201"/>
      <c r="AB855" s="201"/>
      <c r="AC855" s="201"/>
      <c r="AD855" s="201"/>
      <c r="BH855" s="201"/>
      <c r="BI855" s="201"/>
      <c r="BJ855" s="201"/>
      <c r="BK855" s="201"/>
      <c r="BL855" s="201"/>
      <c r="BM855" s="201"/>
      <c r="BN855" s="201"/>
      <c r="BO855" s="201"/>
      <c r="BP855" s="201"/>
      <c r="BQ855" s="201"/>
      <c r="BR855" s="201"/>
      <c r="BS855" s="201"/>
      <c r="BT855" s="201"/>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201"/>
      <c r="AA856" s="201"/>
      <c r="AB856" s="201"/>
      <c r="AC856" s="201"/>
      <c r="AD856" s="201"/>
      <c r="BH856" s="201"/>
      <c r="BI856" s="201"/>
      <c r="BJ856" s="201"/>
      <c r="BK856" s="201"/>
      <c r="BL856" s="201"/>
      <c r="BM856" s="201"/>
      <c r="BN856" s="201"/>
      <c r="BO856" s="201"/>
      <c r="BP856" s="201"/>
      <c r="BQ856" s="201"/>
      <c r="BR856" s="201"/>
      <c r="BS856" s="201"/>
      <c r="BT856" s="201"/>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201"/>
      <c r="AA857" s="201"/>
      <c r="AB857" s="201"/>
      <c r="AC857" s="201"/>
      <c r="AD857" s="201"/>
      <c r="BH857" s="201"/>
      <c r="BI857" s="201"/>
      <c r="BJ857" s="201"/>
      <c r="BK857" s="201"/>
      <c r="BL857" s="201"/>
      <c r="BM857" s="201"/>
      <c r="BN857" s="201"/>
      <c r="BO857" s="201"/>
      <c r="BP857" s="201"/>
      <c r="BQ857" s="201"/>
      <c r="BR857" s="201"/>
      <c r="BS857" s="201"/>
      <c r="BT857" s="201"/>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201"/>
      <c r="AA858" s="201"/>
      <c r="AB858" s="201"/>
      <c r="AC858" s="201"/>
      <c r="AD858" s="201"/>
      <c r="BH858" s="201"/>
      <c r="BI858" s="201"/>
      <c r="BJ858" s="201"/>
      <c r="BK858" s="201"/>
      <c r="BL858" s="201"/>
      <c r="BM858" s="201"/>
      <c r="BN858" s="201"/>
      <c r="BO858" s="201"/>
      <c r="BP858" s="201"/>
      <c r="BQ858" s="201"/>
      <c r="BR858" s="201"/>
      <c r="BS858" s="201"/>
      <c r="BT858" s="201"/>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201"/>
      <c r="AA859" s="201"/>
      <c r="AB859" s="201"/>
      <c r="AC859" s="201"/>
      <c r="AD859" s="201"/>
      <c r="BH859" s="201"/>
      <c r="BI859" s="201"/>
      <c r="BJ859" s="201"/>
      <c r="BK859" s="201"/>
      <c r="BL859" s="201"/>
      <c r="BM859" s="201"/>
      <c r="BN859" s="201"/>
      <c r="BO859" s="201"/>
      <c r="BP859" s="201"/>
      <c r="BQ859" s="201"/>
      <c r="BR859" s="201"/>
      <c r="BS859" s="201"/>
      <c r="BT859" s="201"/>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201"/>
      <c r="AA860" s="201"/>
      <c r="AB860" s="201"/>
      <c r="AC860" s="201"/>
      <c r="AD860" s="201"/>
      <c r="BH860" s="201"/>
      <c r="BI860" s="201"/>
      <c r="BJ860" s="201"/>
      <c r="BK860" s="201"/>
      <c r="BL860" s="201"/>
      <c r="BM860" s="201"/>
      <c r="BN860" s="201"/>
      <c r="BO860" s="201"/>
      <c r="BP860" s="201"/>
      <c r="BQ860" s="201"/>
      <c r="BR860" s="201"/>
      <c r="BS860" s="201"/>
      <c r="BT860" s="201"/>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201"/>
      <c r="AA861" s="201"/>
      <c r="AB861" s="201"/>
      <c r="AC861" s="201"/>
      <c r="AD861" s="201"/>
      <c r="BH861" s="201"/>
      <c r="BI861" s="201"/>
      <c r="BJ861" s="201"/>
      <c r="BK861" s="201"/>
      <c r="BL861" s="201"/>
      <c r="BM861" s="201"/>
      <c r="BN861" s="201"/>
      <c r="BO861" s="201"/>
      <c r="BP861" s="201"/>
      <c r="BQ861" s="201"/>
      <c r="BR861" s="201"/>
      <c r="BS861" s="201"/>
      <c r="BT861" s="201"/>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201"/>
      <c r="AA862" s="201"/>
      <c r="AB862" s="201"/>
      <c r="AC862" s="201"/>
      <c r="AD862" s="201"/>
      <c r="BH862" s="201"/>
      <c r="BI862" s="201"/>
      <c r="BJ862" s="201"/>
      <c r="BK862" s="201"/>
      <c r="BL862" s="201"/>
      <c r="BM862" s="201"/>
      <c r="BN862" s="201"/>
      <c r="BO862" s="201"/>
      <c r="BP862" s="201"/>
      <c r="BQ862" s="201"/>
      <c r="BR862" s="201"/>
      <c r="BS862" s="201"/>
      <c r="BT862" s="201"/>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201"/>
      <c r="AA863" s="201"/>
      <c r="AB863" s="201"/>
      <c r="AC863" s="201"/>
      <c r="AD863" s="201"/>
      <c r="BH863" s="201"/>
      <c r="BI863" s="201"/>
      <c r="BJ863" s="201"/>
      <c r="BK863" s="201"/>
      <c r="BL863" s="201"/>
      <c r="BM863" s="201"/>
      <c r="BN863" s="201"/>
      <c r="BO863" s="201"/>
      <c r="BP863" s="201"/>
      <c r="BQ863" s="201"/>
      <c r="BR863" s="201"/>
      <c r="BS863" s="201"/>
      <c r="BT863" s="201"/>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201"/>
      <c r="AA864" s="201"/>
      <c r="AB864" s="201"/>
      <c r="AC864" s="201"/>
      <c r="AD864" s="201"/>
      <c r="BH864" s="201"/>
      <c r="BI864" s="201"/>
      <c r="BJ864" s="201"/>
      <c r="BK864" s="201"/>
      <c r="BL864" s="201"/>
      <c r="BM864" s="201"/>
      <c r="BN864" s="201"/>
      <c r="BO864" s="201"/>
      <c r="BP864" s="201"/>
      <c r="BQ864" s="201"/>
      <c r="BR864" s="201"/>
      <c r="BS864" s="201"/>
      <c r="BT864" s="201"/>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201"/>
      <c r="AA865" s="201"/>
      <c r="AB865" s="201"/>
      <c r="AC865" s="201"/>
      <c r="AD865" s="201"/>
      <c r="BH865" s="201"/>
      <c r="BI865" s="201"/>
      <c r="BJ865" s="201"/>
      <c r="BK865" s="201"/>
      <c r="BL865" s="201"/>
      <c r="BM865" s="201"/>
      <c r="BN865" s="201"/>
      <c r="BO865" s="201"/>
      <c r="BP865" s="201"/>
      <c r="BQ865" s="201"/>
      <c r="BR865" s="201"/>
      <c r="BS865" s="201"/>
      <c r="BT865" s="201"/>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201"/>
      <c r="AA866" s="201"/>
      <c r="AB866" s="201"/>
      <c r="AC866" s="201"/>
      <c r="AD866" s="201"/>
      <c r="BH866" s="201"/>
      <c r="BI866" s="201"/>
      <c r="BJ866" s="201"/>
      <c r="BK866" s="201"/>
      <c r="BL866" s="201"/>
      <c r="BM866" s="201"/>
      <c r="BN866" s="201"/>
      <c r="BO866" s="201"/>
      <c r="BP866" s="201"/>
      <c r="BQ866" s="201"/>
      <c r="BR866" s="201"/>
      <c r="BS866" s="201"/>
      <c r="BT866" s="201"/>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201"/>
      <c r="AA867" s="201"/>
      <c r="AB867" s="201"/>
      <c r="AC867" s="201"/>
      <c r="AD867" s="201"/>
      <c r="BH867" s="201"/>
      <c r="BI867" s="201"/>
      <c r="BJ867" s="201"/>
      <c r="BK867" s="201"/>
      <c r="BL867" s="201"/>
      <c r="BM867" s="201"/>
      <c r="BN867" s="201"/>
      <c r="BO867" s="201"/>
      <c r="BP867" s="201"/>
      <c r="BQ867" s="201"/>
      <c r="BR867" s="201"/>
      <c r="BS867" s="201"/>
      <c r="BT867" s="201"/>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201"/>
      <c r="AA868" s="201"/>
      <c r="AB868" s="201"/>
      <c r="AC868" s="201"/>
      <c r="AD868" s="201"/>
      <c r="BH868" s="201"/>
      <c r="BI868" s="201"/>
      <c r="BJ868" s="201"/>
      <c r="BK868" s="201"/>
      <c r="BL868" s="201"/>
      <c r="BM868" s="201"/>
      <c r="BN868" s="201"/>
      <c r="BO868" s="201"/>
      <c r="BP868" s="201"/>
      <c r="BQ868" s="201"/>
      <c r="BR868" s="201"/>
      <c r="BS868" s="201"/>
      <c r="BT868" s="201"/>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201"/>
      <c r="AA869" s="201"/>
      <c r="AB869" s="201"/>
      <c r="AC869" s="201"/>
      <c r="AD869" s="201"/>
      <c r="BH869" s="201"/>
      <c r="BI869" s="201"/>
      <c r="BJ869" s="201"/>
      <c r="BK869" s="201"/>
      <c r="BL869" s="201"/>
      <c r="BM869" s="201"/>
      <c r="BN869" s="201"/>
      <c r="BO869" s="201"/>
      <c r="BP869" s="201"/>
      <c r="BQ869" s="201"/>
      <c r="BR869" s="201"/>
      <c r="BS869" s="201"/>
      <c r="BT869" s="201"/>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201"/>
      <c r="AA870" s="201"/>
      <c r="AB870" s="201"/>
      <c r="AC870" s="201"/>
      <c r="AD870" s="201"/>
      <c r="BH870" s="201"/>
      <c r="BI870" s="201"/>
      <c r="BJ870" s="201"/>
      <c r="BK870" s="201"/>
      <c r="BL870" s="201"/>
      <c r="BM870" s="201"/>
      <c r="BN870" s="201"/>
      <c r="BO870" s="201"/>
      <c r="BP870" s="201"/>
      <c r="BQ870" s="201"/>
      <c r="BR870" s="201"/>
      <c r="BS870" s="201"/>
      <c r="BT870" s="201"/>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201"/>
      <c r="AA871" s="201"/>
      <c r="AB871" s="201"/>
      <c r="AC871" s="201"/>
      <c r="AD871" s="201"/>
      <c r="BH871" s="201"/>
      <c r="BI871" s="201"/>
      <c r="BJ871" s="201"/>
      <c r="BK871" s="201"/>
      <c r="BL871" s="201"/>
      <c r="BM871" s="201"/>
      <c r="BN871" s="201"/>
      <c r="BO871" s="201"/>
      <c r="BP871" s="201"/>
      <c r="BQ871" s="201"/>
      <c r="BR871" s="201"/>
      <c r="BS871" s="201"/>
      <c r="BT871" s="201"/>
    </row>
    <row r="872" spans="1:7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201"/>
      <c r="AA872" s="201"/>
      <c r="AB872" s="201"/>
      <c r="AC872" s="201"/>
      <c r="AD872" s="201"/>
      <c r="BH872" s="201"/>
      <c r="BI872" s="201"/>
      <c r="BJ872" s="201"/>
      <c r="BK872" s="201"/>
      <c r="BL872" s="201"/>
      <c r="BM872" s="201"/>
      <c r="BN872" s="201"/>
      <c r="BO872" s="201"/>
      <c r="BP872" s="201"/>
      <c r="BQ872" s="201"/>
      <c r="BR872" s="201"/>
      <c r="BS872" s="201"/>
      <c r="BT872" s="201"/>
    </row>
    <row r="873" spans="1:7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201"/>
      <c r="AA873" s="201"/>
      <c r="AB873" s="201"/>
      <c r="AC873" s="201"/>
      <c r="AD873" s="201"/>
      <c r="BH873" s="201"/>
      <c r="BI873" s="201"/>
      <c r="BJ873" s="201"/>
      <c r="BK873" s="201"/>
      <c r="BL873" s="201"/>
      <c r="BM873" s="201"/>
      <c r="BN873" s="201"/>
      <c r="BO873" s="201"/>
      <c r="BP873" s="201"/>
      <c r="BQ873" s="201"/>
      <c r="BR873" s="201"/>
      <c r="BS873" s="201"/>
      <c r="BT873" s="201"/>
    </row>
    <row r="874" spans="1:7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201"/>
      <c r="AA874" s="201"/>
      <c r="AB874" s="201"/>
      <c r="AC874" s="201"/>
      <c r="AD874" s="201"/>
      <c r="BH874" s="201"/>
      <c r="BI874" s="201"/>
      <c r="BJ874" s="201"/>
      <c r="BK874" s="201"/>
      <c r="BL874" s="201"/>
      <c r="BM874" s="201"/>
      <c r="BN874" s="201"/>
      <c r="BO874" s="201"/>
      <c r="BP874" s="201"/>
      <c r="BQ874" s="201"/>
      <c r="BR874" s="201"/>
      <c r="BS874" s="201"/>
      <c r="BT874" s="201"/>
    </row>
    <row r="875" spans="1:7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201"/>
      <c r="AA875" s="201"/>
      <c r="AB875" s="201"/>
      <c r="AC875" s="201"/>
      <c r="AD875" s="201"/>
      <c r="BH875" s="201"/>
      <c r="BI875" s="201"/>
      <c r="BJ875" s="201"/>
      <c r="BK875" s="201"/>
      <c r="BL875" s="201"/>
      <c r="BM875" s="201"/>
      <c r="BN875" s="201"/>
      <c r="BO875" s="201"/>
      <c r="BP875" s="201"/>
      <c r="BQ875" s="201"/>
      <c r="BR875" s="201"/>
      <c r="BS875" s="201"/>
      <c r="BT875" s="201"/>
    </row>
    <row r="876" spans="1:7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201"/>
      <c r="AA876" s="201"/>
      <c r="AB876" s="201"/>
      <c r="AC876" s="201"/>
      <c r="AD876" s="201"/>
      <c r="BH876" s="201"/>
      <c r="BI876" s="201"/>
      <c r="BJ876" s="201"/>
      <c r="BK876" s="201"/>
      <c r="BL876" s="201"/>
      <c r="BM876" s="201"/>
      <c r="BN876" s="201"/>
      <c r="BO876" s="201"/>
      <c r="BP876" s="201"/>
      <c r="BQ876" s="201"/>
      <c r="BR876" s="201"/>
      <c r="BS876" s="201"/>
      <c r="BT876" s="201"/>
    </row>
    <row r="877" spans="1:7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201"/>
      <c r="AA877" s="201"/>
      <c r="AB877" s="201"/>
      <c r="AC877" s="201"/>
      <c r="AD877" s="201"/>
      <c r="BH877" s="201"/>
      <c r="BI877" s="201"/>
      <c r="BJ877" s="201"/>
      <c r="BK877" s="201"/>
      <c r="BL877" s="201"/>
      <c r="BM877" s="201"/>
      <c r="BN877" s="201"/>
      <c r="BO877" s="201"/>
      <c r="BP877" s="201"/>
      <c r="BQ877" s="201"/>
      <c r="BR877" s="201"/>
      <c r="BS877" s="201"/>
      <c r="BT877" s="201"/>
    </row>
    <row r="878" spans="1:7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201"/>
      <c r="AA878" s="201"/>
      <c r="AB878" s="201"/>
      <c r="AC878" s="201"/>
      <c r="AD878" s="201"/>
      <c r="BH878" s="201"/>
      <c r="BI878" s="201"/>
      <c r="BJ878" s="201"/>
      <c r="BK878" s="201"/>
      <c r="BL878" s="201"/>
      <c r="BM878" s="201"/>
      <c r="BN878" s="201"/>
      <c r="BO878" s="201"/>
      <c r="BP878" s="201"/>
      <c r="BQ878" s="201"/>
      <c r="BR878" s="201"/>
      <c r="BS878" s="201"/>
      <c r="BT878" s="201"/>
    </row>
    <row r="879" spans="1:7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201"/>
      <c r="AA879" s="201"/>
      <c r="AB879" s="201"/>
      <c r="AC879" s="201"/>
      <c r="AD879" s="201"/>
      <c r="BH879" s="201"/>
      <c r="BI879" s="201"/>
      <c r="BJ879" s="201"/>
      <c r="BK879" s="201"/>
      <c r="BL879" s="201"/>
      <c r="BM879" s="201"/>
      <c r="BN879" s="201"/>
      <c r="BO879" s="201"/>
      <c r="BP879" s="201"/>
      <c r="BQ879" s="201"/>
      <c r="BR879" s="201"/>
      <c r="BS879" s="201"/>
      <c r="BT879" s="201"/>
    </row>
    <row r="880" spans="1:7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201"/>
      <c r="AA880" s="201"/>
      <c r="AB880" s="201"/>
      <c r="AC880" s="201"/>
      <c r="AD880" s="201"/>
      <c r="BH880" s="201"/>
      <c r="BI880" s="201"/>
      <c r="BJ880" s="201"/>
      <c r="BK880" s="201"/>
      <c r="BL880" s="201"/>
      <c r="BM880" s="201"/>
      <c r="BN880" s="201"/>
      <c r="BO880" s="201"/>
      <c r="BP880" s="201"/>
      <c r="BQ880" s="201"/>
      <c r="BR880" s="201"/>
      <c r="BS880" s="201"/>
      <c r="BT880" s="201"/>
    </row>
    <row r="881" spans="1:7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201"/>
      <c r="AA881" s="201"/>
      <c r="AB881" s="201"/>
      <c r="AC881" s="201"/>
      <c r="AD881" s="201"/>
      <c r="BH881" s="201"/>
      <c r="BI881" s="201"/>
      <c r="BJ881" s="201"/>
      <c r="BK881" s="201"/>
      <c r="BL881" s="201"/>
      <c r="BM881" s="201"/>
      <c r="BN881" s="201"/>
      <c r="BO881" s="201"/>
      <c r="BP881" s="201"/>
      <c r="BQ881" s="201"/>
      <c r="BR881" s="201"/>
      <c r="BS881" s="201"/>
      <c r="BT881" s="201"/>
    </row>
    <row r="882" spans="1:7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201"/>
      <c r="AA882" s="201"/>
      <c r="AB882" s="201"/>
      <c r="AC882" s="201"/>
      <c r="AD882" s="201"/>
      <c r="BH882" s="201"/>
      <c r="BI882" s="201"/>
      <c r="BJ882" s="201"/>
      <c r="BK882" s="201"/>
      <c r="BL882" s="201"/>
      <c r="BM882" s="201"/>
      <c r="BN882" s="201"/>
      <c r="BO882" s="201"/>
      <c r="BP882" s="201"/>
      <c r="BQ882" s="201"/>
      <c r="BR882" s="201"/>
      <c r="BS882" s="201"/>
      <c r="BT882" s="201"/>
    </row>
    <row r="883" spans="1:7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201"/>
      <c r="AA883" s="201"/>
      <c r="AB883" s="201"/>
      <c r="AC883" s="201"/>
      <c r="AD883" s="201"/>
      <c r="BH883" s="201"/>
      <c r="BI883" s="201"/>
      <c r="BJ883" s="201"/>
      <c r="BK883" s="201"/>
      <c r="BL883" s="201"/>
      <c r="BM883" s="201"/>
      <c r="BN883" s="201"/>
      <c r="BO883" s="201"/>
      <c r="BP883" s="201"/>
      <c r="BQ883" s="201"/>
      <c r="BR883" s="201"/>
      <c r="BS883" s="201"/>
      <c r="BT883" s="201"/>
    </row>
    <row r="884" spans="1:7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201"/>
      <c r="AA884" s="201"/>
      <c r="AB884" s="201"/>
      <c r="AC884" s="201"/>
      <c r="AD884" s="201"/>
      <c r="BH884" s="201"/>
      <c r="BI884" s="201"/>
      <c r="BJ884" s="201"/>
      <c r="BK884" s="201"/>
      <c r="BL884" s="201"/>
      <c r="BM884" s="201"/>
      <c r="BN884" s="201"/>
      <c r="BO884" s="201"/>
      <c r="BP884" s="201"/>
      <c r="BQ884" s="201"/>
      <c r="BR884" s="201"/>
      <c r="BS884" s="201"/>
      <c r="BT884" s="201"/>
    </row>
    <row r="885" spans="1:7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201"/>
      <c r="AA885" s="201"/>
      <c r="AB885" s="201"/>
      <c r="AC885" s="201"/>
      <c r="AD885" s="201"/>
      <c r="BH885" s="201"/>
      <c r="BI885" s="201"/>
      <c r="BJ885" s="201"/>
      <c r="BK885" s="201"/>
      <c r="BL885" s="201"/>
      <c r="BM885" s="201"/>
      <c r="BN885" s="201"/>
      <c r="BO885" s="201"/>
      <c r="BP885" s="201"/>
      <c r="BQ885" s="201"/>
      <c r="BR885" s="201"/>
      <c r="BS885" s="201"/>
      <c r="BT885" s="201"/>
    </row>
    <row r="886" spans="1:7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201"/>
      <c r="AA886" s="201"/>
      <c r="AB886" s="201"/>
      <c r="AC886" s="201"/>
      <c r="AD886" s="201"/>
      <c r="BH886" s="201"/>
      <c r="BI886" s="201"/>
      <c r="BJ886" s="201"/>
      <c r="BK886" s="201"/>
      <c r="BL886" s="201"/>
      <c r="BM886" s="201"/>
      <c r="BN886" s="201"/>
      <c r="BO886" s="201"/>
      <c r="BP886" s="201"/>
      <c r="BQ886" s="201"/>
      <c r="BR886" s="201"/>
      <c r="BS886" s="201"/>
      <c r="BT886" s="201"/>
    </row>
    <row r="887" spans="1:7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201"/>
      <c r="AA887" s="201"/>
      <c r="AB887" s="201"/>
      <c r="AC887" s="201"/>
      <c r="AD887" s="201"/>
      <c r="BH887" s="201"/>
      <c r="BI887" s="201"/>
      <c r="BJ887" s="201"/>
      <c r="BK887" s="201"/>
      <c r="BL887" s="201"/>
      <c r="BM887" s="201"/>
      <c r="BN887" s="201"/>
      <c r="BO887" s="201"/>
      <c r="BP887" s="201"/>
      <c r="BQ887" s="201"/>
      <c r="BR887" s="201"/>
      <c r="BS887" s="201"/>
      <c r="BT887" s="201"/>
    </row>
    <row r="888" spans="1:7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201"/>
      <c r="AA888" s="201"/>
      <c r="AB888" s="201"/>
      <c r="AC888" s="201"/>
      <c r="AD888" s="201"/>
      <c r="BH888" s="201"/>
      <c r="BI888" s="201"/>
      <c r="BJ888" s="201"/>
      <c r="BK888" s="201"/>
      <c r="BL888" s="201"/>
      <c r="BM888" s="201"/>
      <c r="BN888" s="201"/>
      <c r="BO888" s="201"/>
      <c r="BP888" s="201"/>
      <c r="BQ888" s="201"/>
      <c r="BR888" s="201"/>
      <c r="BS888" s="201"/>
      <c r="BT888" s="201"/>
    </row>
    <row r="889" spans="1:7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201"/>
      <c r="AA889" s="201"/>
      <c r="AB889" s="201"/>
      <c r="AC889" s="201"/>
      <c r="AD889" s="201"/>
      <c r="BH889" s="201"/>
      <c r="BI889" s="201"/>
      <c r="BJ889" s="201"/>
      <c r="BK889" s="201"/>
      <c r="BL889" s="201"/>
      <c r="BM889" s="201"/>
      <c r="BN889" s="201"/>
      <c r="BO889" s="201"/>
      <c r="BP889" s="201"/>
      <c r="BQ889" s="201"/>
      <c r="BR889" s="201"/>
      <c r="BS889" s="201"/>
      <c r="BT889" s="201"/>
    </row>
    <row r="890" spans="1:7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201"/>
      <c r="AA890" s="201"/>
      <c r="AB890" s="201"/>
      <c r="AC890" s="201"/>
      <c r="AD890" s="201"/>
      <c r="BH890" s="201"/>
      <c r="BI890" s="201"/>
      <c r="BJ890" s="201"/>
      <c r="BK890" s="201"/>
      <c r="BL890" s="201"/>
      <c r="BM890" s="201"/>
      <c r="BN890" s="201"/>
      <c r="BO890" s="201"/>
      <c r="BP890" s="201"/>
      <c r="BQ890" s="201"/>
      <c r="BR890" s="201"/>
      <c r="BS890" s="201"/>
      <c r="BT890" s="201"/>
    </row>
    <row r="891" spans="1:7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201"/>
      <c r="AA891" s="201"/>
      <c r="AB891" s="201"/>
      <c r="AC891" s="201"/>
      <c r="AD891" s="201"/>
      <c r="BH891" s="201"/>
      <c r="BI891" s="201"/>
      <c r="BJ891" s="201"/>
      <c r="BK891" s="201"/>
      <c r="BL891" s="201"/>
      <c r="BM891" s="201"/>
      <c r="BN891" s="201"/>
      <c r="BO891" s="201"/>
      <c r="BP891" s="201"/>
      <c r="BQ891" s="201"/>
      <c r="BR891" s="201"/>
      <c r="BS891" s="201"/>
      <c r="BT891" s="201"/>
    </row>
    <row r="892" spans="1:7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201"/>
      <c r="AA892" s="201"/>
      <c r="AB892" s="201"/>
      <c r="AC892" s="201"/>
      <c r="AD892" s="201"/>
      <c r="BH892" s="201"/>
      <c r="BI892" s="201"/>
      <c r="BJ892" s="201"/>
      <c r="BK892" s="201"/>
      <c r="BL892" s="201"/>
      <c r="BM892" s="201"/>
      <c r="BN892" s="201"/>
      <c r="BO892" s="201"/>
      <c r="BP892" s="201"/>
      <c r="BQ892" s="201"/>
      <c r="BR892" s="201"/>
      <c r="BS892" s="201"/>
      <c r="BT892" s="201"/>
    </row>
    <row r="893" spans="1:7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201"/>
      <c r="AA893" s="201"/>
      <c r="AB893" s="201"/>
      <c r="AC893" s="201"/>
      <c r="AD893" s="201"/>
      <c r="BH893" s="201"/>
      <c r="BI893" s="201"/>
      <c r="BJ893" s="201"/>
      <c r="BK893" s="201"/>
      <c r="BL893" s="201"/>
      <c r="BM893" s="201"/>
      <c r="BN893" s="201"/>
      <c r="BO893" s="201"/>
      <c r="BP893" s="201"/>
      <c r="BQ893" s="201"/>
      <c r="BR893" s="201"/>
      <c r="BS893" s="201"/>
      <c r="BT893" s="201"/>
    </row>
    <row r="894" spans="1:7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201"/>
      <c r="AA894" s="201"/>
      <c r="AB894" s="201"/>
      <c r="AC894" s="201"/>
      <c r="AD894" s="201"/>
      <c r="BH894" s="201"/>
      <c r="BI894" s="201"/>
      <c r="BJ894" s="201"/>
      <c r="BK894" s="201"/>
      <c r="BL894" s="201"/>
      <c r="BM894" s="201"/>
      <c r="BN894" s="201"/>
      <c r="BO894" s="201"/>
      <c r="BP894" s="201"/>
      <c r="BQ894" s="201"/>
      <c r="BR894" s="201"/>
      <c r="BS894" s="201"/>
      <c r="BT894" s="201"/>
    </row>
    <row r="895" spans="1:7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201"/>
      <c r="AA895" s="201"/>
      <c r="AB895" s="201"/>
      <c r="AC895" s="201"/>
      <c r="AD895" s="201"/>
      <c r="BH895" s="201"/>
      <c r="BI895" s="201"/>
      <c r="BJ895" s="201"/>
      <c r="BK895" s="201"/>
      <c r="BL895" s="201"/>
      <c r="BM895" s="201"/>
      <c r="BN895" s="201"/>
      <c r="BO895" s="201"/>
      <c r="BP895" s="201"/>
      <c r="BQ895" s="201"/>
      <c r="BR895" s="201"/>
      <c r="BS895" s="201"/>
      <c r="BT895" s="201"/>
    </row>
    <row r="896" spans="1:7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201"/>
      <c r="AA896" s="201"/>
      <c r="AB896" s="201"/>
      <c r="AC896" s="201"/>
      <c r="AD896" s="201"/>
      <c r="BH896" s="201"/>
      <c r="BI896" s="201"/>
      <c r="BJ896" s="201"/>
      <c r="BK896" s="201"/>
      <c r="BL896" s="201"/>
      <c r="BM896" s="201"/>
      <c r="BN896" s="201"/>
      <c r="BO896" s="201"/>
      <c r="BP896" s="201"/>
      <c r="BQ896" s="201"/>
      <c r="BR896" s="201"/>
      <c r="BS896" s="201"/>
      <c r="BT896" s="201"/>
    </row>
    <row r="897" spans="1:7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201"/>
      <c r="AA897" s="201"/>
      <c r="AB897" s="201"/>
      <c r="AC897" s="201"/>
      <c r="AD897" s="201"/>
      <c r="BH897" s="201"/>
      <c r="BI897" s="201"/>
      <c r="BJ897" s="201"/>
      <c r="BK897" s="201"/>
      <c r="BL897" s="201"/>
      <c r="BM897" s="201"/>
      <c r="BN897" s="201"/>
      <c r="BO897" s="201"/>
      <c r="BP897" s="201"/>
      <c r="BQ897" s="201"/>
      <c r="BR897" s="201"/>
      <c r="BS897" s="201"/>
      <c r="BT897" s="201"/>
    </row>
    <row r="898" spans="1:7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201"/>
      <c r="AA898" s="201"/>
      <c r="AB898" s="201"/>
      <c r="AC898" s="201"/>
      <c r="AD898" s="201"/>
      <c r="BH898" s="201"/>
      <c r="BI898" s="201"/>
      <c r="BJ898" s="201"/>
      <c r="BK898" s="201"/>
      <c r="BL898" s="201"/>
      <c r="BM898" s="201"/>
      <c r="BN898" s="201"/>
      <c r="BO898" s="201"/>
      <c r="BP898" s="201"/>
      <c r="BQ898" s="201"/>
      <c r="BR898" s="201"/>
      <c r="BS898" s="201"/>
      <c r="BT898" s="201"/>
    </row>
    <row r="899" spans="1:7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201"/>
      <c r="AA899" s="201"/>
      <c r="AB899" s="201"/>
      <c r="AC899" s="201"/>
      <c r="AD899" s="201"/>
      <c r="BH899" s="201"/>
      <c r="BI899" s="201"/>
      <c r="BJ899" s="201"/>
      <c r="BK899" s="201"/>
      <c r="BL899" s="201"/>
      <c r="BM899" s="201"/>
      <c r="BN899" s="201"/>
      <c r="BO899" s="201"/>
      <c r="BP899" s="201"/>
      <c r="BQ899" s="201"/>
      <c r="BR899" s="201"/>
      <c r="BS899" s="201"/>
      <c r="BT899" s="201"/>
    </row>
    <row r="900" spans="1:7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201"/>
      <c r="AA900" s="201"/>
      <c r="AB900" s="201"/>
      <c r="AC900" s="201"/>
      <c r="AD900" s="201"/>
      <c r="BH900" s="201"/>
      <c r="BI900" s="201"/>
      <c r="BJ900" s="201"/>
      <c r="BK900" s="201"/>
      <c r="BL900" s="201"/>
      <c r="BM900" s="201"/>
      <c r="BN900" s="201"/>
      <c r="BO900" s="201"/>
      <c r="BP900" s="201"/>
      <c r="BQ900" s="201"/>
      <c r="BR900" s="201"/>
      <c r="BS900" s="201"/>
      <c r="BT900" s="201"/>
    </row>
    <row r="901" spans="1:7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201"/>
      <c r="AA901" s="201"/>
      <c r="AB901" s="201"/>
      <c r="AC901" s="201"/>
      <c r="AD901" s="201"/>
      <c r="BH901" s="201"/>
      <c r="BI901" s="201"/>
      <c r="BJ901" s="201"/>
      <c r="BK901" s="201"/>
      <c r="BL901" s="201"/>
      <c r="BM901" s="201"/>
      <c r="BN901" s="201"/>
      <c r="BO901" s="201"/>
      <c r="BP901" s="201"/>
      <c r="BQ901" s="201"/>
      <c r="BR901" s="201"/>
      <c r="BS901" s="201"/>
      <c r="BT901" s="201"/>
    </row>
    <row r="902" spans="1:7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201"/>
      <c r="AA902" s="201"/>
      <c r="AB902" s="201"/>
      <c r="AC902" s="201"/>
      <c r="AD902" s="201"/>
      <c r="BH902" s="201"/>
      <c r="BI902" s="201"/>
      <c r="BJ902" s="201"/>
      <c r="BK902" s="201"/>
      <c r="BL902" s="201"/>
      <c r="BM902" s="201"/>
      <c r="BN902" s="201"/>
      <c r="BO902" s="201"/>
      <c r="BP902" s="201"/>
      <c r="BQ902" s="201"/>
      <c r="BR902" s="201"/>
      <c r="BS902" s="201"/>
      <c r="BT902" s="201"/>
    </row>
    <row r="903" spans="1:7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201"/>
      <c r="AA903" s="201"/>
      <c r="AB903" s="201"/>
      <c r="AC903" s="201"/>
      <c r="AD903" s="201"/>
      <c r="BH903" s="201"/>
      <c r="BI903" s="201"/>
      <c r="BJ903" s="201"/>
      <c r="BK903" s="201"/>
      <c r="BL903" s="201"/>
      <c r="BM903" s="201"/>
      <c r="BN903" s="201"/>
      <c r="BO903" s="201"/>
      <c r="BP903" s="201"/>
      <c r="BQ903" s="201"/>
      <c r="BR903" s="201"/>
      <c r="BS903" s="201"/>
      <c r="BT903" s="201"/>
    </row>
    <row r="904" spans="1:7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201"/>
      <c r="AA904" s="201"/>
      <c r="AB904" s="201"/>
      <c r="AC904" s="201"/>
      <c r="AD904" s="201"/>
      <c r="BH904" s="201"/>
      <c r="BI904" s="201"/>
      <c r="BJ904" s="201"/>
      <c r="BK904" s="201"/>
      <c r="BL904" s="201"/>
      <c r="BM904" s="201"/>
      <c r="BN904" s="201"/>
      <c r="BO904" s="201"/>
      <c r="BP904" s="201"/>
      <c r="BQ904" s="201"/>
      <c r="BR904" s="201"/>
      <c r="BS904" s="201"/>
      <c r="BT904" s="201"/>
    </row>
    <row r="905" spans="1:7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201"/>
      <c r="AA905" s="201"/>
      <c r="AB905" s="201"/>
      <c r="AC905" s="201"/>
      <c r="AD905" s="201"/>
      <c r="BH905" s="201"/>
      <c r="BI905" s="201"/>
      <c r="BJ905" s="201"/>
      <c r="BK905" s="201"/>
      <c r="BL905" s="201"/>
      <c r="BM905" s="201"/>
      <c r="BN905" s="201"/>
      <c r="BO905" s="201"/>
      <c r="BP905" s="201"/>
      <c r="BQ905" s="201"/>
      <c r="BR905" s="201"/>
      <c r="BS905" s="201"/>
      <c r="BT905" s="201"/>
    </row>
    <row r="906" spans="1:7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BH906" s="201"/>
      <c r="BI906" s="201"/>
      <c r="BJ906" s="201"/>
      <c r="BK906" s="201"/>
      <c r="BL906" s="201"/>
      <c r="BM906" s="201"/>
      <c r="BN906" s="201"/>
      <c r="BO906" s="201"/>
      <c r="BP906" s="201"/>
      <c r="BQ906" s="201"/>
      <c r="BR906" s="201"/>
      <c r="BS906" s="201"/>
      <c r="BT906" s="201"/>
    </row>
    <row r="907" spans="1:7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BH907" s="201"/>
      <c r="BI907" s="201"/>
      <c r="BJ907" s="201"/>
      <c r="BK907" s="201"/>
      <c r="BL907" s="201"/>
      <c r="BM907" s="201"/>
      <c r="BN907" s="201"/>
      <c r="BO907" s="201"/>
      <c r="BP907" s="201"/>
      <c r="BQ907" s="201"/>
      <c r="BR907" s="201"/>
      <c r="BS907" s="201"/>
      <c r="BT907" s="201"/>
    </row>
    <row r="908" spans="1:7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BH908" s="201"/>
      <c r="BI908" s="201"/>
      <c r="BJ908" s="201"/>
      <c r="BK908" s="201"/>
      <c r="BL908" s="201"/>
      <c r="BM908" s="201"/>
      <c r="BN908" s="201"/>
      <c r="BO908" s="201"/>
      <c r="BP908" s="201"/>
      <c r="BQ908" s="201"/>
      <c r="BR908" s="201"/>
      <c r="BS908" s="201"/>
      <c r="BT908" s="201"/>
    </row>
    <row r="909" spans="1:7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BH909" s="201"/>
      <c r="BI909" s="201"/>
      <c r="BJ909" s="201"/>
      <c r="BK909" s="201"/>
      <c r="BL909" s="201"/>
      <c r="BM909" s="201"/>
      <c r="BN909" s="201"/>
      <c r="BO909" s="201"/>
      <c r="BP909" s="201"/>
      <c r="BQ909" s="201"/>
      <c r="BR909" s="201"/>
      <c r="BS909" s="201"/>
      <c r="BT909" s="201"/>
    </row>
    <row r="910" spans="1:7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BH910" s="201"/>
      <c r="BI910" s="201"/>
      <c r="BJ910" s="201"/>
      <c r="BK910" s="201"/>
      <c r="BL910" s="201"/>
      <c r="BM910" s="201"/>
      <c r="BN910" s="201"/>
      <c r="BO910" s="201"/>
      <c r="BP910" s="201"/>
      <c r="BQ910" s="201"/>
      <c r="BR910" s="201"/>
      <c r="BS910" s="201"/>
      <c r="BT910" s="201"/>
    </row>
    <row r="911" spans="1:7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BH911" s="201"/>
      <c r="BI911" s="201"/>
      <c r="BJ911" s="201"/>
      <c r="BK911" s="201"/>
      <c r="BL911" s="201"/>
      <c r="BM911" s="201"/>
      <c r="BN911" s="201"/>
      <c r="BO911" s="201"/>
      <c r="BP911" s="201"/>
      <c r="BQ911" s="201"/>
      <c r="BR911" s="201"/>
      <c r="BS911" s="201"/>
      <c r="BT911" s="201"/>
    </row>
    <row r="912" spans="1:7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BH912" s="201"/>
      <c r="BI912" s="201"/>
      <c r="BJ912" s="201"/>
      <c r="BK912" s="201"/>
      <c r="BL912" s="201"/>
      <c r="BM912" s="201"/>
      <c r="BN912" s="201"/>
      <c r="BO912" s="201"/>
      <c r="BP912" s="201"/>
      <c r="BQ912" s="201"/>
      <c r="BR912" s="201"/>
      <c r="BS912" s="201"/>
      <c r="BT912" s="201"/>
    </row>
    <row r="913" spans="1:7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BH913" s="201"/>
      <c r="BI913" s="201"/>
      <c r="BJ913" s="201"/>
      <c r="BK913" s="201"/>
      <c r="BL913" s="201"/>
      <c r="BM913" s="201"/>
      <c r="BN913" s="201"/>
      <c r="BO913" s="201"/>
      <c r="BP913" s="201"/>
      <c r="BQ913" s="201"/>
      <c r="BR913" s="201"/>
      <c r="BS913" s="201"/>
      <c r="BT913" s="201"/>
    </row>
    <row r="914" spans="1:7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BH914" s="201"/>
      <c r="BI914" s="201"/>
      <c r="BJ914" s="201"/>
      <c r="BK914" s="201"/>
      <c r="BL914" s="201"/>
      <c r="BM914" s="201"/>
      <c r="BN914" s="201"/>
      <c r="BO914" s="201"/>
      <c r="BP914" s="201"/>
      <c r="BQ914" s="201"/>
      <c r="BR914" s="201"/>
      <c r="BS914" s="201"/>
      <c r="BT914" s="201"/>
    </row>
    <row r="915" spans="1:7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BH915" s="201"/>
      <c r="BI915" s="201"/>
      <c r="BJ915" s="201"/>
      <c r="BK915" s="201"/>
      <c r="BL915" s="201"/>
      <c r="BM915" s="201"/>
      <c r="BN915" s="201"/>
      <c r="BO915" s="201"/>
      <c r="BP915" s="201"/>
      <c r="BQ915" s="201"/>
      <c r="BR915" s="201"/>
      <c r="BS915" s="201"/>
      <c r="BT915" s="201"/>
    </row>
    <row r="916" spans="1:7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BH916" s="201"/>
      <c r="BI916" s="201"/>
      <c r="BJ916" s="201"/>
      <c r="BK916" s="201"/>
      <c r="BL916" s="201"/>
      <c r="BM916" s="201"/>
      <c r="BN916" s="201"/>
      <c r="BO916" s="201"/>
      <c r="BP916" s="201"/>
      <c r="BQ916" s="201"/>
      <c r="BR916" s="201"/>
      <c r="BS916" s="201"/>
      <c r="BT916" s="201"/>
    </row>
    <row r="917" spans="1:7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BH917" s="201"/>
      <c r="BI917" s="201"/>
      <c r="BJ917" s="201"/>
      <c r="BK917" s="201"/>
      <c r="BL917" s="201"/>
      <c r="BM917" s="201"/>
      <c r="BN917" s="201"/>
      <c r="BO917" s="201"/>
      <c r="BP917" s="201"/>
      <c r="BQ917" s="201"/>
      <c r="BR917" s="201"/>
      <c r="BS917" s="201"/>
      <c r="BT917" s="201"/>
    </row>
    <row r="918" spans="1:7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BH918" s="201"/>
      <c r="BI918" s="201"/>
      <c r="BJ918" s="201"/>
      <c r="BK918" s="201"/>
      <c r="BL918" s="201"/>
      <c r="BM918" s="201"/>
      <c r="BN918" s="201"/>
      <c r="BO918" s="201"/>
      <c r="BP918" s="201"/>
      <c r="BQ918" s="201"/>
      <c r="BR918" s="201"/>
      <c r="BS918" s="201"/>
      <c r="BT918" s="201"/>
    </row>
    <row r="919" spans="1:7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BH919" s="201"/>
      <c r="BI919" s="201"/>
      <c r="BJ919" s="201"/>
      <c r="BK919" s="201"/>
      <c r="BL919" s="201"/>
      <c r="BM919" s="201"/>
      <c r="BN919" s="201"/>
      <c r="BO919" s="201"/>
      <c r="BP919" s="201"/>
      <c r="BQ919" s="201"/>
      <c r="BR919" s="201"/>
      <c r="BS919" s="201"/>
      <c r="BT919" s="201"/>
    </row>
    <row r="920" spans="1:7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BH920" s="201"/>
      <c r="BI920" s="201"/>
      <c r="BJ920" s="201"/>
      <c r="BK920" s="201"/>
      <c r="BL920" s="201"/>
      <c r="BM920" s="201"/>
      <c r="BN920" s="201"/>
      <c r="BO920" s="201"/>
      <c r="BP920" s="201"/>
      <c r="BQ920" s="201"/>
      <c r="BR920" s="201"/>
      <c r="BS920" s="201"/>
      <c r="BT920" s="201"/>
    </row>
    <row r="921" spans="1:7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BH921" s="201"/>
      <c r="BI921" s="201"/>
      <c r="BJ921" s="201"/>
      <c r="BK921" s="201"/>
      <c r="BL921" s="201"/>
      <c r="BM921" s="201"/>
      <c r="BN921" s="201"/>
      <c r="BO921" s="201"/>
      <c r="BP921" s="201"/>
      <c r="BQ921" s="201"/>
      <c r="BR921" s="201"/>
      <c r="BS921" s="201"/>
      <c r="BT921" s="201"/>
    </row>
    <row r="922" spans="1:72">
      <c r="BH922" s="201"/>
      <c r="BI922" s="201"/>
      <c r="BJ922" s="201"/>
      <c r="BK922" s="201"/>
      <c r="BL922" s="201"/>
      <c r="BM922" s="201"/>
      <c r="BN922" s="201"/>
      <c r="BO922" s="201"/>
      <c r="BP922" s="201"/>
      <c r="BQ922" s="201"/>
      <c r="BR922" s="201"/>
      <c r="BS922" s="201"/>
      <c r="BT922" s="201"/>
    </row>
    <row r="923" spans="1:72">
      <c r="BH923" s="201"/>
      <c r="BI923" s="201"/>
      <c r="BJ923" s="201"/>
      <c r="BK923" s="201"/>
      <c r="BL923" s="201"/>
      <c r="BM923" s="201"/>
      <c r="BN923" s="201"/>
      <c r="BO923" s="201"/>
      <c r="BP923" s="201"/>
      <c r="BQ923" s="201"/>
      <c r="BR923" s="201"/>
      <c r="BS923" s="201"/>
      <c r="BT923" s="201"/>
    </row>
    <row r="924" spans="1:72">
      <c r="BH924" s="201"/>
      <c r="BI924" s="201"/>
      <c r="BJ924" s="201"/>
      <c r="BK924" s="201"/>
      <c r="BL924" s="201"/>
      <c r="BM924" s="201"/>
      <c r="BN924" s="201"/>
      <c r="BO924" s="201"/>
      <c r="BP924" s="201"/>
      <c r="BQ924" s="201"/>
      <c r="BR924" s="201"/>
      <c r="BS924" s="201"/>
      <c r="BT924" s="201"/>
    </row>
    <row r="925" spans="1:72">
      <c r="BH925" s="201"/>
      <c r="BI925" s="201"/>
      <c r="BJ925" s="201"/>
      <c r="BK925" s="201"/>
      <c r="BL925" s="201"/>
      <c r="BM925" s="201"/>
      <c r="BN925" s="201"/>
      <c r="BO925" s="201"/>
      <c r="BP925" s="201"/>
      <c r="BQ925" s="201"/>
      <c r="BR925" s="201"/>
      <c r="BS925" s="201"/>
      <c r="BT925" s="201"/>
    </row>
    <row r="926" spans="1:72">
      <c r="BH926" s="201"/>
      <c r="BI926" s="201"/>
      <c r="BJ926" s="201"/>
      <c r="BK926" s="201"/>
      <c r="BL926" s="201"/>
      <c r="BM926" s="201"/>
      <c r="BN926" s="201"/>
      <c r="BO926" s="201"/>
      <c r="BP926" s="201"/>
      <c r="BQ926" s="201"/>
      <c r="BR926" s="201"/>
      <c r="BS926" s="201"/>
      <c r="BT926" s="201"/>
    </row>
    <row r="927" spans="1:72">
      <c r="BH927" s="201"/>
      <c r="BI927" s="201"/>
      <c r="BJ927" s="201"/>
      <c r="BK927" s="201"/>
      <c r="BL927" s="201"/>
      <c r="BM927" s="201"/>
      <c r="BN927" s="201"/>
      <c r="BO927" s="201"/>
      <c r="BP927" s="201"/>
      <c r="BQ927" s="201"/>
      <c r="BR927" s="201"/>
      <c r="BS927" s="201"/>
      <c r="BT927" s="201"/>
    </row>
    <row r="928" spans="1:72">
      <c r="BH928" s="201"/>
      <c r="BI928" s="201"/>
      <c r="BJ928" s="201"/>
      <c r="BK928" s="201"/>
      <c r="BL928" s="201"/>
      <c r="BM928" s="201"/>
      <c r="BN928" s="201"/>
      <c r="BO928" s="201"/>
      <c r="BP928" s="201"/>
      <c r="BQ928" s="201"/>
      <c r="BR928" s="201"/>
      <c r="BS928" s="201"/>
      <c r="BT928" s="201"/>
    </row>
    <row r="929" spans="60:72">
      <c r="BH929" s="201"/>
      <c r="BI929" s="201"/>
      <c r="BJ929" s="201"/>
      <c r="BK929" s="201"/>
      <c r="BL929" s="201"/>
      <c r="BM929" s="201"/>
      <c r="BN929" s="201"/>
      <c r="BO929" s="201"/>
      <c r="BP929" s="201"/>
      <c r="BQ929" s="201"/>
      <c r="BR929" s="201"/>
      <c r="BS929" s="201"/>
      <c r="BT929" s="201"/>
    </row>
    <row r="930" spans="60:72">
      <c r="BH930" s="201"/>
      <c r="BI930" s="201"/>
      <c r="BJ930" s="201"/>
      <c r="BK930" s="201"/>
      <c r="BL930" s="201"/>
      <c r="BM930" s="201"/>
      <c r="BN930" s="201"/>
      <c r="BO930" s="201"/>
      <c r="BP930" s="201"/>
      <c r="BQ930" s="201"/>
      <c r="BR930" s="201"/>
      <c r="BS930" s="201"/>
      <c r="BT930" s="201"/>
    </row>
    <row r="931" spans="60:72">
      <c r="BH931" s="201"/>
      <c r="BI931" s="201"/>
      <c r="BJ931" s="201"/>
      <c r="BK931" s="201"/>
      <c r="BL931" s="201"/>
      <c r="BM931" s="201"/>
      <c r="BN931" s="201"/>
      <c r="BO931" s="201"/>
      <c r="BP931" s="201"/>
      <c r="BQ931" s="201"/>
      <c r="BR931" s="201"/>
      <c r="BS931" s="201"/>
      <c r="BT931" s="201"/>
    </row>
    <row r="932" spans="60:72">
      <c r="BH932" s="201"/>
      <c r="BI932" s="201"/>
      <c r="BJ932" s="201"/>
      <c r="BK932" s="201"/>
      <c r="BL932" s="201"/>
      <c r="BM932" s="201"/>
      <c r="BN932" s="201"/>
      <c r="BO932" s="201"/>
      <c r="BP932" s="201"/>
      <c r="BQ932" s="201"/>
      <c r="BR932" s="201"/>
      <c r="BS932" s="201"/>
      <c r="BT932" s="201"/>
    </row>
    <row r="933" spans="60:72">
      <c r="BH933" s="201"/>
      <c r="BI933" s="201"/>
      <c r="BJ933" s="201"/>
      <c r="BK933" s="201"/>
      <c r="BL933" s="201"/>
      <c r="BM933" s="201"/>
      <c r="BN933" s="201"/>
      <c r="BO933" s="201"/>
      <c r="BP933" s="201"/>
      <c r="BQ933" s="201"/>
      <c r="BR933" s="201"/>
      <c r="BS933" s="201"/>
      <c r="BT933" s="201"/>
    </row>
    <row r="934" spans="60:72">
      <c r="BH934" s="201"/>
      <c r="BI934" s="201"/>
      <c r="BJ934" s="201"/>
      <c r="BK934" s="201"/>
      <c r="BL934" s="201"/>
      <c r="BM934" s="201"/>
      <c r="BN934" s="201"/>
      <c r="BO934" s="201"/>
      <c r="BP934" s="201"/>
      <c r="BQ934" s="201"/>
      <c r="BR934" s="201"/>
      <c r="BS934" s="201"/>
      <c r="BT934" s="201"/>
    </row>
    <row r="935" spans="60:72">
      <c r="BH935" s="201"/>
      <c r="BI935" s="201"/>
      <c r="BJ935" s="201"/>
      <c r="BK935" s="201"/>
      <c r="BL935" s="201"/>
      <c r="BM935" s="201"/>
      <c r="BN935" s="201"/>
      <c r="BO935" s="201"/>
      <c r="BP935" s="201"/>
      <c r="BQ935" s="201"/>
      <c r="BR935" s="201"/>
      <c r="BS935" s="201"/>
      <c r="BT935" s="201"/>
    </row>
    <row r="936" spans="60:72">
      <c r="BH936" s="201"/>
      <c r="BI936" s="201"/>
      <c r="BJ936" s="201"/>
      <c r="BK936" s="201"/>
      <c r="BL936" s="201"/>
      <c r="BM936" s="201"/>
      <c r="BN936" s="201"/>
      <c r="BO936" s="201"/>
      <c r="BP936" s="201"/>
      <c r="BQ936" s="201"/>
      <c r="BR936" s="201"/>
      <c r="BS936" s="201"/>
      <c r="BT936" s="201"/>
    </row>
    <row r="937" spans="60:72">
      <c r="BH937" s="201"/>
      <c r="BI937" s="201"/>
      <c r="BJ937" s="201"/>
      <c r="BK937" s="201"/>
      <c r="BL937" s="201"/>
      <c r="BM937" s="201"/>
      <c r="BN937" s="201"/>
      <c r="BO937" s="201"/>
      <c r="BP937" s="201"/>
      <c r="BQ937" s="201"/>
      <c r="BR937" s="201"/>
      <c r="BS937" s="201"/>
      <c r="BT937" s="201"/>
    </row>
    <row r="938" spans="60:72">
      <c r="BH938" s="201"/>
      <c r="BI938" s="201"/>
      <c r="BJ938" s="201"/>
      <c r="BK938" s="201"/>
      <c r="BL938" s="201"/>
      <c r="BM938" s="201"/>
      <c r="BN938" s="201"/>
      <c r="BO938" s="201"/>
      <c r="BP938" s="201"/>
      <c r="BQ938" s="201"/>
      <c r="BR938" s="201"/>
      <c r="BS938" s="201"/>
      <c r="BT938" s="201"/>
    </row>
    <row r="939" spans="60:72">
      <c r="BH939" s="201"/>
      <c r="BI939" s="201"/>
      <c r="BJ939" s="201"/>
      <c r="BK939" s="201"/>
      <c r="BL939" s="201"/>
      <c r="BM939" s="201"/>
      <c r="BN939" s="201"/>
      <c r="BO939" s="201"/>
      <c r="BP939" s="201"/>
      <c r="BQ939" s="201"/>
      <c r="BR939" s="201"/>
      <c r="BS939" s="201"/>
      <c r="BT939" s="201"/>
    </row>
    <row r="940" spans="60:72">
      <c r="BH940" s="201"/>
      <c r="BI940" s="201"/>
      <c r="BJ940" s="201"/>
      <c r="BK940" s="201"/>
      <c r="BL940" s="201"/>
      <c r="BM940" s="201"/>
      <c r="BN940" s="201"/>
      <c r="BO940" s="201"/>
      <c r="BP940" s="201"/>
      <c r="BQ940" s="201"/>
      <c r="BR940" s="201"/>
      <c r="BS940" s="201"/>
      <c r="BT940" s="201"/>
    </row>
    <row r="941" spans="60:72">
      <c r="BH941" s="201"/>
      <c r="BI941" s="201"/>
      <c r="BJ941" s="201"/>
      <c r="BK941" s="201"/>
      <c r="BL941" s="201"/>
      <c r="BM941" s="201"/>
      <c r="BN941" s="201"/>
      <c r="BO941" s="201"/>
      <c r="BP941" s="201"/>
      <c r="BQ941" s="201"/>
      <c r="BR941" s="201"/>
      <c r="BS941" s="201"/>
      <c r="BT941" s="201"/>
    </row>
    <row r="942" spans="60:72">
      <c r="BH942" s="201"/>
      <c r="BI942" s="201"/>
      <c r="BJ942" s="201"/>
      <c r="BK942" s="201"/>
      <c r="BL942" s="201"/>
      <c r="BM942" s="201"/>
      <c r="BN942" s="201"/>
      <c r="BO942" s="201"/>
      <c r="BP942" s="201"/>
      <c r="BQ942" s="201"/>
      <c r="BR942" s="201"/>
      <c r="BS942" s="201"/>
      <c r="BT942" s="201"/>
    </row>
    <row r="943" spans="60:72">
      <c r="BH943" s="201"/>
      <c r="BI943" s="201"/>
      <c r="BJ943" s="201"/>
      <c r="BK943" s="201"/>
      <c r="BL943" s="201"/>
      <c r="BM943" s="201"/>
      <c r="BN943" s="201"/>
      <c r="BO943" s="201"/>
      <c r="BP943" s="201"/>
      <c r="BQ943" s="201"/>
      <c r="BR943" s="201"/>
      <c r="BS943" s="201"/>
      <c r="BT943" s="201"/>
    </row>
    <row r="944" spans="60:72">
      <c r="BH944" s="201"/>
      <c r="BI944" s="201"/>
      <c r="BJ944" s="201"/>
      <c r="BK944" s="201"/>
      <c r="BL944" s="201"/>
      <c r="BM944" s="201"/>
      <c r="BN944" s="201"/>
      <c r="BO944" s="201"/>
      <c r="BP944" s="201"/>
      <c r="BQ944" s="201"/>
      <c r="BR944" s="201"/>
      <c r="BS944" s="201"/>
      <c r="BT944" s="201"/>
    </row>
    <row r="945" spans="60:72">
      <c r="BH945" s="201"/>
      <c r="BI945" s="201"/>
      <c r="BJ945" s="201"/>
      <c r="BK945" s="201"/>
      <c r="BL945" s="201"/>
      <c r="BM945" s="201"/>
      <c r="BN945" s="201"/>
      <c r="BO945" s="201"/>
      <c r="BP945" s="201"/>
      <c r="BQ945" s="201"/>
      <c r="BR945" s="201"/>
      <c r="BS945" s="201"/>
      <c r="BT945" s="201"/>
    </row>
    <row r="946" spans="60:72">
      <c r="BH946" s="201"/>
      <c r="BI946" s="201"/>
      <c r="BJ946" s="201"/>
      <c r="BK946" s="201"/>
      <c r="BL946" s="201"/>
      <c r="BM946" s="201"/>
      <c r="BN946" s="201"/>
      <c r="BO946" s="201"/>
      <c r="BP946" s="201"/>
      <c r="BQ946" s="201"/>
      <c r="BR946" s="201"/>
      <c r="BS946" s="201"/>
      <c r="BT946" s="201"/>
    </row>
    <row r="947" spans="60:72">
      <c r="BH947" s="201"/>
      <c r="BI947" s="201"/>
      <c r="BJ947" s="201"/>
      <c r="BK947" s="201"/>
      <c r="BL947" s="201"/>
      <c r="BM947" s="201"/>
      <c r="BN947" s="201"/>
      <c r="BO947" s="201"/>
      <c r="BP947" s="201"/>
      <c r="BQ947" s="201"/>
      <c r="BR947" s="201"/>
      <c r="BS947" s="201"/>
      <c r="BT947" s="201"/>
    </row>
    <row r="948" spans="60:72">
      <c r="BH948" s="201"/>
      <c r="BI948" s="201"/>
      <c r="BJ948" s="201"/>
      <c r="BK948" s="201"/>
      <c r="BL948" s="201"/>
      <c r="BM948" s="201"/>
      <c r="BN948" s="201"/>
      <c r="BO948" s="201"/>
      <c r="BP948" s="201"/>
      <c r="BQ948" s="201"/>
      <c r="BR948" s="201"/>
      <c r="BS948" s="201"/>
      <c r="BT948" s="201"/>
    </row>
    <row r="949" spans="60:72">
      <c r="BH949" s="201"/>
      <c r="BI949" s="201"/>
      <c r="BJ949" s="201"/>
      <c r="BK949" s="201"/>
      <c r="BL949" s="201"/>
      <c r="BM949" s="201"/>
      <c r="BN949" s="201"/>
      <c r="BO949" s="201"/>
      <c r="BP949" s="201"/>
      <c r="BQ949" s="201"/>
      <c r="BR949" s="201"/>
      <c r="BS949" s="201"/>
      <c r="BT949" s="201"/>
    </row>
    <row r="950" spans="60:72">
      <c r="BH950" s="201"/>
      <c r="BI950" s="201"/>
      <c r="BJ950" s="201"/>
      <c r="BK950" s="201"/>
      <c r="BL950" s="201"/>
      <c r="BM950" s="201"/>
      <c r="BN950" s="201"/>
      <c r="BO950" s="201"/>
      <c r="BP950" s="201"/>
      <c r="BQ950" s="201"/>
      <c r="BR950" s="201"/>
      <c r="BS950" s="201"/>
      <c r="BT950" s="201"/>
    </row>
    <row r="951" spans="60:72">
      <c r="BH951" s="201"/>
      <c r="BI951" s="201"/>
      <c r="BJ951" s="201"/>
      <c r="BK951" s="201"/>
      <c r="BL951" s="201"/>
      <c r="BM951" s="201"/>
      <c r="BN951" s="201"/>
      <c r="BO951" s="201"/>
      <c r="BP951" s="201"/>
      <c r="BQ951" s="201"/>
      <c r="BR951" s="201"/>
      <c r="BS951" s="201"/>
      <c r="BT951" s="201"/>
    </row>
    <row r="952" spans="60:72">
      <c r="BH952" s="201"/>
      <c r="BI952" s="201"/>
      <c r="BJ952" s="201"/>
      <c r="BK952" s="201"/>
      <c r="BL952" s="201"/>
      <c r="BM952" s="201"/>
      <c r="BN952" s="201"/>
      <c r="BO952" s="201"/>
      <c r="BP952" s="201"/>
      <c r="BQ952" s="201"/>
      <c r="BR952" s="201"/>
      <c r="BS952" s="201"/>
      <c r="BT952" s="201"/>
    </row>
    <row r="953" spans="60:72">
      <c r="BH953" s="201"/>
      <c r="BI953" s="201"/>
      <c r="BJ953" s="201"/>
      <c r="BK953" s="201"/>
      <c r="BL953" s="201"/>
      <c r="BM953" s="201"/>
      <c r="BN953" s="201"/>
      <c r="BO953" s="201"/>
      <c r="BP953" s="201"/>
      <c r="BQ953" s="201"/>
      <c r="BR953" s="201"/>
      <c r="BS953" s="201"/>
      <c r="BT953" s="201"/>
    </row>
    <row r="954" spans="60:72">
      <c r="BH954" s="201"/>
      <c r="BI954" s="201"/>
      <c r="BJ954" s="201"/>
      <c r="BK954" s="201"/>
      <c r="BL954" s="201"/>
      <c r="BM954" s="201"/>
      <c r="BN954" s="201"/>
      <c r="BO954" s="201"/>
      <c r="BP954" s="201"/>
      <c r="BQ954" s="201"/>
      <c r="BR954" s="201"/>
      <c r="BS954" s="201"/>
      <c r="BT954" s="201"/>
    </row>
    <row r="955" spans="60:72">
      <c r="BH955" s="201"/>
      <c r="BI955" s="201"/>
      <c r="BJ955" s="201"/>
      <c r="BK955" s="201"/>
      <c r="BL955" s="201"/>
      <c r="BM955" s="201"/>
      <c r="BN955" s="201"/>
      <c r="BO955" s="201"/>
      <c r="BP955" s="201"/>
      <c r="BQ955" s="201"/>
      <c r="BR955" s="201"/>
      <c r="BS955" s="201"/>
      <c r="BT955" s="201"/>
    </row>
    <row r="956" spans="60:72">
      <c r="BH956" s="201"/>
      <c r="BI956" s="201"/>
      <c r="BJ956" s="201"/>
      <c r="BK956" s="201"/>
      <c r="BL956" s="201"/>
      <c r="BM956" s="201"/>
      <c r="BN956" s="201"/>
      <c r="BO956" s="201"/>
      <c r="BP956" s="201"/>
      <c r="BQ956" s="201"/>
      <c r="BR956" s="201"/>
      <c r="BS956" s="201"/>
      <c r="BT956" s="201"/>
    </row>
    <row r="957" spans="60:72">
      <c r="BH957" s="201"/>
      <c r="BI957" s="201"/>
      <c r="BJ957" s="201"/>
      <c r="BK957" s="201"/>
      <c r="BL957" s="201"/>
      <c r="BM957" s="201"/>
      <c r="BN957" s="201"/>
      <c r="BO957" s="201"/>
      <c r="BP957" s="201"/>
      <c r="BQ957" s="201"/>
      <c r="BR957" s="201"/>
      <c r="BS957" s="201"/>
      <c r="BT957" s="201"/>
    </row>
    <row r="958" spans="60:72">
      <c r="BH958" s="201"/>
      <c r="BI958" s="201"/>
      <c r="BJ958" s="201"/>
      <c r="BK958" s="201"/>
      <c r="BL958" s="201"/>
      <c r="BM958" s="201"/>
      <c r="BN958" s="201"/>
      <c r="BO958" s="201"/>
      <c r="BP958" s="201"/>
      <c r="BQ958" s="201"/>
      <c r="BR958" s="201"/>
      <c r="BS958" s="201"/>
      <c r="BT958" s="201"/>
    </row>
    <row r="959" spans="60:72">
      <c r="BH959" s="201"/>
      <c r="BI959" s="201"/>
      <c r="BJ959" s="201"/>
      <c r="BK959" s="201"/>
      <c r="BL959" s="201"/>
      <c r="BM959" s="201"/>
      <c r="BN959" s="201"/>
      <c r="BO959" s="201"/>
      <c r="BP959" s="201"/>
      <c r="BQ959" s="201"/>
      <c r="BR959" s="201"/>
      <c r="BS959" s="201"/>
      <c r="BT959" s="201"/>
    </row>
    <row r="960" spans="60:72">
      <c r="BH960" s="201"/>
      <c r="BI960" s="201"/>
      <c r="BJ960" s="201"/>
      <c r="BK960" s="201"/>
      <c r="BL960" s="201"/>
      <c r="BM960" s="201"/>
      <c r="BN960" s="201"/>
      <c r="BO960" s="201"/>
      <c r="BP960" s="201"/>
      <c r="BQ960" s="201"/>
      <c r="BR960" s="201"/>
      <c r="BS960" s="201"/>
      <c r="BT960" s="201"/>
    </row>
    <row r="961" spans="60:72">
      <c r="BH961" s="201"/>
      <c r="BI961" s="201"/>
      <c r="BJ961" s="201"/>
      <c r="BK961" s="201"/>
      <c r="BL961" s="201"/>
      <c r="BM961" s="201"/>
      <c r="BN961" s="201"/>
      <c r="BO961" s="201"/>
      <c r="BP961" s="201"/>
      <c r="BQ961" s="201"/>
      <c r="BR961" s="201"/>
      <c r="BS961" s="201"/>
      <c r="BT961" s="201"/>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85"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64"/>
  <sheetViews>
    <sheetView zoomScaleNormal="100" workbookViewId="0">
      <pane ySplit="4" topLeftCell="A5" activePane="bottomLeft" state="frozen"/>
      <selection activeCell="C1" sqref="C1"/>
      <selection pane="bottomLeft" activeCell="M6" sqref="M6"/>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201"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3"/>
      <c r="BE1" s="53"/>
      <c r="BF1" s="53"/>
      <c r="BG1" s="53"/>
      <c r="BH1" s="53"/>
      <c r="BI1" s="53"/>
      <c r="BJ1" s="53"/>
      <c r="BK1" s="12"/>
      <c r="BL1" s="12"/>
    </row>
    <row r="2" spans="1:256" ht="15.75">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9"/>
      <c r="B3" s="59"/>
      <c r="C3" s="60"/>
      <c r="D3" s="59"/>
      <c r="E3" s="59"/>
      <c r="F3" s="59"/>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1</v>
      </c>
      <c r="D4" s="86"/>
      <c r="E4" s="86"/>
      <c r="F4" s="86"/>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t="str">
        <f>CONCATENATE(LEFT(Q4, 4)+1 &amp;"-" &amp;IF(Q4&gt;"2007-08",,"0") &amp;RIGHT(Q4,2)+1)</f>
        <v>2021-021</v>
      </c>
      <c r="S4" s="148"/>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11</v>
      </c>
      <c r="D6" s="9"/>
      <c r="E6" s="90"/>
      <c r="F6" s="9"/>
      <c r="G6" s="209">
        <f>Input!H313</f>
        <v>1.2612612612612484E-2</v>
      </c>
      <c r="H6" s="21">
        <f>Input!I313</f>
        <v>2.7876631079478242E-2</v>
      </c>
      <c r="I6" s="21">
        <f>Input!J313</f>
        <v>3.5199076745527913E-2</v>
      </c>
      <c r="J6" s="21">
        <f>Input!K313</f>
        <v>2.0040080160320661E-2</v>
      </c>
      <c r="K6" s="21">
        <f>Input!L313</f>
        <v>2.16110019646365E-2</v>
      </c>
      <c r="L6" s="21">
        <f>Input!M313</f>
        <v>2.3076923076923217E-2</v>
      </c>
      <c r="M6" s="21">
        <f>Input!N313</f>
        <v>1.5037593984962294E-2</v>
      </c>
      <c r="N6" s="21">
        <f>Input!O313</f>
        <v>2.1899999999999999E-2</v>
      </c>
      <c r="O6" s="21">
        <f>Input!P313</f>
        <v>2.1899999999999999E-2</v>
      </c>
      <c r="P6" s="21">
        <f>Input!Q313</f>
        <v>2.1899999999999999E-2</v>
      </c>
      <c r="Q6" s="21">
        <f>Input!R313</f>
        <v>2.1899999999999999E-2</v>
      </c>
      <c r="R6" s="21"/>
      <c r="S6" s="90"/>
      <c r="T6" s="90"/>
      <c r="U6" s="90"/>
      <c r="V6" s="90"/>
      <c r="W6" s="90"/>
      <c r="X6" s="90"/>
      <c r="Y6" s="90"/>
      <c r="Z6" s="90"/>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90"/>
      <c r="BE6" s="90"/>
      <c r="BF6" s="90"/>
      <c r="BG6" s="90"/>
      <c r="BH6" s="90"/>
      <c r="BI6" s="90"/>
      <c r="BJ6" s="90"/>
      <c r="BK6" s="12"/>
      <c r="BL6" s="12"/>
    </row>
    <row r="7" spans="1:256">
      <c r="A7" s="9"/>
      <c r="B7" s="9"/>
      <c r="C7" s="9" t="s">
        <v>51</v>
      </c>
      <c r="D7" s="9"/>
      <c r="E7" s="9"/>
      <c r="F7" s="9"/>
      <c r="G7" s="210">
        <f>Input!H314</f>
        <v>1</v>
      </c>
      <c r="H7" s="241">
        <f>Input!I314</f>
        <v>1.0278766310794782</v>
      </c>
      <c r="I7" s="242">
        <f>Input!J314</f>
        <v>1.0640569395017794</v>
      </c>
      <c r="J7" s="242">
        <f>Input!K314</f>
        <v>1.0853807258645405</v>
      </c>
      <c r="K7" s="242">
        <f>Input!L314</f>
        <v>1.1088368908635777</v>
      </c>
      <c r="L7" s="242">
        <f>Input!M314</f>
        <v>1.1344254344988911</v>
      </c>
      <c r="M7" s="242">
        <f>Input!N314</f>
        <v>1.1514844635890999</v>
      </c>
      <c r="N7" s="242">
        <f>Input!O314</f>
        <v>1.1767019733417012</v>
      </c>
      <c r="O7" s="242">
        <f>Input!P314</f>
        <v>1.2024717465578845</v>
      </c>
      <c r="P7" s="242">
        <f>Input!Q314</f>
        <v>1.2288058778075022</v>
      </c>
      <c r="Q7" s="242">
        <f>Input!R314</f>
        <v>1.2557167265314866</v>
      </c>
      <c r="R7" s="22"/>
      <c r="S7" s="103"/>
      <c r="T7" s="103"/>
      <c r="U7" s="103"/>
      <c r="V7" s="103"/>
      <c r="W7" s="103"/>
      <c r="X7" s="103"/>
      <c r="Y7" s="103"/>
      <c r="Z7" s="10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3"/>
      <c r="BE8" s="103"/>
      <c r="BF8" s="103"/>
      <c r="BG8" s="103"/>
      <c r="BH8" s="103"/>
      <c r="BI8" s="103"/>
      <c r="BJ8" s="103"/>
      <c r="BK8" s="12"/>
      <c r="BL8" s="12"/>
    </row>
    <row r="9" spans="1:256">
      <c r="A9" s="78"/>
      <c r="B9" s="78"/>
      <c r="C9" s="85" t="str">
        <f>"Asset Values ($m Real "&amp;G4&amp;")"</f>
        <v>Asset Values ($m Real 2010)</v>
      </c>
      <c r="D9" s="78"/>
      <c r="E9" s="78"/>
      <c r="F9" s="78"/>
      <c r="G9" s="247"/>
      <c r="H9" s="247"/>
      <c r="I9" s="247"/>
      <c r="J9" s="247"/>
      <c r="K9" s="247"/>
      <c r="L9" s="247"/>
      <c r="M9" s="247"/>
      <c r="N9" s="248"/>
      <c r="O9" s="248"/>
      <c r="P9" s="248"/>
      <c r="Q9" s="248"/>
      <c r="R9" s="248"/>
      <c r="S9" s="248"/>
      <c r="T9" s="103"/>
      <c r="U9" s="103"/>
      <c r="V9" s="103"/>
      <c r="W9" s="103"/>
      <c r="X9" s="103"/>
      <c r="Y9" s="103"/>
      <c r="Z9" s="10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3"/>
      <c r="BE10" s="103"/>
      <c r="BF10" s="103"/>
      <c r="BG10" s="103"/>
      <c r="BH10" s="103"/>
      <c r="BI10" s="103"/>
      <c r="BJ10" s="103"/>
      <c r="BK10" s="12"/>
      <c r="BL10" s="12"/>
    </row>
    <row r="11" spans="1:256">
      <c r="A11" s="9"/>
      <c r="B11" s="9"/>
      <c r="C11" s="44" t="s">
        <v>61</v>
      </c>
      <c r="D11" s="9"/>
      <c r="E11" s="9"/>
      <c r="F11" s="9"/>
      <c r="G11" s="35"/>
      <c r="H11" s="35">
        <f>SUM(H12:H41)</f>
        <v>266.40122232854333</v>
      </c>
      <c r="I11" s="35">
        <f t="shared" ref="I11:P11" si="1">SUM(I12:I41)</f>
        <v>300.23163932994777</v>
      </c>
      <c r="J11" s="35">
        <f t="shared" si="1"/>
        <v>349.23747932735216</v>
      </c>
      <c r="K11" s="35">
        <f t="shared" si="1"/>
        <v>361.21472829379559</v>
      </c>
      <c r="L11" s="35">
        <f t="shared" si="1"/>
        <v>322.72636564839706</v>
      </c>
      <c r="M11" s="35">
        <f t="shared" si="1"/>
        <v>0</v>
      </c>
      <c r="N11" s="35">
        <f t="shared" si="1"/>
        <v>0</v>
      </c>
      <c r="O11" s="35">
        <f t="shared" si="1"/>
        <v>0</v>
      </c>
      <c r="P11" s="35">
        <f t="shared" si="1"/>
        <v>0</v>
      </c>
      <c r="Q11" s="35">
        <f>SUM(Q12:Q41)</f>
        <v>0</v>
      </c>
      <c r="R11" s="29"/>
      <c r="S11" s="104"/>
      <c r="T11" s="104"/>
      <c r="U11" s="104"/>
      <c r="V11" s="104"/>
      <c r="W11" s="104"/>
      <c r="X11" s="104"/>
      <c r="Y11" s="104"/>
      <c r="Z11" s="104"/>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4"/>
      <c r="BE11" s="104"/>
      <c r="BF11" s="104"/>
      <c r="BG11" s="104"/>
      <c r="BH11" s="104"/>
      <c r="BI11" s="104"/>
      <c r="BJ11" s="104"/>
      <c r="BK11" s="12"/>
      <c r="BL11" s="12"/>
    </row>
    <row r="12" spans="1:256" hidden="1" outlineLevel="1">
      <c r="A12" s="9"/>
      <c r="B12" s="9"/>
      <c r="C12" s="44"/>
      <c r="D12" s="271" t="str">
        <f>Asset1</f>
        <v>Subtransmission</v>
      </c>
      <c r="E12" s="9"/>
      <c r="F12" s="9"/>
      <c r="G12" s="125"/>
      <c r="H12" s="115">
        <f>Input!H143*(1+vanilla1)^0.5</f>
        <v>22.671614984428007</v>
      </c>
      <c r="I12" s="115">
        <f>Input!I143*(1+vanilla2)^0.5</f>
        <v>43.586727921022678</v>
      </c>
      <c r="J12" s="115">
        <f>Input!J143*(1+vanilla3)^0.5</f>
        <v>61.411855736158408</v>
      </c>
      <c r="K12" s="115">
        <f>Input!K143*(1+vanilla4)^0.5</f>
        <v>59.511573597781187</v>
      </c>
      <c r="L12" s="115">
        <f>Input!L143*(1+vanilla5)^0.5</f>
        <v>58.02223776512011</v>
      </c>
      <c r="M12" s="115">
        <f>Input!M143*(1+vanilla6)^0.5</f>
        <v>0</v>
      </c>
      <c r="N12" s="115">
        <f>Input!N143*(1+vanilla7)^0.5</f>
        <v>0</v>
      </c>
      <c r="O12" s="115">
        <f>Input!O143*(1+vanilla8)^0.5</f>
        <v>0</v>
      </c>
      <c r="P12" s="115">
        <f>Input!P143*(1+vanilla9)^0.5</f>
        <v>0</v>
      </c>
      <c r="Q12" s="115">
        <f>Input!Q143*(1+vanilla10)^0.5</f>
        <v>0</v>
      </c>
      <c r="R12" s="29"/>
      <c r="S12" s="104"/>
      <c r="T12" s="104"/>
      <c r="U12" s="104"/>
      <c r="V12" s="104"/>
      <c r="W12" s="104"/>
      <c r="X12" s="104"/>
      <c r="Y12" s="104"/>
      <c r="Z12" s="104"/>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4"/>
      <c r="BE12" s="104"/>
      <c r="BF12" s="104"/>
      <c r="BG12" s="104"/>
      <c r="BH12" s="104"/>
      <c r="BI12" s="104"/>
      <c r="BJ12" s="104"/>
      <c r="BK12" s="12"/>
      <c r="BL12" s="12"/>
    </row>
    <row r="13" spans="1:256" hidden="1" outlineLevel="1">
      <c r="A13" s="9"/>
      <c r="B13" s="9"/>
      <c r="C13" s="44"/>
      <c r="D13" s="271" t="str">
        <f>Asset2</f>
        <v>Distribution system assets</v>
      </c>
      <c r="E13" s="9"/>
      <c r="F13" s="9"/>
      <c r="G13" s="125"/>
      <c r="H13" s="115">
        <f>Input!H144*(1+vanilla1)^0.5</f>
        <v>188.34463884995122</v>
      </c>
      <c r="I13" s="115">
        <f>Input!I144*(1+vanilla2)^0.5</f>
        <v>202.12464897667002</v>
      </c>
      <c r="J13" s="115">
        <f>Input!J144*(1+vanilla3)^0.5</f>
        <v>232.36006200267539</v>
      </c>
      <c r="K13" s="115">
        <f>Input!K144*(1+vanilla4)^0.5</f>
        <v>265.70860609315577</v>
      </c>
      <c r="L13" s="115">
        <f>Input!L144*(1+vanilla5)^0.5</f>
        <v>241.82700139755025</v>
      </c>
      <c r="M13" s="115">
        <f>Input!M144*(1+vanilla6)^0.5</f>
        <v>0</v>
      </c>
      <c r="N13" s="115">
        <f>Input!N144*(1+vanilla7)^0.5</f>
        <v>0</v>
      </c>
      <c r="O13" s="115">
        <f>Input!O144*(1+vanilla8)^0.5</f>
        <v>0</v>
      </c>
      <c r="P13" s="115">
        <f>Input!P144*(1+vanilla9)^0.5</f>
        <v>0</v>
      </c>
      <c r="Q13" s="115">
        <f>Input!Q144*(1+vanilla10)^0.5</f>
        <v>0</v>
      </c>
      <c r="R13" s="29"/>
      <c r="S13" s="104"/>
      <c r="T13" s="104"/>
      <c r="U13" s="104"/>
      <c r="V13" s="104"/>
      <c r="W13" s="104"/>
      <c r="X13" s="104"/>
      <c r="Y13" s="104"/>
      <c r="Z13" s="104"/>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4"/>
      <c r="BE13" s="104"/>
      <c r="BF13" s="104"/>
      <c r="BG13" s="104"/>
      <c r="BH13" s="104"/>
      <c r="BI13" s="104"/>
      <c r="BJ13" s="104"/>
      <c r="BK13" s="12"/>
      <c r="BL13" s="12"/>
    </row>
    <row r="14" spans="1:256" hidden="1" outlineLevel="1">
      <c r="A14" s="9"/>
      <c r="B14" s="9"/>
      <c r="C14" s="44"/>
      <c r="D14" s="271" t="str">
        <f>Asset3</f>
        <v>Standard metering</v>
      </c>
      <c r="E14" s="9"/>
      <c r="F14" s="9"/>
      <c r="G14" s="125"/>
      <c r="H14" s="115">
        <f>Input!H145*(1+vanilla1)^0.5</f>
        <v>0</v>
      </c>
      <c r="I14" s="115">
        <f>Input!I145*(1+vanilla2)^0.5</f>
        <v>0</v>
      </c>
      <c r="J14" s="115">
        <f>Input!J145*(1+vanilla3)^0.5</f>
        <v>0</v>
      </c>
      <c r="K14" s="115">
        <f>Input!K145*(1+vanilla4)^0.5</f>
        <v>0</v>
      </c>
      <c r="L14" s="115">
        <f>Input!L145*(1+vanilla5)^0.5</f>
        <v>0</v>
      </c>
      <c r="M14" s="115">
        <f>Input!M145*(1+vanilla6)^0.5</f>
        <v>0</v>
      </c>
      <c r="N14" s="115">
        <f>Input!N145*(1+vanilla7)^0.5</f>
        <v>0</v>
      </c>
      <c r="O14" s="115">
        <f>Input!O145*(1+vanilla8)^0.5</f>
        <v>0</v>
      </c>
      <c r="P14" s="115">
        <f>Input!P145*(1+vanilla9)^0.5</f>
        <v>0</v>
      </c>
      <c r="Q14" s="115">
        <f>Input!Q145*(1+vanilla10)^0.5</f>
        <v>0</v>
      </c>
      <c r="R14" s="29"/>
      <c r="S14" s="104"/>
      <c r="T14" s="104"/>
      <c r="U14" s="104"/>
      <c r="V14" s="104"/>
      <c r="W14" s="104"/>
      <c r="X14" s="104"/>
      <c r="Y14" s="104"/>
      <c r="Z14" s="104"/>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4"/>
      <c r="BE14" s="104"/>
      <c r="BF14" s="104"/>
      <c r="BG14" s="104"/>
      <c r="BH14" s="104"/>
      <c r="BI14" s="104"/>
      <c r="BJ14" s="104"/>
      <c r="BK14" s="12"/>
      <c r="BL14" s="12"/>
    </row>
    <row r="15" spans="1:256" hidden="1" outlineLevel="1">
      <c r="A15" s="9"/>
      <c r="B15" s="9"/>
      <c r="C15" s="44"/>
      <c r="D15" s="271" t="str">
        <f>Asset4</f>
        <v>Public lighting</v>
      </c>
      <c r="E15" s="9"/>
      <c r="F15" s="9"/>
      <c r="G15" s="125"/>
      <c r="H15" s="115">
        <f>Input!H146*(1+vanilla1)^0.5</f>
        <v>0</v>
      </c>
      <c r="I15" s="115">
        <f>Input!I146*(1+vanilla2)^0.5</f>
        <v>0</v>
      </c>
      <c r="J15" s="115">
        <f>Input!J146*(1+vanilla3)^0.5</f>
        <v>0</v>
      </c>
      <c r="K15" s="115">
        <f>Input!K146*(1+vanilla4)^0.5</f>
        <v>0</v>
      </c>
      <c r="L15" s="115">
        <f>Input!L146*(1+vanilla5)^0.5</f>
        <v>0</v>
      </c>
      <c r="M15" s="115">
        <f>Input!M146*(1+vanilla6)^0.5</f>
        <v>0</v>
      </c>
      <c r="N15" s="115">
        <f>Input!N146*(1+vanilla7)^0.5</f>
        <v>0</v>
      </c>
      <c r="O15" s="115">
        <f>Input!O146*(1+vanilla8)^0.5</f>
        <v>0</v>
      </c>
      <c r="P15" s="115">
        <f>Input!P146*(1+vanilla9)^0.5</f>
        <v>0</v>
      </c>
      <c r="Q15" s="115">
        <f>Input!Q146*(1+vanilla10)^0.5</f>
        <v>0</v>
      </c>
      <c r="R15" s="29"/>
      <c r="S15" s="104"/>
      <c r="T15" s="104"/>
      <c r="U15" s="104"/>
      <c r="V15" s="104"/>
      <c r="W15" s="104"/>
      <c r="X15" s="104"/>
      <c r="Y15" s="104"/>
      <c r="Z15" s="104"/>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4"/>
      <c r="BE15" s="104"/>
      <c r="BF15" s="104"/>
      <c r="BG15" s="104"/>
      <c r="BH15" s="104"/>
      <c r="BI15" s="104"/>
      <c r="BJ15" s="104"/>
      <c r="BK15" s="12"/>
      <c r="BL15" s="12"/>
    </row>
    <row r="16" spans="1:256" hidden="1" outlineLevel="1">
      <c r="A16" s="9"/>
      <c r="B16" s="9"/>
      <c r="C16" s="44"/>
      <c r="D16" s="271" t="str">
        <f>Asset5</f>
        <v>SCADA/Network control</v>
      </c>
      <c r="E16" s="9"/>
      <c r="F16" s="9"/>
      <c r="G16" s="125"/>
      <c r="H16" s="115">
        <f>Input!H147*(1+vanilla1)^0.5</f>
        <v>1.2946535046258154</v>
      </c>
      <c r="I16" s="115">
        <f>Input!I147*(1+vanilla2)^0.5</f>
        <v>5.8488753613460434</v>
      </c>
      <c r="J16" s="115">
        <f>Input!J147*(1+vanilla3)^0.5</f>
        <v>1.8529127306772786</v>
      </c>
      <c r="K16" s="115">
        <f>Input!K147*(1+vanilla4)^0.5</f>
        <v>0.69387495389757492</v>
      </c>
      <c r="L16" s="115">
        <f>Input!L147*(1+vanilla5)^0.5</f>
        <v>2.6870060196725571</v>
      </c>
      <c r="M16" s="115">
        <f>Input!M147*(1+vanilla6)^0.5</f>
        <v>0</v>
      </c>
      <c r="N16" s="115">
        <f>Input!N147*(1+vanilla7)^0.5</f>
        <v>0</v>
      </c>
      <c r="O16" s="115">
        <f>Input!O147*(1+vanilla8)^0.5</f>
        <v>0</v>
      </c>
      <c r="P16" s="115">
        <f>Input!P147*(1+vanilla9)^0.5</f>
        <v>0</v>
      </c>
      <c r="Q16" s="115">
        <f>Input!Q147*(1+vanilla10)^0.5</f>
        <v>0</v>
      </c>
      <c r="R16" s="29"/>
      <c r="S16" s="104"/>
      <c r="T16" s="104"/>
      <c r="U16" s="104"/>
      <c r="V16" s="104"/>
      <c r="W16" s="104"/>
      <c r="X16" s="104"/>
      <c r="Y16" s="104"/>
      <c r="Z16" s="104"/>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4"/>
      <c r="BE16" s="104"/>
      <c r="BF16" s="104"/>
      <c r="BG16" s="104"/>
      <c r="BH16" s="104"/>
      <c r="BI16" s="104"/>
      <c r="BJ16" s="104"/>
      <c r="BK16" s="12"/>
      <c r="BL16" s="12"/>
    </row>
    <row r="17" spans="1:64" hidden="1" outlineLevel="1">
      <c r="A17" s="9"/>
      <c r="B17" s="9"/>
      <c r="C17" s="44"/>
      <c r="D17" s="271" t="str">
        <f>Asset6</f>
        <v>Non-network general assets - IT</v>
      </c>
      <c r="E17" s="9"/>
      <c r="F17" s="9"/>
      <c r="G17" s="125"/>
      <c r="H17" s="115">
        <f>Input!H148*(1+vanilla1)^0.5</f>
        <v>47.563714385987495</v>
      </c>
      <c r="I17" s="115">
        <f>Input!I148*(1+vanilla2)^0.5</f>
        <v>45.018794436796384</v>
      </c>
      <c r="J17" s="115">
        <f>Input!J148*(1+vanilla3)^0.5</f>
        <v>48.326603135074798</v>
      </c>
      <c r="K17" s="115">
        <f>Input!K148*(1+vanilla4)^0.5</f>
        <v>31.139621530447517</v>
      </c>
      <c r="L17" s="115">
        <f>Input!L148*(1+vanilla5)^0.5</f>
        <v>17.963424117942814</v>
      </c>
      <c r="M17" s="115">
        <f>Input!M148*(1+vanilla6)^0.5</f>
        <v>0</v>
      </c>
      <c r="N17" s="115">
        <f>Input!N148*(1+vanilla7)^0.5</f>
        <v>0</v>
      </c>
      <c r="O17" s="115">
        <f>Input!O148*(1+vanilla8)^0.5</f>
        <v>0</v>
      </c>
      <c r="P17" s="115">
        <f>Input!P148*(1+vanilla9)^0.5</f>
        <v>0</v>
      </c>
      <c r="Q17" s="115">
        <f>Input!Q148*(1+vanilla10)^0.5</f>
        <v>0</v>
      </c>
      <c r="R17" s="29"/>
      <c r="S17" s="104"/>
      <c r="T17" s="104"/>
      <c r="U17" s="104"/>
      <c r="V17" s="104"/>
      <c r="W17" s="104"/>
      <c r="X17" s="104"/>
      <c r="Y17" s="104"/>
      <c r="Z17" s="104"/>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4"/>
      <c r="BE17" s="104"/>
      <c r="BF17" s="104"/>
      <c r="BG17" s="104"/>
      <c r="BH17" s="104"/>
      <c r="BI17" s="104"/>
      <c r="BJ17" s="104"/>
      <c r="BK17" s="12"/>
      <c r="BL17" s="12"/>
    </row>
    <row r="18" spans="1:64" hidden="1" outlineLevel="1">
      <c r="A18" s="9"/>
      <c r="B18" s="9"/>
      <c r="C18" s="44"/>
      <c r="D18" s="271" t="str">
        <f>Asset7</f>
        <v>Non-network general assets - Other</v>
      </c>
      <c r="E18" s="9"/>
      <c r="F18" s="9"/>
      <c r="G18" s="125"/>
      <c r="H18" s="115">
        <f>Input!H149*(1+vanilla1)^0.5</f>
        <v>5.0134383039479165</v>
      </c>
      <c r="I18" s="115">
        <f>Input!I149*(1+vanilla2)^0.5</f>
        <v>3.6525926341126267</v>
      </c>
      <c r="J18" s="115">
        <f>Input!J149*(1+vanilla3)^0.5</f>
        <v>5.2860457227663149</v>
      </c>
      <c r="K18" s="115">
        <f>Input!K149*(1+vanilla4)^0.5</f>
        <v>4.1610521185135161</v>
      </c>
      <c r="L18" s="115">
        <f>Input!L149*(1+vanilla5)^0.5</f>
        <v>2.2266963481113646</v>
      </c>
      <c r="M18" s="115">
        <f>Input!M149*(1+vanilla6)^0.5</f>
        <v>0</v>
      </c>
      <c r="N18" s="115">
        <f>Input!N149*(1+vanilla7)^0.5</f>
        <v>0</v>
      </c>
      <c r="O18" s="115">
        <f>Input!O149*(1+vanilla8)^0.5</f>
        <v>0</v>
      </c>
      <c r="P18" s="115">
        <f>Input!P149*(1+vanilla9)^0.5</f>
        <v>0</v>
      </c>
      <c r="Q18" s="115">
        <f>Input!Q149*(1+vanilla10)^0.5</f>
        <v>0</v>
      </c>
      <c r="R18" s="29"/>
      <c r="S18" s="104"/>
      <c r="T18" s="104"/>
      <c r="U18" s="104"/>
      <c r="V18" s="104"/>
      <c r="W18" s="104"/>
      <c r="X18" s="104"/>
      <c r="Y18" s="104"/>
      <c r="Z18" s="104"/>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4"/>
      <c r="BE18" s="104"/>
      <c r="BF18" s="104"/>
      <c r="BG18" s="104"/>
      <c r="BH18" s="104"/>
      <c r="BI18" s="104"/>
      <c r="BJ18" s="104"/>
      <c r="BK18" s="12"/>
      <c r="BL18" s="12"/>
    </row>
    <row r="19" spans="1:64" hidden="1" outlineLevel="1">
      <c r="A19" s="9"/>
      <c r="B19" s="9"/>
      <c r="C19" s="44"/>
      <c r="D19" s="271" t="str">
        <f>Asset8</f>
        <v>Equity Raising Costs</v>
      </c>
      <c r="E19" s="9"/>
      <c r="F19" s="9"/>
      <c r="G19" s="125"/>
      <c r="H19" s="115">
        <f>Input!H150*(1+vanilla1)^0.5</f>
        <v>1.513162299602842</v>
      </c>
      <c r="I19" s="115">
        <f>Input!I150*(1+vanilla2)^0.5</f>
        <v>0</v>
      </c>
      <c r="J19" s="115">
        <f>Input!J150*(1+vanilla3)^0.5</f>
        <v>0</v>
      </c>
      <c r="K19" s="115">
        <f>Input!K150*(1+vanilla4)^0.5</f>
        <v>0</v>
      </c>
      <c r="L19" s="115">
        <f>Input!L150*(1+vanilla5)^0.5</f>
        <v>0</v>
      </c>
      <c r="M19" s="115">
        <f>Input!M150*(1+vanilla6)^0.5</f>
        <v>0</v>
      </c>
      <c r="N19" s="115">
        <f>Input!N150*(1+vanilla7)^0.5</f>
        <v>0</v>
      </c>
      <c r="O19" s="115">
        <f>Input!O150*(1+vanilla8)^0.5</f>
        <v>0</v>
      </c>
      <c r="P19" s="115">
        <f>Input!P150*(1+vanilla9)^0.5</f>
        <v>0</v>
      </c>
      <c r="Q19" s="115">
        <f>Input!Q150*(1+vanilla10)^0.5</f>
        <v>0</v>
      </c>
      <c r="R19" s="29"/>
      <c r="S19" s="104"/>
      <c r="T19" s="104"/>
      <c r="U19" s="104"/>
      <c r="V19" s="104"/>
      <c r="W19" s="104"/>
      <c r="X19" s="104"/>
      <c r="Y19" s="104"/>
      <c r="Z19" s="104"/>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4"/>
      <c r="BE19" s="104"/>
      <c r="BF19" s="104"/>
      <c r="BG19" s="104"/>
      <c r="BH19" s="104"/>
      <c r="BI19" s="104"/>
      <c r="BJ19" s="104"/>
      <c r="BK19" s="12"/>
      <c r="BL19" s="12"/>
    </row>
    <row r="20" spans="1:64" hidden="1" outlineLevel="1">
      <c r="A20" s="9"/>
      <c r="B20" s="9"/>
      <c r="C20" s="44"/>
      <c r="D20" s="271">
        <f>Asset9</f>
        <v>0</v>
      </c>
      <c r="E20" s="9"/>
      <c r="F20" s="9"/>
      <c r="G20" s="125"/>
      <c r="H20" s="115">
        <f>Input!H151*(1+vanilla1)^0.5</f>
        <v>0</v>
      </c>
      <c r="I20" s="115">
        <f>Input!I151*(1+vanilla2)^0.5</f>
        <v>0</v>
      </c>
      <c r="J20" s="115">
        <f>Input!J151*(1+vanilla3)^0.5</f>
        <v>0</v>
      </c>
      <c r="K20" s="115">
        <f>Input!K151*(1+vanilla4)^0.5</f>
        <v>0</v>
      </c>
      <c r="L20" s="115">
        <f>Input!L151*(1+vanilla5)^0.5</f>
        <v>0</v>
      </c>
      <c r="M20" s="115">
        <f>Input!M151*(1+vanilla6)^0.5</f>
        <v>0</v>
      </c>
      <c r="N20" s="115">
        <f>Input!N151*(1+vanilla7)^0.5</f>
        <v>0</v>
      </c>
      <c r="O20" s="115">
        <f>Input!O151*(1+vanilla8)^0.5</f>
        <v>0</v>
      </c>
      <c r="P20" s="115">
        <f>Input!P151*(1+vanilla9)^0.5</f>
        <v>0</v>
      </c>
      <c r="Q20" s="115">
        <f>Input!Q151*(1+vanilla10)^0.5</f>
        <v>0</v>
      </c>
      <c r="R20" s="29"/>
      <c r="S20" s="104"/>
      <c r="T20" s="104"/>
      <c r="U20" s="104"/>
      <c r="V20" s="104"/>
      <c r="W20" s="104"/>
      <c r="X20" s="104"/>
      <c r="Y20" s="104"/>
      <c r="Z20" s="104"/>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4"/>
      <c r="BE20" s="104"/>
      <c r="BF20" s="104"/>
      <c r="BG20" s="104"/>
      <c r="BH20" s="104"/>
      <c r="BI20" s="104"/>
      <c r="BJ20" s="104"/>
      <c r="BK20" s="12"/>
      <c r="BL20" s="12"/>
    </row>
    <row r="21" spans="1:64" hidden="1" outlineLevel="1">
      <c r="A21" s="9"/>
      <c r="B21" s="9"/>
      <c r="C21" s="44"/>
      <c r="D21" s="271">
        <f>Asset10</f>
        <v>0</v>
      </c>
      <c r="E21" s="9"/>
      <c r="F21" s="9"/>
      <c r="G21" s="125"/>
      <c r="H21" s="115">
        <f>Input!H152*(1+vanilla1)^0.5</f>
        <v>0</v>
      </c>
      <c r="I21" s="115">
        <f>Input!I152*(1+vanilla2)^0.5</f>
        <v>0</v>
      </c>
      <c r="J21" s="115">
        <f>Input!J152*(1+vanilla3)^0.5</f>
        <v>0</v>
      </c>
      <c r="K21" s="115">
        <f>Input!K152*(1+vanilla4)^0.5</f>
        <v>0</v>
      </c>
      <c r="L21" s="115">
        <f>Input!L152*(1+vanilla5)^0.5</f>
        <v>0</v>
      </c>
      <c r="M21" s="115">
        <f>Input!M152*(1+vanilla6)^0.5</f>
        <v>0</v>
      </c>
      <c r="N21" s="115">
        <f>Input!N152*(1+vanilla7)^0.5</f>
        <v>0</v>
      </c>
      <c r="O21" s="115">
        <f>Input!O152*(1+vanilla8)^0.5</f>
        <v>0</v>
      </c>
      <c r="P21" s="115">
        <f>Input!P152*(1+vanilla9)^0.5</f>
        <v>0</v>
      </c>
      <c r="Q21" s="115">
        <f>Input!Q152*(1+vanilla10)^0.5</f>
        <v>0</v>
      </c>
      <c r="R21" s="29"/>
      <c r="S21" s="104"/>
      <c r="T21" s="104"/>
      <c r="U21" s="104"/>
      <c r="V21" s="104"/>
      <c r="W21" s="104"/>
      <c r="X21" s="104"/>
      <c r="Y21" s="104"/>
      <c r="Z21" s="104"/>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4"/>
      <c r="BE21" s="104"/>
      <c r="BF21" s="104"/>
      <c r="BG21" s="104"/>
      <c r="BH21" s="104"/>
      <c r="BI21" s="104"/>
      <c r="BJ21" s="104"/>
      <c r="BK21" s="12"/>
      <c r="BL21" s="12"/>
    </row>
    <row r="22" spans="1:64" hidden="1" outlineLevel="1">
      <c r="A22" s="9"/>
      <c r="B22" s="9"/>
      <c r="C22" s="44"/>
      <c r="D22" s="271">
        <f>Asset11</f>
        <v>0</v>
      </c>
      <c r="E22" s="9"/>
      <c r="F22" s="9"/>
      <c r="G22" s="125"/>
      <c r="H22" s="115">
        <f>Input!H153*(1+vanilla1)^0.5</f>
        <v>0</v>
      </c>
      <c r="I22" s="115">
        <f>Input!I153*(1+vanilla2)^0.5</f>
        <v>0</v>
      </c>
      <c r="J22" s="115">
        <f>Input!J153*(1+vanilla3)^0.5</f>
        <v>0</v>
      </c>
      <c r="K22" s="115">
        <f>Input!K153*(1+vanilla4)^0.5</f>
        <v>0</v>
      </c>
      <c r="L22" s="115">
        <f>Input!L153*(1+vanilla5)^0.5</f>
        <v>0</v>
      </c>
      <c r="M22" s="115">
        <f>Input!M153*(1+vanilla6)^0.5</f>
        <v>0</v>
      </c>
      <c r="N22" s="115">
        <f>Input!N153*(1+vanilla7)^0.5</f>
        <v>0</v>
      </c>
      <c r="O22" s="115">
        <f>Input!O153*(1+vanilla8)^0.5</f>
        <v>0</v>
      </c>
      <c r="P22" s="115">
        <f>Input!P153*(1+vanilla9)^0.5</f>
        <v>0</v>
      </c>
      <c r="Q22" s="115">
        <f>Input!Q153*(1+vanilla10)^0.5</f>
        <v>0</v>
      </c>
      <c r="R22" s="29"/>
      <c r="S22" s="104"/>
      <c r="T22" s="104"/>
      <c r="U22" s="104"/>
      <c r="V22" s="104"/>
      <c r="W22" s="104"/>
      <c r="X22" s="104"/>
      <c r="Y22" s="104"/>
      <c r="Z22" s="104"/>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4"/>
      <c r="BE22" s="104"/>
      <c r="BF22" s="104"/>
      <c r="BG22" s="104"/>
      <c r="BH22" s="104"/>
      <c r="BI22" s="104"/>
      <c r="BJ22" s="104"/>
      <c r="BK22" s="12"/>
      <c r="BL22" s="12"/>
    </row>
    <row r="23" spans="1:64" hidden="1" outlineLevel="1">
      <c r="A23" s="9"/>
      <c r="B23" s="9"/>
      <c r="C23" s="44"/>
      <c r="D23" s="271">
        <f>Asset12</f>
        <v>0</v>
      </c>
      <c r="E23" s="9"/>
      <c r="F23" s="9"/>
      <c r="G23" s="125"/>
      <c r="H23" s="115">
        <f>Input!H154*(1+vanilla1)^0.5</f>
        <v>0</v>
      </c>
      <c r="I23" s="115">
        <f>Input!I154*(1+vanilla2)^0.5</f>
        <v>0</v>
      </c>
      <c r="J23" s="115">
        <f>Input!J154*(1+vanilla3)^0.5</f>
        <v>0</v>
      </c>
      <c r="K23" s="115">
        <f>Input!K154*(1+vanilla4)^0.5</f>
        <v>0</v>
      </c>
      <c r="L23" s="115">
        <f>Input!L154*(1+vanilla5)^0.5</f>
        <v>0</v>
      </c>
      <c r="M23" s="115">
        <f>Input!M154*(1+vanilla6)^0.5</f>
        <v>0</v>
      </c>
      <c r="N23" s="115">
        <f>Input!N154*(1+vanilla7)^0.5</f>
        <v>0</v>
      </c>
      <c r="O23" s="115">
        <f>Input!O154*(1+vanilla8)^0.5</f>
        <v>0</v>
      </c>
      <c r="P23" s="115">
        <f>Input!P154*(1+vanilla9)^0.5</f>
        <v>0</v>
      </c>
      <c r="Q23" s="115">
        <f>Input!Q154*(1+vanilla10)^0.5</f>
        <v>0</v>
      </c>
      <c r="R23" s="29"/>
      <c r="S23" s="104"/>
      <c r="T23" s="104"/>
      <c r="U23" s="104"/>
      <c r="V23" s="104"/>
      <c r="W23" s="104"/>
      <c r="X23" s="104"/>
      <c r="Y23" s="104"/>
      <c r="Z23" s="104"/>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4"/>
      <c r="BE23" s="104"/>
      <c r="BF23" s="104"/>
      <c r="BG23" s="104"/>
      <c r="BH23" s="104"/>
      <c r="BI23" s="104"/>
      <c r="BJ23" s="104"/>
      <c r="BK23" s="12"/>
      <c r="BL23" s="12"/>
    </row>
    <row r="24" spans="1:64" hidden="1" outlineLevel="1">
      <c r="A24" s="9"/>
      <c r="B24" s="9"/>
      <c r="C24" s="44"/>
      <c r="D24" s="271">
        <f>Asset13</f>
        <v>0</v>
      </c>
      <c r="E24" s="9"/>
      <c r="F24" s="9"/>
      <c r="G24" s="125"/>
      <c r="H24" s="115">
        <f>Input!H155*(1+vanilla1)^0.5</f>
        <v>0</v>
      </c>
      <c r="I24" s="115">
        <f>Input!I155*(1+vanilla2)^0.5</f>
        <v>0</v>
      </c>
      <c r="J24" s="115">
        <f>Input!J155*(1+vanilla3)^0.5</f>
        <v>0</v>
      </c>
      <c r="K24" s="115">
        <f>Input!K155*(1+vanilla4)^0.5</f>
        <v>0</v>
      </c>
      <c r="L24" s="115">
        <f>Input!L155*(1+vanilla5)^0.5</f>
        <v>0</v>
      </c>
      <c r="M24" s="115">
        <f>Input!M155*(1+vanilla6)^0.5</f>
        <v>0</v>
      </c>
      <c r="N24" s="115">
        <f>Input!N155*(1+vanilla7)^0.5</f>
        <v>0</v>
      </c>
      <c r="O24" s="115">
        <f>Input!O155*(1+vanilla8)^0.5</f>
        <v>0</v>
      </c>
      <c r="P24" s="115">
        <f>Input!P155*(1+vanilla9)^0.5</f>
        <v>0</v>
      </c>
      <c r="Q24" s="115">
        <f>Input!Q155*(1+vanilla10)^0.5</f>
        <v>0</v>
      </c>
      <c r="R24" s="29"/>
      <c r="S24" s="104"/>
      <c r="T24" s="104"/>
      <c r="U24" s="104"/>
      <c r="V24" s="104"/>
      <c r="W24" s="104"/>
      <c r="X24" s="104"/>
      <c r="Y24" s="104"/>
      <c r="Z24" s="104"/>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4"/>
      <c r="BE24" s="104"/>
      <c r="BF24" s="104"/>
      <c r="BG24" s="104"/>
      <c r="BH24" s="104"/>
      <c r="BI24" s="104"/>
      <c r="BJ24" s="104"/>
      <c r="BK24" s="12"/>
      <c r="BL24" s="12"/>
    </row>
    <row r="25" spans="1:64" hidden="1" outlineLevel="1">
      <c r="A25" s="9"/>
      <c r="B25" s="9"/>
      <c r="C25" s="44"/>
      <c r="D25" s="271">
        <f>Asset14</f>
        <v>0</v>
      </c>
      <c r="E25" s="9"/>
      <c r="F25" s="9"/>
      <c r="G25" s="125"/>
      <c r="H25" s="115">
        <f>Input!H156*(1+vanilla1)^0.5</f>
        <v>0</v>
      </c>
      <c r="I25" s="115">
        <f>Input!I156*(1+vanilla2)^0.5</f>
        <v>0</v>
      </c>
      <c r="J25" s="115">
        <f>Input!J156*(1+vanilla3)^0.5</f>
        <v>0</v>
      </c>
      <c r="K25" s="115">
        <f>Input!K156*(1+vanilla4)^0.5</f>
        <v>0</v>
      </c>
      <c r="L25" s="115">
        <f>Input!L156*(1+vanilla5)^0.5</f>
        <v>0</v>
      </c>
      <c r="M25" s="115">
        <f>Input!M156*(1+vanilla6)^0.5</f>
        <v>0</v>
      </c>
      <c r="N25" s="115">
        <f>Input!N156*(1+vanilla7)^0.5</f>
        <v>0</v>
      </c>
      <c r="O25" s="115">
        <f>Input!O156*(1+vanilla8)^0.5</f>
        <v>0</v>
      </c>
      <c r="P25" s="115">
        <f>Input!P156*(1+vanilla9)^0.5</f>
        <v>0</v>
      </c>
      <c r="Q25" s="115">
        <f>Input!Q156*(1+vanilla10)^0.5</f>
        <v>0</v>
      </c>
      <c r="R25" s="29"/>
      <c r="S25" s="104"/>
      <c r="T25" s="104"/>
      <c r="U25" s="104"/>
      <c r="V25" s="104"/>
      <c r="W25" s="104"/>
      <c r="X25" s="104"/>
      <c r="Y25" s="104"/>
      <c r="Z25" s="104"/>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4"/>
      <c r="BE25" s="104"/>
      <c r="BF25" s="104"/>
      <c r="BG25" s="104"/>
      <c r="BH25" s="104"/>
      <c r="BI25" s="104"/>
      <c r="BJ25" s="104"/>
      <c r="BK25" s="12"/>
      <c r="BL25" s="12"/>
    </row>
    <row r="26" spans="1:64" hidden="1" outlineLevel="1">
      <c r="A26" s="9"/>
      <c r="B26" s="9"/>
      <c r="C26" s="44"/>
      <c r="D26" s="271">
        <f>Asset15</f>
        <v>0</v>
      </c>
      <c r="E26" s="9"/>
      <c r="F26" s="9"/>
      <c r="G26" s="125"/>
      <c r="H26" s="115">
        <f>Input!H157*(1+vanilla1)^0.5</f>
        <v>0</v>
      </c>
      <c r="I26" s="115">
        <f>Input!I157*(1+vanilla2)^0.5</f>
        <v>0</v>
      </c>
      <c r="J26" s="115">
        <f>Input!J157*(1+vanilla3)^0.5</f>
        <v>0</v>
      </c>
      <c r="K26" s="115">
        <f>Input!K157*(1+vanilla4)^0.5</f>
        <v>0</v>
      </c>
      <c r="L26" s="115">
        <f>Input!L157*(1+vanilla5)^0.5</f>
        <v>0</v>
      </c>
      <c r="M26" s="115">
        <f>Input!M157*(1+vanilla6)^0.5</f>
        <v>0</v>
      </c>
      <c r="N26" s="115">
        <f>Input!N157*(1+vanilla7)^0.5</f>
        <v>0</v>
      </c>
      <c r="O26" s="115">
        <f>Input!O157*(1+vanilla8)^0.5</f>
        <v>0</v>
      </c>
      <c r="P26" s="115">
        <f>Input!P157*(1+vanilla9)^0.5</f>
        <v>0</v>
      </c>
      <c r="Q26" s="115">
        <f>Input!Q157*(1+vanilla10)^0.5</f>
        <v>0</v>
      </c>
      <c r="R26" s="29"/>
      <c r="S26" s="104"/>
      <c r="T26" s="104"/>
      <c r="U26" s="104"/>
      <c r="V26" s="104"/>
      <c r="W26" s="104"/>
      <c r="X26" s="104"/>
      <c r="Y26" s="104"/>
      <c r="Z26" s="104"/>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4"/>
      <c r="BE26" s="104"/>
      <c r="BF26" s="104"/>
      <c r="BG26" s="104"/>
      <c r="BH26" s="104"/>
      <c r="BI26" s="104"/>
      <c r="BJ26" s="104"/>
      <c r="BK26" s="12"/>
      <c r="BL26" s="12"/>
    </row>
    <row r="27" spans="1:64" hidden="1" outlineLevel="1">
      <c r="A27" s="9"/>
      <c r="B27" s="9"/>
      <c r="C27" s="44"/>
      <c r="D27" s="271">
        <f>Asset16</f>
        <v>0</v>
      </c>
      <c r="E27" s="9"/>
      <c r="F27" s="9"/>
      <c r="G27" s="125"/>
      <c r="H27" s="115">
        <f>Input!H158*(1+vanilla1)^0.5</f>
        <v>0</v>
      </c>
      <c r="I27" s="115">
        <f>Input!I158*(1+vanilla2)^0.5</f>
        <v>0</v>
      </c>
      <c r="J27" s="115">
        <f>Input!J158*(1+vanilla3)^0.5</f>
        <v>0</v>
      </c>
      <c r="K27" s="115">
        <f>Input!K158*(1+vanilla4)^0.5</f>
        <v>0</v>
      </c>
      <c r="L27" s="115">
        <f>Input!L158*(1+vanilla5)^0.5</f>
        <v>0</v>
      </c>
      <c r="M27" s="115">
        <f>Input!M158*(1+vanilla6)^0.5</f>
        <v>0</v>
      </c>
      <c r="N27" s="115">
        <f>Input!N158*(1+vanilla7)^0.5</f>
        <v>0</v>
      </c>
      <c r="O27" s="115">
        <f>Input!O158*(1+vanilla8)^0.5</f>
        <v>0</v>
      </c>
      <c r="P27" s="115">
        <f>Input!P158*(1+vanilla9)^0.5</f>
        <v>0</v>
      </c>
      <c r="Q27" s="115">
        <f>Input!Q158*(1+vanilla10)^0.5</f>
        <v>0</v>
      </c>
      <c r="R27" s="29"/>
      <c r="S27" s="104"/>
      <c r="T27" s="104"/>
      <c r="U27" s="104"/>
      <c r="V27" s="104"/>
      <c r="W27" s="104"/>
      <c r="X27" s="104"/>
      <c r="Y27" s="104"/>
      <c r="Z27" s="104"/>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4"/>
      <c r="BE27" s="104"/>
      <c r="BF27" s="104"/>
      <c r="BG27" s="104"/>
      <c r="BH27" s="104"/>
      <c r="BI27" s="104"/>
      <c r="BJ27" s="104"/>
      <c r="BK27" s="12"/>
      <c r="BL27" s="12"/>
    </row>
    <row r="28" spans="1:64" hidden="1" outlineLevel="1">
      <c r="A28" s="9"/>
      <c r="B28" s="9"/>
      <c r="C28" s="44"/>
      <c r="D28" s="271">
        <f>Asset17</f>
        <v>0</v>
      </c>
      <c r="E28" s="9"/>
      <c r="F28" s="9"/>
      <c r="G28" s="125"/>
      <c r="H28" s="115">
        <f>Input!H159*(1+vanilla1)^0.5</f>
        <v>0</v>
      </c>
      <c r="I28" s="115">
        <f>Input!I159*(1+vanilla2)^0.5</f>
        <v>0</v>
      </c>
      <c r="J28" s="115">
        <f>Input!J159*(1+vanilla3)^0.5</f>
        <v>0</v>
      </c>
      <c r="K28" s="115">
        <f>Input!K159*(1+vanilla4)^0.5</f>
        <v>0</v>
      </c>
      <c r="L28" s="115">
        <f>Input!L159*(1+vanilla5)^0.5</f>
        <v>0</v>
      </c>
      <c r="M28" s="115">
        <f>Input!M159*(1+vanilla6)^0.5</f>
        <v>0</v>
      </c>
      <c r="N28" s="115">
        <f>Input!N159*(1+vanilla7)^0.5</f>
        <v>0</v>
      </c>
      <c r="O28" s="115">
        <f>Input!O159*(1+vanilla8)^0.5</f>
        <v>0</v>
      </c>
      <c r="P28" s="115">
        <f>Input!P159*(1+vanilla9)^0.5</f>
        <v>0</v>
      </c>
      <c r="Q28" s="115">
        <f>Input!Q159*(1+vanilla10)^0.5</f>
        <v>0</v>
      </c>
      <c r="R28" s="29"/>
      <c r="S28" s="104"/>
      <c r="T28" s="104"/>
      <c r="U28" s="104"/>
      <c r="V28" s="104"/>
      <c r="W28" s="104"/>
      <c r="X28" s="104"/>
      <c r="Y28" s="104"/>
      <c r="Z28" s="104"/>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4"/>
      <c r="BE28" s="104"/>
      <c r="BF28" s="104"/>
      <c r="BG28" s="104"/>
      <c r="BH28" s="104"/>
      <c r="BI28" s="104"/>
      <c r="BJ28" s="104"/>
      <c r="BK28" s="12"/>
      <c r="BL28" s="12"/>
    </row>
    <row r="29" spans="1:64" hidden="1" outlineLevel="1">
      <c r="A29" s="9"/>
      <c r="B29" s="9"/>
      <c r="C29" s="44"/>
      <c r="D29" s="271">
        <f>Asset18</f>
        <v>0</v>
      </c>
      <c r="E29" s="9"/>
      <c r="F29" s="9"/>
      <c r="G29" s="125"/>
      <c r="H29" s="115">
        <f>Input!H160*(1+vanilla1)^0.5</f>
        <v>0</v>
      </c>
      <c r="I29" s="115">
        <f>Input!I160*(1+vanilla2)^0.5</f>
        <v>0</v>
      </c>
      <c r="J29" s="115">
        <f>Input!J160*(1+vanilla3)^0.5</f>
        <v>0</v>
      </c>
      <c r="K29" s="115">
        <f>Input!K160*(1+vanilla4)^0.5</f>
        <v>0</v>
      </c>
      <c r="L29" s="115">
        <f>Input!L160*(1+vanilla5)^0.5</f>
        <v>0</v>
      </c>
      <c r="M29" s="115">
        <f>Input!M160*(1+vanilla6)^0.5</f>
        <v>0</v>
      </c>
      <c r="N29" s="115">
        <f>Input!N160*(1+vanilla7)^0.5</f>
        <v>0</v>
      </c>
      <c r="O29" s="115">
        <f>Input!O160*(1+vanilla8)^0.5</f>
        <v>0</v>
      </c>
      <c r="P29" s="115">
        <f>Input!P160*(1+vanilla9)^0.5</f>
        <v>0</v>
      </c>
      <c r="Q29" s="115">
        <f>Input!Q160*(1+vanilla10)^0.5</f>
        <v>0</v>
      </c>
      <c r="R29" s="29"/>
      <c r="S29" s="104"/>
      <c r="T29" s="104"/>
      <c r="U29" s="104"/>
      <c r="V29" s="104"/>
      <c r="W29" s="104"/>
      <c r="X29" s="104"/>
      <c r="Y29" s="104"/>
      <c r="Z29" s="104"/>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4"/>
      <c r="BE29" s="104"/>
      <c r="BF29" s="104"/>
      <c r="BG29" s="104"/>
      <c r="BH29" s="104"/>
      <c r="BI29" s="104"/>
      <c r="BJ29" s="104"/>
      <c r="BK29" s="12"/>
      <c r="BL29" s="12"/>
    </row>
    <row r="30" spans="1:64" hidden="1" outlineLevel="1">
      <c r="A30" s="9"/>
      <c r="B30" s="9"/>
      <c r="C30" s="44"/>
      <c r="D30" s="271">
        <f>Asset19</f>
        <v>0</v>
      </c>
      <c r="E30" s="9"/>
      <c r="F30" s="9"/>
      <c r="G30" s="125"/>
      <c r="H30" s="115">
        <f>Input!H161*(1+vanilla1)^0.5</f>
        <v>0</v>
      </c>
      <c r="I30" s="115">
        <f>Input!I161*(1+vanilla2)^0.5</f>
        <v>0</v>
      </c>
      <c r="J30" s="115">
        <f>Input!J161*(1+vanilla3)^0.5</f>
        <v>0</v>
      </c>
      <c r="K30" s="115">
        <f>Input!K161*(1+vanilla4)^0.5</f>
        <v>0</v>
      </c>
      <c r="L30" s="115">
        <f>Input!L161*(1+vanilla5)^0.5</f>
        <v>0</v>
      </c>
      <c r="M30" s="115">
        <f>Input!M161*(1+vanilla6)^0.5</f>
        <v>0</v>
      </c>
      <c r="N30" s="115">
        <f>Input!N161*(1+vanilla7)^0.5</f>
        <v>0</v>
      </c>
      <c r="O30" s="115">
        <f>Input!O161*(1+vanilla8)^0.5</f>
        <v>0</v>
      </c>
      <c r="P30" s="115">
        <f>Input!P161*(1+vanilla9)^0.5</f>
        <v>0</v>
      </c>
      <c r="Q30" s="115">
        <f>Input!Q161*(1+vanilla10)^0.5</f>
        <v>0</v>
      </c>
      <c r="R30" s="29"/>
      <c r="S30" s="104"/>
      <c r="T30" s="104"/>
      <c r="U30" s="104"/>
      <c r="V30" s="104"/>
      <c r="W30" s="104"/>
      <c r="X30" s="104"/>
      <c r="Y30" s="104"/>
      <c r="Z30" s="104"/>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4"/>
      <c r="BE30" s="104"/>
      <c r="BF30" s="104"/>
      <c r="BG30" s="104"/>
      <c r="BH30" s="104"/>
      <c r="BI30" s="104"/>
      <c r="BJ30" s="104"/>
      <c r="BK30" s="12"/>
      <c r="BL30" s="12"/>
    </row>
    <row r="31" spans="1:64" hidden="1" outlineLevel="1">
      <c r="A31" s="9"/>
      <c r="B31" s="9"/>
      <c r="C31" s="44"/>
      <c r="D31" s="271">
        <f>Asset20</f>
        <v>0</v>
      </c>
      <c r="E31" s="9"/>
      <c r="F31" s="9"/>
      <c r="G31" s="125"/>
      <c r="H31" s="115">
        <f>Input!H162*(1+vanilla1)^0.5</f>
        <v>0</v>
      </c>
      <c r="I31" s="115">
        <f>Input!I162*(1+vanilla2)^0.5</f>
        <v>0</v>
      </c>
      <c r="J31" s="115">
        <f>Input!J162*(1+vanilla3)^0.5</f>
        <v>0</v>
      </c>
      <c r="K31" s="115">
        <f>Input!K162*(1+vanilla4)^0.5</f>
        <v>0</v>
      </c>
      <c r="L31" s="115">
        <f>Input!L162*(1+vanilla5)^0.5</f>
        <v>0</v>
      </c>
      <c r="M31" s="115">
        <f>Input!M162*(1+vanilla6)^0.5</f>
        <v>0</v>
      </c>
      <c r="N31" s="115">
        <f>Input!N162*(1+vanilla7)^0.5</f>
        <v>0</v>
      </c>
      <c r="O31" s="115">
        <f>Input!O162*(1+vanilla8)^0.5</f>
        <v>0</v>
      </c>
      <c r="P31" s="115">
        <f>Input!P162*(1+vanilla9)^0.5</f>
        <v>0</v>
      </c>
      <c r="Q31" s="115">
        <f>Input!Q162*(1+vanilla10)^0.5</f>
        <v>0</v>
      </c>
      <c r="R31" s="29"/>
      <c r="S31" s="104"/>
      <c r="T31" s="104"/>
      <c r="U31" s="104"/>
      <c r="V31" s="104"/>
      <c r="W31" s="104"/>
      <c r="X31" s="104"/>
      <c r="Y31" s="104"/>
      <c r="Z31" s="104"/>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4"/>
      <c r="BE31" s="104"/>
      <c r="BF31" s="104"/>
      <c r="BG31" s="104"/>
      <c r="BH31" s="104"/>
      <c r="BI31" s="104"/>
      <c r="BJ31" s="104"/>
      <c r="BK31" s="12"/>
      <c r="BL31" s="12"/>
    </row>
    <row r="32" spans="1:64" hidden="1" outlineLevel="1">
      <c r="A32" s="9"/>
      <c r="B32" s="9"/>
      <c r="C32" s="44"/>
      <c r="D32" s="271">
        <f>Asset21</f>
        <v>0</v>
      </c>
      <c r="E32" s="9"/>
      <c r="F32" s="9"/>
      <c r="G32" s="125"/>
      <c r="H32" s="115">
        <f>Input!H163*(1+vanilla1)^0.5</f>
        <v>0</v>
      </c>
      <c r="I32" s="115">
        <f>Input!I163*(1+vanilla2)^0.5</f>
        <v>0</v>
      </c>
      <c r="J32" s="115">
        <f>Input!J163*(1+vanilla3)^0.5</f>
        <v>0</v>
      </c>
      <c r="K32" s="115">
        <f>Input!K163*(1+vanilla4)^0.5</f>
        <v>0</v>
      </c>
      <c r="L32" s="115">
        <f>Input!L163*(1+vanilla5)^0.5</f>
        <v>0</v>
      </c>
      <c r="M32" s="115">
        <f>Input!M163*(1+vanilla6)^0.5</f>
        <v>0</v>
      </c>
      <c r="N32" s="115">
        <f>Input!N163*(1+vanilla7)^0.5</f>
        <v>0</v>
      </c>
      <c r="O32" s="115">
        <f>Input!O163*(1+vanilla8)^0.5</f>
        <v>0</v>
      </c>
      <c r="P32" s="115">
        <f>Input!P163*(1+vanilla9)^0.5</f>
        <v>0</v>
      </c>
      <c r="Q32" s="115">
        <f>Input!Q163*(1+vanilla10)^0.5</f>
        <v>0</v>
      </c>
      <c r="R32" s="29"/>
      <c r="S32" s="104"/>
      <c r="T32" s="104"/>
      <c r="U32" s="104"/>
      <c r="V32" s="104"/>
      <c r="W32" s="104"/>
      <c r="X32" s="104"/>
      <c r="Y32" s="104"/>
      <c r="Z32" s="104"/>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4"/>
      <c r="BE32" s="104"/>
      <c r="BF32" s="104"/>
      <c r="BG32" s="104"/>
      <c r="BH32" s="104"/>
      <c r="BI32" s="104"/>
      <c r="BJ32" s="104"/>
      <c r="BK32" s="12"/>
      <c r="BL32" s="12"/>
    </row>
    <row r="33" spans="1:64" hidden="1" outlineLevel="1">
      <c r="A33" s="9"/>
      <c r="B33" s="9"/>
      <c r="C33" s="44"/>
      <c r="D33" s="271">
        <f>Asset22</f>
        <v>0</v>
      </c>
      <c r="E33" s="9"/>
      <c r="F33" s="9"/>
      <c r="G33" s="125"/>
      <c r="H33" s="115">
        <f>Input!H164*(1+vanilla1)^0.5</f>
        <v>0</v>
      </c>
      <c r="I33" s="115">
        <f>Input!I164*(1+vanilla2)^0.5</f>
        <v>0</v>
      </c>
      <c r="J33" s="115">
        <f>Input!J164*(1+vanilla3)^0.5</f>
        <v>0</v>
      </c>
      <c r="K33" s="115">
        <f>Input!K164*(1+vanilla4)^0.5</f>
        <v>0</v>
      </c>
      <c r="L33" s="115">
        <f>Input!L164*(1+vanilla5)^0.5</f>
        <v>0</v>
      </c>
      <c r="M33" s="115">
        <f>Input!M164*(1+vanilla6)^0.5</f>
        <v>0</v>
      </c>
      <c r="N33" s="115">
        <f>Input!N164*(1+vanilla7)^0.5</f>
        <v>0</v>
      </c>
      <c r="O33" s="115">
        <f>Input!O164*(1+vanilla8)^0.5</f>
        <v>0</v>
      </c>
      <c r="P33" s="115">
        <f>Input!P164*(1+vanilla9)^0.5</f>
        <v>0</v>
      </c>
      <c r="Q33" s="115">
        <f>Input!Q164*(1+vanilla10)^0.5</f>
        <v>0</v>
      </c>
      <c r="R33" s="29"/>
      <c r="S33" s="104"/>
      <c r="T33" s="104"/>
      <c r="U33" s="104"/>
      <c r="V33" s="104"/>
      <c r="W33" s="104"/>
      <c r="X33" s="104"/>
      <c r="Y33" s="104"/>
      <c r="Z33" s="104"/>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4"/>
      <c r="BE33" s="104"/>
      <c r="BF33" s="104"/>
      <c r="BG33" s="104"/>
      <c r="BH33" s="104"/>
      <c r="BI33" s="104"/>
      <c r="BJ33" s="104"/>
      <c r="BK33" s="12"/>
      <c r="BL33" s="12"/>
    </row>
    <row r="34" spans="1:64" hidden="1" outlineLevel="1">
      <c r="A34" s="9"/>
      <c r="B34" s="9"/>
      <c r="C34" s="44"/>
      <c r="D34" s="271">
        <f>Asset23</f>
        <v>0</v>
      </c>
      <c r="E34" s="9"/>
      <c r="F34" s="9"/>
      <c r="G34" s="125"/>
      <c r="H34" s="115">
        <f>Input!H165*(1+vanilla1)^0.5</f>
        <v>0</v>
      </c>
      <c r="I34" s="115">
        <f>Input!I165*(1+vanilla2)^0.5</f>
        <v>0</v>
      </c>
      <c r="J34" s="115">
        <f>Input!J165*(1+vanilla3)^0.5</f>
        <v>0</v>
      </c>
      <c r="K34" s="115">
        <f>Input!K165*(1+vanilla4)^0.5</f>
        <v>0</v>
      </c>
      <c r="L34" s="115">
        <f>Input!L165*(1+vanilla5)^0.5</f>
        <v>0</v>
      </c>
      <c r="M34" s="115">
        <f>Input!M165*(1+vanilla6)^0.5</f>
        <v>0</v>
      </c>
      <c r="N34" s="115">
        <f>Input!N165*(1+vanilla7)^0.5</f>
        <v>0</v>
      </c>
      <c r="O34" s="115">
        <f>Input!O165*(1+vanilla8)^0.5</f>
        <v>0</v>
      </c>
      <c r="P34" s="115">
        <f>Input!P165*(1+vanilla9)^0.5</f>
        <v>0</v>
      </c>
      <c r="Q34" s="115">
        <f>Input!Q165*(1+vanilla10)^0.5</f>
        <v>0</v>
      </c>
      <c r="R34" s="29"/>
      <c r="S34" s="104"/>
      <c r="T34" s="104"/>
      <c r="U34" s="104"/>
      <c r="V34" s="104"/>
      <c r="W34" s="104"/>
      <c r="X34" s="104"/>
      <c r="Y34" s="104"/>
      <c r="Z34" s="104"/>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4"/>
      <c r="BE34" s="104"/>
      <c r="BF34" s="104"/>
      <c r="BG34" s="104"/>
      <c r="BH34" s="104"/>
      <c r="BI34" s="104"/>
      <c r="BJ34" s="104"/>
      <c r="BK34" s="12"/>
      <c r="BL34" s="12"/>
    </row>
    <row r="35" spans="1:64" hidden="1" outlineLevel="1">
      <c r="A35" s="9"/>
      <c r="B35" s="9"/>
      <c r="C35" s="44"/>
      <c r="D35" s="271">
        <f>Asset24</f>
        <v>0</v>
      </c>
      <c r="E35" s="9"/>
      <c r="F35" s="9"/>
      <c r="G35" s="125"/>
      <c r="H35" s="115">
        <f>Input!H166*(1+vanilla1)^0.5</f>
        <v>0</v>
      </c>
      <c r="I35" s="115">
        <f>Input!I166*(1+vanilla2)^0.5</f>
        <v>0</v>
      </c>
      <c r="J35" s="115">
        <f>Input!J166*(1+vanilla3)^0.5</f>
        <v>0</v>
      </c>
      <c r="K35" s="115">
        <f>Input!K166*(1+vanilla4)^0.5</f>
        <v>0</v>
      </c>
      <c r="L35" s="115">
        <f>Input!L166*(1+vanilla5)^0.5</f>
        <v>0</v>
      </c>
      <c r="M35" s="115">
        <f>Input!M166*(1+vanilla6)^0.5</f>
        <v>0</v>
      </c>
      <c r="N35" s="115">
        <f>Input!N166*(1+vanilla7)^0.5</f>
        <v>0</v>
      </c>
      <c r="O35" s="115">
        <f>Input!O166*(1+vanilla8)^0.5</f>
        <v>0</v>
      </c>
      <c r="P35" s="115">
        <f>Input!P166*(1+vanilla9)^0.5</f>
        <v>0</v>
      </c>
      <c r="Q35" s="115">
        <f>Input!Q166*(1+vanilla10)^0.5</f>
        <v>0</v>
      </c>
      <c r="R35" s="29"/>
      <c r="S35" s="104"/>
      <c r="T35" s="104"/>
      <c r="U35" s="104"/>
      <c r="V35" s="104"/>
      <c r="W35" s="104"/>
      <c r="X35" s="104"/>
      <c r="Y35" s="104"/>
      <c r="Z35" s="104"/>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4"/>
      <c r="BE35" s="104"/>
      <c r="BF35" s="104"/>
      <c r="BG35" s="104"/>
      <c r="BH35" s="104"/>
      <c r="BI35" s="104"/>
      <c r="BJ35" s="104"/>
      <c r="BK35" s="12"/>
      <c r="BL35" s="12"/>
    </row>
    <row r="36" spans="1:64" hidden="1" outlineLevel="1">
      <c r="A36" s="9"/>
      <c r="B36" s="9"/>
      <c r="C36" s="44"/>
      <c r="D36" s="271">
        <f>Asset25</f>
        <v>0</v>
      </c>
      <c r="E36" s="9"/>
      <c r="F36" s="9"/>
      <c r="G36" s="125"/>
      <c r="H36" s="115">
        <f>Input!H167*(1+vanilla1)^0.5</f>
        <v>0</v>
      </c>
      <c r="I36" s="115">
        <f>Input!I167*(1+vanilla2)^0.5</f>
        <v>0</v>
      </c>
      <c r="J36" s="115">
        <f>Input!J167*(1+vanilla3)^0.5</f>
        <v>0</v>
      </c>
      <c r="K36" s="115">
        <f>Input!K167*(1+vanilla4)^0.5</f>
        <v>0</v>
      </c>
      <c r="L36" s="115">
        <f>Input!L167*(1+vanilla5)^0.5</f>
        <v>0</v>
      </c>
      <c r="M36" s="115">
        <f>Input!M167*(1+vanilla6)^0.5</f>
        <v>0</v>
      </c>
      <c r="N36" s="115">
        <f>Input!N167*(1+vanilla7)^0.5</f>
        <v>0</v>
      </c>
      <c r="O36" s="115">
        <f>Input!O167*(1+vanilla8)^0.5</f>
        <v>0</v>
      </c>
      <c r="P36" s="115">
        <f>Input!P167*(1+vanilla9)^0.5</f>
        <v>0</v>
      </c>
      <c r="Q36" s="115">
        <f>Input!Q167*(1+vanilla10)^0.5</f>
        <v>0</v>
      </c>
      <c r="R36" s="29"/>
      <c r="S36" s="104"/>
      <c r="T36" s="104"/>
      <c r="U36" s="104"/>
      <c r="V36" s="104"/>
      <c r="W36" s="104"/>
      <c r="X36" s="104"/>
      <c r="Y36" s="104"/>
      <c r="Z36" s="104"/>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4"/>
      <c r="BE36" s="104"/>
      <c r="BF36" s="104"/>
      <c r="BG36" s="104"/>
      <c r="BH36" s="104"/>
      <c r="BI36" s="104"/>
      <c r="BJ36" s="104"/>
      <c r="BK36" s="12"/>
      <c r="BL36" s="12"/>
    </row>
    <row r="37" spans="1:64" hidden="1" outlineLevel="1">
      <c r="A37" s="9"/>
      <c r="B37" s="9"/>
      <c r="C37" s="44"/>
      <c r="D37" s="271">
        <f>Asset26</f>
        <v>0</v>
      </c>
      <c r="E37" s="9"/>
      <c r="F37" s="9"/>
      <c r="G37" s="125"/>
      <c r="H37" s="115">
        <f>Input!H168*(1+vanilla1)^0.5</f>
        <v>0</v>
      </c>
      <c r="I37" s="115">
        <f>Input!I168*(1+vanilla2)^0.5</f>
        <v>0</v>
      </c>
      <c r="J37" s="115">
        <f>Input!J168*(1+vanilla3)^0.5</f>
        <v>0</v>
      </c>
      <c r="K37" s="115">
        <f>Input!K168*(1+vanilla4)^0.5</f>
        <v>0</v>
      </c>
      <c r="L37" s="115">
        <f>Input!L168*(1+vanilla5)^0.5</f>
        <v>0</v>
      </c>
      <c r="M37" s="115">
        <f>Input!M168*(1+vanilla6)^0.5</f>
        <v>0</v>
      </c>
      <c r="N37" s="115">
        <f>Input!N168*(1+vanilla7)^0.5</f>
        <v>0</v>
      </c>
      <c r="O37" s="115">
        <f>Input!O168*(1+vanilla8)^0.5</f>
        <v>0</v>
      </c>
      <c r="P37" s="115">
        <f>Input!P168*(1+vanilla9)^0.5</f>
        <v>0</v>
      </c>
      <c r="Q37" s="115">
        <f>Input!Q168*(1+vanilla10)^0.5</f>
        <v>0</v>
      </c>
      <c r="R37" s="29"/>
      <c r="S37" s="104"/>
      <c r="T37" s="104"/>
      <c r="U37" s="104"/>
      <c r="V37" s="104"/>
      <c r="W37" s="104"/>
      <c r="X37" s="104"/>
      <c r="Y37" s="104"/>
      <c r="Z37" s="104"/>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4"/>
      <c r="BE37" s="104"/>
      <c r="BF37" s="104"/>
      <c r="BG37" s="104"/>
      <c r="BH37" s="104"/>
      <c r="BI37" s="104"/>
      <c r="BJ37" s="104"/>
      <c r="BK37" s="12"/>
      <c r="BL37" s="12"/>
    </row>
    <row r="38" spans="1:64" hidden="1" outlineLevel="1">
      <c r="A38" s="9"/>
      <c r="B38" s="9"/>
      <c r="C38" s="44"/>
      <c r="D38" s="271">
        <f>Asset27</f>
        <v>0</v>
      </c>
      <c r="E38" s="9"/>
      <c r="F38" s="9"/>
      <c r="G38" s="125"/>
      <c r="H38" s="115">
        <f>Input!H169*(1+vanilla1)^0.5</f>
        <v>0</v>
      </c>
      <c r="I38" s="115">
        <f>Input!I169*(1+vanilla2)^0.5</f>
        <v>0</v>
      </c>
      <c r="J38" s="115">
        <f>Input!J169*(1+vanilla3)^0.5</f>
        <v>0</v>
      </c>
      <c r="K38" s="115">
        <f>Input!K169*(1+vanilla4)^0.5</f>
        <v>0</v>
      </c>
      <c r="L38" s="115">
        <f>Input!L169*(1+vanilla5)^0.5</f>
        <v>0</v>
      </c>
      <c r="M38" s="115">
        <f>Input!M169*(1+vanilla6)^0.5</f>
        <v>0</v>
      </c>
      <c r="N38" s="115">
        <f>Input!N169*(1+vanilla7)^0.5</f>
        <v>0</v>
      </c>
      <c r="O38" s="115">
        <f>Input!O169*(1+vanilla8)^0.5</f>
        <v>0</v>
      </c>
      <c r="P38" s="115">
        <f>Input!P169*(1+vanilla9)^0.5</f>
        <v>0</v>
      </c>
      <c r="Q38" s="115">
        <f>Input!Q169*(1+vanilla10)^0.5</f>
        <v>0</v>
      </c>
      <c r="R38" s="29"/>
      <c r="S38" s="104"/>
      <c r="T38" s="104"/>
      <c r="U38" s="104"/>
      <c r="V38" s="104"/>
      <c r="W38" s="104"/>
      <c r="X38" s="104"/>
      <c r="Y38" s="104"/>
      <c r="Z38" s="104"/>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4"/>
      <c r="BE38" s="104"/>
      <c r="BF38" s="104"/>
      <c r="BG38" s="104"/>
      <c r="BH38" s="104"/>
      <c r="BI38" s="104"/>
      <c r="BJ38" s="104"/>
      <c r="BK38" s="12"/>
      <c r="BL38" s="12"/>
    </row>
    <row r="39" spans="1:64" hidden="1" outlineLevel="1">
      <c r="A39" s="9"/>
      <c r="B39" s="9"/>
      <c r="C39" s="44"/>
      <c r="D39" s="271">
        <f>Asset28</f>
        <v>0</v>
      </c>
      <c r="E39" s="9"/>
      <c r="F39" s="9"/>
      <c r="G39" s="125"/>
      <c r="H39" s="115">
        <f>Input!H170*(1+vanilla1)^0.5</f>
        <v>0</v>
      </c>
      <c r="I39" s="115">
        <f>Input!I170*(1+vanilla2)^0.5</f>
        <v>0</v>
      </c>
      <c r="J39" s="115">
        <f>Input!J170*(1+vanilla3)^0.5</f>
        <v>0</v>
      </c>
      <c r="K39" s="115">
        <f>Input!K170*(1+vanilla4)^0.5</f>
        <v>0</v>
      </c>
      <c r="L39" s="115">
        <f>Input!L170*(1+vanilla5)^0.5</f>
        <v>0</v>
      </c>
      <c r="M39" s="115">
        <f>Input!M170*(1+vanilla6)^0.5</f>
        <v>0</v>
      </c>
      <c r="N39" s="115">
        <f>Input!N170*(1+vanilla7)^0.5</f>
        <v>0</v>
      </c>
      <c r="O39" s="115">
        <f>Input!O170*(1+vanilla8)^0.5</f>
        <v>0</v>
      </c>
      <c r="P39" s="115">
        <f>Input!P170*(1+vanilla9)^0.5</f>
        <v>0</v>
      </c>
      <c r="Q39" s="115">
        <f>Input!Q170*(1+vanilla10)^0.5</f>
        <v>0</v>
      </c>
      <c r="R39" s="29"/>
      <c r="S39" s="104"/>
      <c r="T39" s="104"/>
      <c r="U39" s="104"/>
      <c r="V39" s="104"/>
      <c r="W39" s="104"/>
      <c r="X39" s="104"/>
      <c r="Y39" s="104"/>
      <c r="Z39" s="104"/>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4"/>
      <c r="BE39" s="104"/>
      <c r="BF39" s="104"/>
      <c r="BG39" s="104"/>
      <c r="BH39" s="104"/>
      <c r="BI39" s="104"/>
      <c r="BJ39" s="104"/>
      <c r="BK39" s="12"/>
      <c r="BL39" s="12"/>
    </row>
    <row r="40" spans="1:64" hidden="1" outlineLevel="1">
      <c r="A40" s="9"/>
      <c r="B40" s="9"/>
      <c r="C40" s="44"/>
      <c r="D40" s="271">
        <f>Asset29</f>
        <v>0</v>
      </c>
      <c r="E40" s="9"/>
      <c r="F40" s="9"/>
      <c r="G40" s="125"/>
      <c r="H40" s="115">
        <f>Input!H171*(1+vanilla1)^0.5</f>
        <v>0</v>
      </c>
      <c r="I40" s="115">
        <f>Input!I171*(1+vanilla2)^0.5</f>
        <v>0</v>
      </c>
      <c r="J40" s="115">
        <f>Input!J171*(1+vanilla3)^0.5</f>
        <v>0</v>
      </c>
      <c r="K40" s="115">
        <f>Input!K171*(1+vanilla4)^0.5</f>
        <v>0</v>
      </c>
      <c r="L40" s="115">
        <f>Input!L171*(1+vanilla5)^0.5</f>
        <v>0</v>
      </c>
      <c r="M40" s="115">
        <f>Input!M171*(1+vanilla6)^0.5</f>
        <v>0</v>
      </c>
      <c r="N40" s="115">
        <f>Input!N171*(1+vanilla7)^0.5</f>
        <v>0</v>
      </c>
      <c r="O40" s="115">
        <f>Input!O171*(1+vanilla8)^0.5</f>
        <v>0</v>
      </c>
      <c r="P40" s="115">
        <f>Input!P171*(1+vanilla9)^0.5</f>
        <v>0</v>
      </c>
      <c r="Q40" s="115">
        <f>Input!Q171*(1+vanilla10)^0.5</f>
        <v>0</v>
      </c>
      <c r="R40" s="29"/>
      <c r="S40" s="104"/>
      <c r="T40" s="104"/>
      <c r="U40" s="104"/>
      <c r="V40" s="104"/>
      <c r="W40" s="104"/>
      <c r="X40" s="104"/>
      <c r="Y40" s="104"/>
      <c r="Z40" s="104"/>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4"/>
      <c r="BE40" s="104"/>
      <c r="BF40" s="104"/>
      <c r="BG40" s="104"/>
      <c r="BH40" s="104"/>
      <c r="BI40" s="104"/>
      <c r="BJ40" s="104"/>
      <c r="BK40" s="12"/>
      <c r="BL40" s="12"/>
    </row>
    <row r="41" spans="1:64" hidden="1" outlineLevel="1">
      <c r="A41" s="9"/>
      <c r="B41" s="9"/>
      <c r="C41" s="44"/>
      <c r="D41" s="271">
        <f>Asset30</f>
        <v>0</v>
      </c>
      <c r="E41" s="9"/>
      <c r="F41" s="9"/>
      <c r="G41" s="125"/>
      <c r="H41" s="115">
        <f>Input!H172*(1+vanilla1)^0.5</f>
        <v>0</v>
      </c>
      <c r="I41" s="115">
        <f>Input!I172*(1+vanilla2)^0.5</f>
        <v>0</v>
      </c>
      <c r="J41" s="115">
        <f>Input!J172*(1+vanilla3)^0.5</f>
        <v>0</v>
      </c>
      <c r="K41" s="115">
        <f>Input!K172*(1+vanilla4)^0.5</f>
        <v>0</v>
      </c>
      <c r="L41" s="115">
        <f>Input!L172*(1+vanilla5)^0.5</f>
        <v>0</v>
      </c>
      <c r="M41" s="115">
        <f>Input!M172*(1+vanilla6)^0.5</f>
        <v>0</v>
      </c>
      <c r="N41" s="115">
        <f>Input!N172*(1+vanilla7)^0.5</f>
        <v>0</v>
      </c>
      <c r="O41" s="115">
        <f>Input!O172*(1+vanilla8)^0.5</f>
        <v>0</v>
      </c>
      <c r="P41" s="115">
        <f>Input!P172*(1+vanilla9)^0.5</f>
        <v>0</v>
      </c>
      <c r="Q41" s="115">
        <f>Input!Q172*(1+vanilla10)^0.5</f>
        <v>0</v>
      </c>
      <c r="R41" s="29"/>
      <c r="S41" s="104"/>
      <c r="T41" s="104"/>
      <c r="U41" s="104"/>
      <c r="V41" s="104"/>
      <c r="W41" s="104"/>
      <c r="X41" s="104"/>
      <c r="Y41" s="104"/>
      <c r="Z41" s="104"/>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4"/>
      <c r="BE41" s="104"/>
      <c r="BF41" s="104"/>
      <c r="BG41" s="104"/>
      <c r="BH41" s="104"/>
      <c r="BI41" s="104"/>
      <c r="BJ41" s="104"/>
      <c r="BK41" s="12"/>
      <c r="BL41" s="12"/>
    </row>
    <row r="42" spans="1:64" collapsed="1">
      <c r="A42" s="9"/>
      <c r="B42" s="9"/>
      <c r="C42" s="44"/>
      <c r="D42" s="117"/>
      <c r="E42" s="9"/>
      <c r="F42" s="9"/>
      <c r="G42" s="28"/>
      <c r="H42" s="35"/>
      <c r="I42" s="35"/>
      <c r="J42" s="35"/>
      <c r="K42" s="35"/>
      <c r="L42" s="35"/>
      <c r="M42" s="35"/>
      <c r="N42" s="114"/>
      <c r="O42" s="29"/>
      <c r="P42" s="29"/>
      <c r="Q42" s="29"/>
      <c r="R42" s="29"/>
      <c r="S42" s="104"/>
      <c r="T42" s="104"/>
      <c r="U42" s="104"/>
      <c r="V42" s="104"/>
      <c r="W42" s="104"/>
      <c r="X42" s="104"/>
      <c r="Y42" s="104"/>
      <c r="Z42" s="104"/>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4"/>
      <c r="BE42" s="104"/>
      <c r="BF42" s="104"/>
      <c r="BG42" s="104"/>
      <c r="BH42" s="104"/>
      <c r="BI42" s="104"/>
      <c r="BJ42" s="104"/>
      <c r="BK42" s="12"/>
      <c r="BL42" s="12"/>
    </row>
    <row r="43" spans="1:64">
      <c r="A43" s="9"/>
      <c r="B43" s="9"/>
      <c r="C43" s="44" t="s">
        <v>62</v>
      </c>
      <c r="D43" s="9"/>
      <c r="E43" s="9"/>
      <c r="F43" s="9"/>
      <c r="G43" s="35"/>
      <c r="H43" s="35">
        <f>SUM(H44:H73)</f>
        <v>266.40122232854333</v>
      </c>
      <c r="I43" s="35">
        <f t="shared" ref="I43:P43" si="2">SUM(I44:I73)</f>
        <v>300.23163932994777</v>
      </c>
      <c r="J43" s="35">
        <f t="shared" si="2"/>
        <v>349.23747932735216</v>
      </c>
      <c r="K43" s="35">
        <f t="shared" si="2"/>
        <v>361.21472829379559</v>
      </c>
      <c r="L43" s="35">
        <f t="shared" si="2"/>
        <v>322.72636564839706</v>
      </c>
      <c r="M43" s="35">
        <f t="shared" si="2"/>
        <v>0</v>
      </c>
      <c r="N43" s="35">
        <f t="shared" si="2"/>
        <v>0</v>
      </c>
      <c r="O43" s="35">
        <f t="shared" si="2"/>
        <v>0</v>
      </c>
      <c r="P43" s="35">
        <f t="shared" si="2"/>
        <v>0</v>
      </c>
      <c r="Q43" s="35">
        <f>SUM(Q44:Q73)</f>
        <v>0</v>
      </c>
      <c r="R43" s="29"/>
      <c r="S43" s="104"/>
      <c r="T43" s="104"/>
      <c r="U43" s="104"/>
      <c r="V43" s="104"/>
      <c r="W43" s="104"/>
      <c r="X43" s="104"/>
      <c r="Y43" s="104"/>
      <c r="Z43" s="104"/>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104"/>
      <c r="BE43" s="104"/>
      <c r="BF43" s="104"/>
      <c r="BG43" s="104"/>
      <c r="BH43" s="104"/>
      <c r="BI43" s="104"/>
      <c r="BJ43" s="104"/>
      <c r="BK43" s="12"/>
      <c r="BL43" s="12"/>
    </row>
    <row r="44" spans="1:64" hidden="1" outlineLevel="1">
      <c r="A44" s="9"/>
      <c r="B44" s="9"/>
      <c r="C44" s="44"/>
      <c r="D44" s="271" t="str">
        <f>Asset1</f>
        <v>Subtransmission</v>
      </c>
      <c r="E44" s="9"/>
      <c r="F44" s="9"/>
      <c r="G44" s="125"/>
      <c r="H44" s="115">
        <f>Input!H279*(1+vanilla1)^0.5</f>
        <v>22.671614984428007</v>
      </c>
      <c r="I44" s="115">
        <f>Input!I279*(1+vanilla2)^0.5</f>
        <v>43.586727921022678</v>
      </c>
      <c r="J44" s="115">
        <f>Input!J279*(1+vanilla3)^0.5</f>
        <v>61.411855736158408</v>
      </c>
      <c r="K44" s="115">
        <f>Input!K279*(1+vanilla4)^0.5</f>
        <v>59.511573597781187</v>
      </c>
      <c r="L44" s="115">
        <f>Input!L279*(1+vanilla5)^0.5</f>
        <v>58.02223776512011</v>
      </c>
      <c r="M44" s="115">
        <f>Input!M279*(1+vanilla6)^0.5</f>
        <v>0</v>
      </c>
      <c r="N44" s="115">
        <f>Input!N279*(1+vanilla7)^0.5</f>
        <v>0</v>
      </c>
      <c r="O44" s="115">
        <f>Input!O279*(1+vanilla8)^0.5</f>
        <v>0</v>
      </c>
      <c r="P44" s="115">
        <f>Input!P279*(1+vanilla9)^0.5</f>
        <v>0</v>
      </c>
      <c r="Q44" s="115">
        <f>Input!Q279*(1+vanilla10)^0.5</f>
        <v>0</v>
      </c>
      <c r="R44" s="29"/>
      <c r="S44" s="104"/>
      <c r="T44" s="104"/>
      <c r="U44" s="104"/>
      <c r="V44" s="104"/>
      <c r="W44" s="104"/>
      <c r="X44" s="104"/>
      <c r="Y44" s="104"/>
      <c r="Z44" s="104"/>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4"/>
      <c r="BE44" s="104"/>
      <c r="BF44" s="104"/>
      <c r="BG44" s="104"/>
      <c r="BH44" s="104"/>
      <c r="BI44" s="104"/>
      <c r="BJ44" s="104"/>
      <c r="BK44" s="12"/>
      <c r="BL44" s="12"/>
    </row>
    <row r="45" spans="1:64" hidden="1" outlineLevel="1">
      <c r="A45" s="9"/>
      <c r="B45" s="9"/>
      <c r="C45" s="44"/>
      <c r="D45" s="271" t="str">
        <f>Asset2</f>
        <v>Distribution system assets</v>
      </c>
      <c r="E45" s="9"/>
      <c r="F45" s="9"/>
      <c r="G45" s="125"/>
      <c r="H45" s="115">
        <f>Input!H280*(1+vanilla1)^0.5</f>
        <v>188.34463884995122</v>
      </c>
      <c r="I45" s="115">
        <f>Input!I280*(1+vanilla2)^0.5</f>
        <v>202.12464897667002</v>
      </c>
      <c r="J45" s="115">
        <f>Input!J280*(1+vanilla3)^0.5</f>
        <v>232.36006200267539</v>
      </c>
      <c r="K45" s="115">
        <f>Input!K280*(1+vanilla4)^0.5</f>
        <v>265.70860609315577</v>
      </c>
      <c r="L45" s="115">
        <f>Input!L280*(1+vanilla5)^0.5</f>
        <v>241.82700139755025</v>
      </c>
      <c r="M45" s="115">
        <f>Input!M280*(1+vanilla6)^0.5</f>
        <v>0</v>
      </c>
      <c r="N45" s="115">
        <f>Input!N280*(1+vanilla7)^0.5</f>
        <v>0</v>
      </c>
      <c r="O45" s="115">
        <f>Input!O280*(1+vanilla8)^0.5</f>
        <v>0</v>
      </c>
      <c r="P45" s="115">
        <f>Input!P280*(1+vanilla9)^0.5</f>
        <v>0</v>
      </c>
      <c r="Q45" s="115">
        <f>Input!Q280*(1+vanilla10)^0.5</f>
        <v>0</v>
      </c>
      <c r="R45" s="29"/>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4"/>
      <c r="BE45" s="104"/>
      <c r="BF45" s="104"/>
      <c r="BG45" s="104"/>
      <c r="BH45" s="104"/>
      <c r="BI45" s="104"/>
      <c r="BJ45" s="104"/>
      <c r="BK45" s="12"/>
      <c r="BL45" s="12"/>
    </row>
    <row r="46" spans="1:64" hidden="1" outlineLevel="1">
      <c r="A46" s="9"/>
      <c r="B46" s="9"/>
      <c r="C46" s="44"/>
      <c r="D46" s="271" t="str">
        <f>Asset3</f>
        <v>Standard metering</v>
      </c>
      <c r="E46" s="9"/>
      <c r="F46" s="9"/>
      <c r="G46" s="125"/>
      <c r="H46" s="115">
        <f>Input!H281*(1+vanilla1)^0.5</f>
        <v>0</v>
      </c>
      <c r="I46" s="115">
        <f>Input!I281*(1+vanilla2)^0.5</f>
        <v>0</v>
      </c>
      <c r="J46" s="115">
        <f>Input!J281*(1+vanilla3)^0.5</f>
        <v>0</v>
      </c>
      <c r="K46" s="115">
        <f>Input!K281*(1+vanilla4)^0.5</f>
        <v>0</v>
      </c>
      <c r="L46" s="115">
        <f>Input!L281*(1+vanilla5)^0.5</f>
        <v>0</v>
      </c>
      <c r="M46" s="115">
        <f>Input!M281*(1+vanilla6)^0.5</f>
        <v>0</v>
      </c>
      <c r="N46" s="115">
        <f>Input!N281*(1+vanilla7)^0.5</f>
        <v>0</v>
      </c>
      <c r="O46" s="115">
        <f>Input!O281*(1+vanilla8)^0.5</f>
        <v>0</v>
      </c>
      <c r="P46" s="115">
        <f>Input!P281*(1+vanilla9)^0.5</f>
        <v>0</v>
      </c>
      <c r="Q46" s="115">
        <f>Input!Q281*(1+vanilla10)^0.5</f>
        <v>0</v>
      </c>
      <c r="R46" s="29"/>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4"/>
      <c r="BE46" s="104"/>
      <c r="BF46" s="104"/>
      <c r="BG46" s="104"/>
      <c r="BH46" s="104"/>
      <c r="BI46" s="104"/>
      <c r="BJ46" s="104"/>
      <c r="BK46" s="12"/>
      <c r="BL46" s="12"/>
    </row>
    <row r="47" spans="1:64" hidden="1" outlineLevel="1">
      <c r="A47" s="9"/>
      <c r="B47" s="9"/>
      <c r="C47" s="44"/>
      <c r="D47" s="271" t="str">
        <f>Asset4</f>
        <v>Public lighting</v>
      </c>
      <c r="E47" s="9"/>
      <c r="F47" s="9"/>
      <c r="G47" s="125"/>
      <c r="H47" s="115">
        <f>Input!H282*(1+vanilla1)^0.5</f>
        <v>0</v>
      </c>
      <c r="I47" s="115">
        <f>Input!I282*(1+vanilla2)^0.5</f>
        <v>0</v>
      </c>
      <c r="J47" s="115">
        <f>Input!J282*(1+vanilla3)^0.5</f>
        <v>0</v>
      </c>
      <c r="K47" s="115">
        <f>Input!K282*(1+vanilla4)^0.5</f>
        <v>0</v>
      </c>
      <c r="L47" s="115">
        <f>Input!L282*(1+vanilla5)^0.5</f>
        <v>0</v>
      </c>
      <c r="M47" s="115">
        <f>Input!M282*(1+vanilla6)^0.5</f>
        <v>0</v>
      </c>
      <c r="N47" s="115">
        <f>Input!N282*(1+vanilla7)^0.5</f>
        <v>0</v>
      </c>
      <c r="O47" s="115">
        <f>Input!O282*(1+vanilla8)^0.5</f>
        <v>0</v>
      </c>
      <c r="P47" s="115">
        <f>Input!P282*(1+vanilla9)^0.5</f>
        <v>0</v>
      </c>
      <c r="Q47" s="115">
        <f>Input!Q282*(1+vanilla10)^0.5</f>
        <v>0</v>
      </c>
      <c r="R47" s="29"/>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4"/>
      <c r="BE47" s="104"/>
      <c r="BF47" s="104"/>
      <c r="BG47" s="104"/>
      <c r="BH47" s="104"/>
      <c r="BI47" s="104"/>
      <c r="BJ47" s="104"/>
      <c r="BK47" s="12"/>
      <c r="BL47" s="12"/>
    </row>
    <row r="48" spans="1:64" hidden="1" outlineLevel="1">
      <c r="A48" s="9"/>
      <c r="B48" s="9"/>
      <c r="C48" s="44"/>
      <c r="D48" s="271" t="str">
        <f>Asset5</f>
        <v>SCADA/Network control</v>
      </c>
      <c r="E48" s="9"/>
      <c r="F48" s="9"/>
      <c r="G48" s="125"/>
      <c r="H48" s="115">
        <f>Input!H283*(1+vanilla1)^0.5</f>
        <v>1.2946535046258154</v>
      </c>
      <c r="I48" s="115">
        <f>Input!I283*(1+vanilla2)^0.5</f>
        <v>5.8488753613460434</v>
      </c>
      <c r="J48" s="115">
        <f>Input!J283*(1+vanilla3)^0.5</f>
        <v>1.8529127306772786</v>
      </c>
      <c r="K48" s="115">
        <f>Input!K283*(1+vanilla4)^0.5</f>
        <v>0.69387495389757492</v>
      </c>
      <c r="L48" s="115">
        <f>Input!L283*(1+vanilla5)^0.5</f>
        <v>2.6870060196725571</v>
      </c>
      <c r="M48" s="115">
        <f>Input!M283*(1+vanilla6)^0.5</f>
        <v>0</v>
      </c>
      <c r="N48" s="115">
        <f>Input!N283*(1+vanilla7)^0.5</f>
        <v>0</v>
      </c>
      <c r="O48" s="115">
        <f>Input!O283*(1+vanilla8)^0.5</f>
        <v>0</v>
      </c>
      <c r="P48" s="115">
        <f>Input!P283*(1+vanilla9)^0.5</f>
        <v>0</v>
      </c>
      <c r="Q48" s="115">
        <f>Input!Q283*(1+vanilla10)^0.5</f>
        <v>0</v>
      </c>
      <c r="R48" s="29"/>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4"/>
      <c r="BE48" s="104"/>
      <c r="BF48" s="104"/>
      <c r="BG48" s="104"/>
      <c r="BH48" s="104"/>
      <c r="BI48" s="104"/>
      <c r="BJ48" s="104"/>
      <c r="BK48" s="12"/>
      <c r="BL48" s="12"/>
    </row>
    <row r="49" spans="1:64" hidden="1" outlineLevel="1">
      <c r="A49" s="9"/>
      <c r="B49" s="9"/>
      <c r="C49" s="44"/>
      <c r="D49" s="271" t="str">
        <f>Asset6</f>
        <v>Non-network general assets - IT</v>
      </c>
      <c r="E49" s="9"/>
      <c r="F49" s="9"/>
      <c r="G49" s="125"/>
      <c r="H49" s="115">
        <f>Input!H284*(1+vanilla1)^0.5</f>
        <v>47.563714385987495</v>
      </c>
      <c r="I49" s="115">
        <f>Input!I284*(1+vanilla2)^0.5</f>
        <v>45.018794436796384</v>
      </c>
      <c r="J49" s="115">
        <f>Input!J284*(1+vanilla3)^0.5</f>
        <v>48.326603135074798</v>
      </c>
      <c r="K49" s="115">
        <f>Input!K284*(1+vanilla4)^0.5</f>
        <v>31.139621530447517</v>
      </c>
      <c r="L49" s="115">
        <f>Input!L284*(1+vanilla5)^0.5</f>
        <v>17.963424117942814</v>
      </c>
      <c r="M49" s="115">
        <f>Input!M284*(1+vanilla6)^0.5</f>
        <v>0</v>
      </c>
      <c r="N49" s="115">
        <f>Input!N284*(1+vanilla7)^0.5</f>
        <v>0</v>
      </c>
      <c r="O49" s="115">
        <f>Input!O284*(1+vanilla8)^0.5</f>
        <v>0</v>
      </c>
      <c r="P49" s="115">
        <f>Input!P284*(1+vanilla9)^0.5</f>
        <v>0</v>
      </c>
      <c r="Q49" s="115">
        <f>Input!Q284*(1+vanilla10)^0.5</f>
        <v>0</v>
      </c>
      <c r="R49" s="29"/>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4"/>
      <c r="BE49" s="104"/>
      <c r="BF49" s="104"/>
      <c r="BG49" s="104"/>
      <c r="BH49" s="104"/>
      <c r="BI49" s="104"/>
      <c r="BJ49" s="104"/>
      <c r="BK49" s="12"/>
      <c r="BL49" s="12"/>
    </row>
    <row r="50" spans="1:64" hidden="1" outlineLevel="1">
      <c r="A50" s="9"/>
      <c r="B50" s="9"/>
      <c r="C50" s="44"/>
      <c r="D50" s="271" t="str">
        <f>Asset7</f>
        <v>Non-network general assets - Other</v>
      </c>
      <c r="E50" s="9"/>
      <c r="F50" s="9"/>
      <c r="G50" s="125"/>
      <c r="H50" s="115">
        <f>Input!H285*(1+vanilla1)^0.5</f>
        <v>5.0134383039479165</v>
      </c>
      <c r="I50" s="115">
        <f>Input!I285*(1+vanilla2)^0.5</f>
        <v>3.6525926341126267</v>
      </c>
      <c r="J50" s="115">
        <f>Input!J285*(1+vanilla3)^0.5</f>
        <v>5.2860457227663149</v>
      </c>
      <c r="K50" s="115">
        <f>Input!K285*(1+vanilla4)^0.5</f>
        <v>4.1610521185135161</v>
      </c>
      <c r="L50" s="115">
        <f>Input!L285*(1+vanilla5)^0.5</f>
        <v>2.2266963481113646</v>
      </c>
      <c r="M50" s="115">
        <f>Input!M285*(1+vanilla6)^0.5</f>
        <v>0</v>
      </c>
      <c r="N50" s="115">
        <f>Input!N285*(1+vanilla7)^0.5</f>
        <v>0</v>
      </c>
      <c r="O50" s="115">
        <f>Input!O285*(1+vanilla8)^0.5</f>
        <v>0</v>
      </c>
      <c r="P50" s="115">
        <f>Input!P285*(1+vanilla9)^0.5</f>
        <v>0</v>
      </c>
      <c r="Q50" s="115">
        <f>Input!Q285*(1+vanilla10)^0.5</f>
        <v>0</v>
      </c>
      <c r="R50" s="29"/>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4"/>
      <c r="BE50" s="104"/>
      <c r="BF50" s="104"/>
      <c r="BG50" s="104"/>
      <c r="BH50" s="104"/>
      <c r="BI50" s="104"/>
      <c r="BJ50" s="104"/>
      <c r="BK50" s="12"/>
      <c r="BL50" s="12"/>
    </row>
    <row r="51" spans="1:64" hidden="1" outlineLevel="1">
      <c r="A51" s="9"/>
      <c r="B51" s="9"/>
      <c r="C51" s="44"/>
      <c r="D51" s="271" t="str">
        <f>Asset8</f>
        <v>Equity Raising Costs</v>
      </c>
      <c r="E51" s="9"/>
      <c r="F51" s="9"/>
      <c r="G51" s="125"/>
      <c r="H51" s="115">
        <f>Input!H286*(1+vanilla1)^0.5</f>
        <v>1.513162299602842</v>
      </c>
      <c r="I51" s="115">
        <f>Input!I286*(1+vanilla2)^0.5</f>
        <v>0</v>
      </c>
      <c r="J51" s="115">
        <f>Input!J286*(1+vanilla3)^0.5</f>
        <v>0</v>
      </c>
      <c r="K51" s="115">
        <f>Input!K286*(1+vanilla4)^0.5</f>
        <v>0</v>
      </c>
      <c r="L51" s="115">
        <f>Input!L286*(1+vanilla5)^0.5</f>
        <v>0</v>
      </c>
      <c r="M51" s="115">
        <f>Input!M286*(1+vanilla6)^0.5</f>
        <v>0</v>
      </c>
      <c r="N51" s="115">
        <f>Input!N286*(1+vanilla7)^0.5</f>
        <v>0</v>
      </c>
      <c r="O51" s="115">
        <f>Input!O286*(1+vanilla8)^0.5</f>
        <v>0</v>
      </c>
      <c r="P51" s="115">
        <f>Input!P286*(1+vanilla9)^0.5</f>
        <v>0</v>
      </c>
      <c r="Q51" s="115">
        <f>Input!Q286*(1+vanilla10)^0.5</f>
        <v>0</v>
      </c>
      <c r="R51" s="29"/>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4"/>
      <c r="BE51" s="104"/>
      <c r="BF51" s="104"/>
      <c r="BG51" s="104"/>
      <c r="BH51" s="104"/>
      <c r="BI51" s="104"/>
      <c r="BJ51" s="104"/>
      <c r="BK51" s="12"/>
      <c r="BL51" s="12"/>
    </row>
    <row r="52" spans="1:64" hidden="1" outlineLevel="1">
      <c r="A52" s="9"/>
      <c r="B52" s="9"/>
      <c r="C52" s="44"/>
      <c r="D52" s="271">
        <f>Asset9</f>
        <v>0</v>
      </c>
      <c r="E52" s="9"/>
      <c r="F52" s="9"/>
      <c r="G52" s="125"/>
      <c r="H52" s="115">
        <f>Input!H287*(1+vanilla1)^0.5</f>
        <v>0</v>
      </c>
      <c r="I52" s="115">
        <f>Input!I287*(1+vanilla2)^0.5</f>
        <v>0</v>
      </c>
      <c r="J52" s="115">
        <f>Input!J287*(1+vanilla3)^0.5</f>
        <v>0</v>
      </c>
      <c r="K52" s="115">
        <f>Input!K287*(1+vanilla4)^0.5</f>
        <v>0</v>
      </c>
      <c r="L52" s="115">
        <f>Input!L287*(1+vanilla5)^0.5</f>
        <v>0</v>
      </c>
      <c r="M52" s="115">
        <f>Input!M287*(1+vanilla6)^0.5</f>
        <v>0</v>
      </c>
      <c r="N52" s="115">
        <f>Input!N287*(1+vanilla7)^0.5</f>
        <v>0</v>
      </c>
      <c r="O52" s="115">
        <f>Input!O287*(1+vanilla8)^0.5</f>
        <v>0</v>
      </c>
      <c r="P52" s="115">
        <f>Input!P287*(1+vanilla9)^0.5</f>
        <v>0</v>
      </c>
      <c r="Q52" s="115">
        <f>Input!Q287*(1+vanilla10)^0.5</f>
        <v>0</v>
      </c>
      <c r="R52" s="29"/>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4"/>
      <c r="BE52" s="104"/>
      <c r="BF52" s="104"/>
      <c r="BG52" s="104"/>
      <c r="BH52" s="104"/>
      <c r="BI52" s="104"/>
      <c r="BJ52" s="104"/>
      <c r="BK52" s="12"/>
      <c r="BL52" s="12"/>
    </row>
    <row r="53" spans="1:64" hidden="1" outlineLevel="1">
      <c r="A53" s="9"/>
      <c r="B53" s="9"/>
      <c r="C53" s="44"/>
      <c r="D53" s="271">
        <f>Asset10</f>
        <v>0</v>
      </c>
      <c r="E53" s="9"/>
      <c r="F53" s="9"/>
      <c r="G53" s="125"/>
      <c r="H53" s="115">
        <f>Input!H288*(1+vanilla1)^0.5</f>
        <v>0</v>
      </c>
      <c r="I53" s="115">
        <f>Input!I288*(1+vanilla2)^0.5</f>
        <v>0</v>
      </c>
      <c r="J53" s="115">
        <f>Input!J288*(1+vanilla3)^0.5</f>
        <v>0</v>
      </c>
      <c r="K53" s="115">
        <f>Input!K288*(1+vanilla4)^0.5</f>
        <v>0</v>
      </c>
      <c r="L53" s="115">
        <f>Input!L288*(1+vanilla5)^0.5</f>
        <v>0</v>
      </c>
      <c r="M53" s="115">
        <f>Input!M288*(1+vanilla6)^0.5</f>
        <v>0</v>
      </c>
      <c r="N53" s="115">
        <f>Input!N288*(1+vanilla7)^0.5</f>
        <v>0</v>
      </c>
      <c r="O53" s="115">
        <f>Input!O288*(1+vanilla8)^0.5</f>
        <v>0</v>
      </c>
      <c r="P53" s="115">
        <f>Input!P288*(1+vanilla9)^0.5</f>
        <v>0</v>
      </c>
      <c r="Q53" s="115">
        <f>Input!Q288*(1+vanilla10)^0.5</f>
        <v>0</v>
      </c>
      <c r="R53" s="29"/>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4"/>
      <c r="BE53" s="104"/>
      <c r="BF53" s="104"/>
      <c r="BG53" s="104"/>
      <c r="BH53" s="104"/>
      <c r="BI53" s="104"/>
      <c r="BJ53" s="104"/>
      <c r="BK53" s="12"/>
      <c r="BL53" s="12"/>
    </row>
    <row r="54" spans="1:64" hidden="1" outlineLevel="1">
      <c r="A54" s="9"/>
      <c r="B54" s="9"/>
      <c r="C54" s="44"/>
      <c r="D54" s="271">
        <f>Asset11</f>
        <v>0</v>
      </c>
      <c r="E54" s="9"/>
      <c r="F54" s="9"/>
      <c r="G54" s="125"/>
      <c r="H54" s="115">
        <f>Input!H289*(1+vanilla1)^0.5</f>
        <v>0</v>
      </c>
      <c r="I54" s="115">
        <f>Input!I289*(1+vanilla2)^0.5</f>
        <v>0</v>
      </c>
      <c r="J54" s="115">
        <f>Input!J289*(1+vanilla3)^0.5</f>
        <v>0</v>
      </c>
      <c r="K54" s="115">
        <f>Input!K289*(1+vanilla4)^0.5</f>
        <v>0</v>
      </c>
      <c r="L54" s="115">
        <f>Input!L289*(1+vanilla5)^0.5</f>
        <v>0</v>
      </c>
      <c r="M54" s="115">
        <f>Input!M289*(1+vanilla6)^0.5</f>
        <v>0</v>
      </c>
      <c r="N54" s="115">
        <f>Input!N289*(1+vanilla7)^0.5</f>
        <v>0</v>
      </c>
      <c r="O54" s="115">
        <f>Input!O289*(1+vanilla8)^0.5</f>
        <v>0</v>
      </c>
      <c r="P54" s="115">
        <f>Input!P289*(1+vanilla9)^0.5</f>
        <v>0</v>
      </c>
      <c r="Q54" s="115">
        <f>Input!Q289*(1+vanilla10)^0.5</f>
        <v>0</v>
      </c>
      <c r="R54" s="29"/>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4"/>
      <c r="BE54" s="104"/>
      <c r="BF54" s="104"/>
      <c r="BG54" s="104"/>
      <c r="BH54" s="104"/>
      <c r="BI54" s="104"/>
      <c r="BJ54" s="104"/>
      <c r="BK54" s="12"/>
      <c r="BL54" s="12"/>
    </row>
    <row r="55" spans="1:64" hidden="1" outlineLevel="1">
      <c r="A55" s="9"/>
      <c r="B55" s="9"/>
      <c r="C55" s="44"/>
      <c r="D55" s="271">
        <f>Asset12</f>
        <v>0</v>
      </c>
      <c r="E55" s="9"/>
      <c r="F55" s="9"/>
      <c r="G55" s="125"/>
      <c r="H55" s="115">
        <f>Input!H290*(1+vanilla1)^0.5</f>
        <v>0</v>
      </c>
      <c r="I55" s="115">
        <f>Input!I290*(1+vanilla2)^0.5</f>
        <v>0</v>
      </c>
      <c r="J55" s="115">
        <f>Input!J290*(1+vanilla3)^0.5</f>
        <v>0</v>
      </c>
      <c r="K55" s="115">
        <f>Input!K290*(1+vanilla4)^0.5</f>
        <v>0</v>
      </c>
      <c r="L55" s="115">
        <f>Input!L290*(1+vanilla5)^0.5</f>
        <v>0</v>
      </c>
      <c r="M55" s="115">
        <f>Input!M290*(1+vanilla6)^0.5</f>
        <v>0</v>
      </c>
      <c r="N55" s="115">
        <f>Input!N290*(1+vanilla7)^0.5</f>
        <v>0</v>
      </c>
      <c r="O55" s="115">
        <f>Input!O290*(1+vanilla8)^0.5</f>
        <v>0</v>
      </c>
      <c r="P55" s="115">
        <f>Input!P290*(1+vanilla9)^0.5</f>
        <v>0</v>
      </c>
      <c r="Q55" s="115">
        <f>Input!Q290*(1+vanilla10)^0.5</f>
        <v>0</v>
      </c>
      <c r="R55" s="29"/>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4"/>
      <c r="BE55" s="104"/>
      <c r="BF55" s="104"/>
      <c r="BG55" s="104"/>
      <c r="BH55" s="104"/>
      <c r="BI55" s="104"/>
      <c r="BJ55" s="104"/>
      <c r="BK55" s="12"/>
      <c r="BL55" s="12"/>
    </row>
    <row r="56" spans="1:64" hidden="1" outlineLevel="1">
      <c r="A56" s="9"/>
      <c r="B56" s="9"/>
      <c r="C56" s="44"/>
      <c r="D56" s="271">
        <f>Asset13</f>
        <v>0</v>
      </c>
      <c r="E56" s="9"/>
      <c r="F56" s="9"/>
      <c r="G56" s="125"/>
      <c r="H56" s="115">
        <f>Input!H291*(1+vanilla1)^0.5</f>
        <v>0</v>
      </c>
      <c r="I56" s="115">
        <f>Input!I291*(1+vanilla2)^0.5</f>
        <v>0</v>
      </c>
      <c r="J56" s="115">
        <f>Input!J291*(1+vanilla3)^0.5</f>
        <v>0</v>
      </c>
      <c r="K56" s="115">
        <f>Input!K291*(1+vanilla4)^0.5</f>
        <v>0</v>
      </c>
      <c r="L56" s="115">
        <f>Input!L291*(1+vanilla5)^0.5</f>
        <v>0</v>
      </c>
      <c r="M56" s="115">
        <f>Input!M291*(1+vanilla6)^0.5</f>
        <v>0</v>
      </c>
      <c r="N56" s="115">
        <f>Input!N291*(1+vanilla7)^0.5</f>
        <v>0</v>
      </c>
      <c r="O56" s="115">
        <f>Input!O291*(1+vanilla8)^0.5</f>
        <v>0</v>
      </c>
      <c r="P56" s="115">
        <f>Input!P291*(1+vanilla9)^0.5</f>
        <v>0</v>
      </c>
      <c r="Q56" s="115">
        <f>Input!Q291*(1+vanilla10)^0.5</f>
        <v>0</v>
      </c>
      <c r="R56" s="29"/>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104"/>
      <c r="BE56" s="104"/>
      <c r="BF56" s="104"/>
      <c r="BG56" s="104"/>
      <c r="BH56" s="104"/>
      <c r="BI56" s="104"/>
      <c r="BJ56" s="104"/>
      <c r="BK56" s="12"/>
      <c r="BL56" s="12"/>
    </row>
    <row r="57" spans="1:64" hidden="1" outlineLevel="1">
      <c r="A57" s="9"/>
      <c r="B57" s="9"/>
      <c r="C57" s="44"/>
      <c r="D57" s="271">
        <f>Asset14</f>
        <v>0</v>
      </c>
      <c r="E57" s="9"/>
      <c r="F57" s="9"/>
      <c r="G57" s="125"/>
      <c r="H57" s="115">
        <f>Input!H292*(1+vanilla1)^0.5</f>
        <v>0</v>
      </c>
      <c r="I57" s="115">
        <f>Input!I292*(1+vanilla2)^0.5</f>
        <v>0</v>
      </c>
      <c r="J57" s="115">
        <f>Input!J292*(1+vanilla3)^0.5</f>
        <v>0</v>
      </c>
      <c r="K57" s="115">
        <f>Input!K292*(1+vanilla4)^0.5</f>
        <v>0</v>
      </c>
      <c r="L57" s="115">
        <f>Input!L292*(1+vanilla5)^0.5</f>
        <v>0</v>
      </c>
      <c r="M57" s="115">
        <f>Input!M292*(1+vanilla6)^0.5</f>
        <v>0</v>
      </c>
      <c r="N57" s="115">
        <f>Input!N292*(1+vanilla7)^0.5</f>
        <v>0</v>
      </c>
      <c r="O57" s="115">
        <f>Input!O292*(1+vanilla8)^0.5</f>
        <v>0</v>
      </c>
      <c r="P57" s="115">
        <f>Input!P292*(1+vanilla9)^0.5</f>
        <v>0</v>
      </c>
      <c r="Q57" s="115">
        <f>Input!Q292*(1+vanilla10)^0.5</f>
        <v>0</v>
      </c>
      <c r="R57" s="29"/>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104"/>
      <c r="BE57" s="104"/>
      <c r="BF57" s="104"/>
      <c r="BG57" s="104"/>
      <c r="BH57" s="104"/>
      <c r="BI57" s="104"/>
      <c r="BJ57" s="104"/>
      <c r="BK57" s="12"/>
      <c r="BL57" s="12"/>
    </row>
    <row r="58" spans="1:64" hidden="1" outlineLevel="1">
      <c r="A58" s="9"/>
      <c r="B58" s="9"/>
      <c r="C58" s="44"/>
      <c r="D58" s="271">
        <f>Asset15</f>
        <v>0</v>
      </c>
      <c r="E58" s="9"/>
      <c r="F58" s="9"/>
      <c r="G58" s="125"/>
      <c r="H58" s="115">
        <f>Input!H293*(1+vanilla1)^0.5</f>
        <v>0</v>
      </c>
      <c r="I58" s="115">
        <f>Input!I293*(1+vanilla2)^0.5</f>
        <v>0</v>
      </c>
      <c r="J58" s="115">
        <f>Input!J293*(1+vanilla3)^0.5</f>
        <v>0</v>
      </c>
      <c r="K58" s="115">
        <f>Input!K293*(1+vanilla4)^0.5</f>
        <v>0</v>
      </c>
      <c r="L58" s="115">
        <f>Input!L293*(1+vanilla5)^0.5</f>
        <v>0</v>
      </c>
      <c r="M58" s="115">
        <f>Input!M293*(1+vanilla6)^0.5</f>
        <v>0</v>
      </c>
      <c r="N58" s="115">
        <f>Input!N293*(1+vanilla7)^0.5</f>
        <v>0</v>
      </c>
      <c r="O58" s="115">
        <f>Input!O293*(1+vanilla8)^0.5</f>
        <v>0</v>
      </c>
      <c r="P58" s="115">
        <f>Input!P293*(1+vanilla9)^0.5</f>
        <v>0</v>
      </c>
      <c r="Q58" s="115">
        <f>Input!Q293*(1+vanilla10)^0.5</f>
        <v>0</v>
      </c>
      <c r="R58" s="29"/>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104"/>
      <c r="BE58" s="104"/>
      <c r="BF58" s="104"/>
      <c r="BG58" s="104"/>
      <c r="BH58" s="104"/>
      <c r="BI58" s="104"/>
      <c r="BJ58" s="104"/>
      <c r="BK58" s="12"/>
      <c r="BL58" s="12"/>
    </row>
    <row r="59" spans="1:64" hidden="1" outlineLevel="1">
      <c r="A59" s="9"/>
      <c r="B59" s="9"/>
      <c r="C59" s="44"/>
      <c r="D59" s="271">
        <f>Asset16</f>
        <v>0</v>
      </c>
      <c r="E59" s="9"/>
      <c r="F59" s="9"/>
      <c r="G59" s="125"/>
      <c r="H59" s="115">
        <f>Input!H294*(1+vanilla1)^0.5</f>
        <v>0</v>
      </c>
      <c r="I59" s="115">
        <f>Input!I294*(1+vanilla2)^0.5</f>
        <v>0</v>
      </c>
      <c r="J59" s="115">
        <f>Input!J294*(1+vanilla3)^0.5</f>
        <v>0</v>
      </c>
      <c r="K59" s="115">
        <f>Input!K294*(1+vanilla4)^0.5</f>
        <v>0</v>
      </c>
      <c r="L59" s="115">
        <f>Input!L294*(1+vanilla5)^0.5</f>
        <v>0</v>
      </c>
      <c r="M59" s="115">
        <f>Input!M294*(1+vanilla6)^0.5</f>
        <v>0</v>
      </c>
      <c r="N59" s="115">
        <f>Input!N294*(1+vanilla7)^0.5</f>
        <v>0</v>
      </c>
      <c r="O59" s="115">
        <f>Input!O294*(1+vanilla8)^0.5</f>
        <v>0</v>
      </c>
      <c r="P59" s="115">
        <f>Input!P294*(1+vanilla9)^0.5</f>
        <v>0</v>
      </c>
      <c r="Q59" s="115">
        <f>Input!Q294*(1+vanilla10)^0.5</f>
        <v>0</v>
      </c>
      <c r="R59" s="29"/>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104"/>
      <c r="BE59" s="104"/>
      <c r="BF59" s="104"/>
      <c r="BG59" s="104"/>
      <c r="BH59" s="104"/>
      <c r="BI59" s="104"/>
      <c r="BJ59" s="104"/>
      <c r="BK59" s="12"/>
      <c r="BL59" s="12"/>
    </row>
    <row r="60" spans="1:64" hidden="1" outlineLevel="1">
      <c r="A60" s="9"/>
      <c r="B60" s="9"/>
      <c r="C60" s="44"/>
      <c r="D60" s="271">
        <f>Asset17</f>
        <v>0</v>
      </c>
      <c r="E60" s="9"/>
      <c r="F60" s="9"/>
      <c r="G60" s="125"/>
      <c r="H60" s="115">
        <f>Input!H295*(1+vanilla1)^0.5</f>
        <v>0</v>
      </c>
      <c r="I60" s="115">
        <f>Input!I295*(1+vanilla2)^0.5</f>
        <v>0</v>
      </c>
      <c r="J60" s="115">
        <f>Input!J295*(1+vanilla3)^0.5</f>
        <v>0</v>
      </c>
      <c r="K60" s="115">
        <f>Input!K295*(1+vanilla4)^0.5</f>
        <v>0</v>
      </c>
      <c r="L60" s="115">
        <f>Input!L295*(1+vanilla5)^0.5</f>
        <v>0</v>
      </c>
      <c r="M60" s="115">
        <f>Input!M295*(1+vanilla6)^0.5</f>
        <v>0</v>
      </c>
      <c r="N60" s="115">
        <f>Input!N295*(1+vanilla7)^0.5</f>
        <v>0</v>
      </c>
      <c r="O60" s="115">
        <f>Input!O295*(1+vanilla8)^0.5</f>
        <v>0</v>
      </c>
      <c r="P60" s="115">
        <f>Input!P295*(1+vanilla9)^0.5</f>
        <v>0</v>
      </c>
      <c r="Q60" s="115">
        <f>Input!Q295*(1+vanilla10)^0.5</f>
        <v>0</v>
      </c>
      <c r="R60" s="29"/>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104"/>
      <c r="BE60" s="104"/>
      <c r="BF60" s="104"/>
      <c r="BG60" s="104"/>
      <c r="BH60" s="104"/>
      <c r="BI60" s="104"/>
      <c r="BJ60" s="104"/>
      <c r="BK60" s="12"/>
      <c r="BL60" s="12"/>
    </row>
    <row r="61" spans="1:64" hidden="1" outlineLevel="1">
      <c r="A61" s="9"/>
      <c r="B61" s="9"/>
      <c r="C61" s="44"/>
      <c r="D61" s="271">
        <f>Asset18</f>
        <v>0</v>
      </c>
      <c r="E61" s="9"/>
      <c r="F61" s="9"/>
      <c r="G61" s="125"/>
      <c r="H61" s="115">
        <f>Input!H296*(1+vanilla1)^0.5</f>
        <v>0</v>
      </c>
      <c r="I61" s="115">
        <f>Input!I296*(1+vanilla2)^0.5</f>
        <v>0</v>
      </c>
      <c r="J61" s="115">
        <f>Input!J296*(1+vanilla3)^0.5</f>
        <v>0</v>
      </c>
      <c r="K61" s="115">
        <f>Input!K296*(1+vanilla4)^0.5</f>
        <v>0</v>
      </c>
      <c r="L61" s="115">
        <f>Input!L296*(1+vanilla5)^0.5</f>
        <v>0</v>
      </c>
      <c r="M61" s="115">
        <f>Input!M296*(1+vanilla6)^0.5</f>
        <v>0</v>
      </c>
      <c r="N61" s="115">
        <f>Input!N296*(1+vanilla7)^0.5</f>
        <v>0</v>
      </c>
      <c r="O61" s="115">
        <f>Input!O296*(1+vanilla8)^0.5</f>
        <v>0</v>
      </c>
      <c r="P61" s="115">
        <f>Input!P296*(1+vanilla9)^0.5</f>
        <v>0</v>
      </c>
      <c r="Q61" s="115">
        <f>Input!Q296*(1+vanilla10)^0.5</f>
        <v>0</v>
      </c>
      <c r="R61" s="29"/>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104"/>
      <c r="BE61" s="104"/>
      <c r="BF61" s="104"/>
      <c r="BG61" s="104"/>
      <c r="BH61" s="104"/>
      <c r="BI61" s="104"/>
      <c r="BJ61" s="104"/>
      <c r="BK61" s="12"/>
      <c r="BL61" s="12"/>
    </row>
    <row r="62" spans="1:64" hidden="1" outlineLevel="1">
      <c r="A62" s="9"/>
      <c r="B62" s="9"/>
      <c r="C62" s="44"/>
      <c r="D62" s="271">
        <f>Asset19</f>
        <v>0</v>
      </c>
      <c r="E62" s="9"/>
      <c r="F62" s="9"/>
      <c r="G62" s="125"/>
      <c r="H62" s="115">
        <f>Input!H297*(1+vanilla1)^0.5</f>
        <v>0</v>
      </c>
      <c r="I62" s="115">
        <f>Input!I297*(1+vanilla2)^0.5</f>
        <v>0</v>
      </c>
      <c r="J62" s="115">
        <f>Input!J297*(1+vanilla3)^0.5</f>
        <v>0</v>
      </c>
      <c r="K62" s="115">
        <f>Input!K297*(1+vanilla4)^0.5</f>
        <v>0</v>
      </c>
      <c r="L62" s="115">
        <f>Input!L297*(1+vanilla5)^0.5</f>
        <v>0</v>
      </c>
      <c r="M62" s="115">
        <f>Input!M297*(1+vanilla6)^0.5</f>
        <v>0</v>
      </c>
      <c r="N62" s="115">
        <f>Input!N297*(1+vanilla7)^0.5</f>
        <v>0</v>
      </c>
      <c r="O62" s="115">
        <f>Input!O297*(1+vanilla8)^0.5</f>
        <v>0</v>
      </c>
      <c r="P62" s="115">
        <f>Input!P297*(1+vanilla9)^0.5</f>
        <v>0</v>
      </c>
      <c r="Q62" s="115">
        <f>Input!Q297*(1+vanilla10)^0.5</f>
        <v>0</v>
      </c>
      <c r="R62" s="29"/>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104"/>
      <c r="BE62" s="104"/>
      <c r="BF62" s="104"/>
      <c r="BG62" s="104"/>
      <c r="BH62" s="104"/>
      <c r="BI62" s="104"/>
      <c r="BJ62" s="104"/>
      <c r="BK62" s="12"/>
      <c r="BL62" s="12"/>
    </row>
    <row r="63" spans="1:64" hidden="1" outlineLevel="1">
      <c r="A63" s="9"/>
      <c r="B63" s="9"/>
      <c r="C63" s="44"/>
      <c r="D63" s="271">
        <f>Asset20</f>
        <v>0</v>
      </c>
      <c r="E63" s="9"/>
      <c r="F63" s="9"/>
      <c r="G63" s="125"/>
      <c r="H63" s="115">
        <f>Input!H298*(1+vanilla1)^0.5</f>
        <v>0</v>
      </c>
      <c r="I63" s="115">
        <f>Input!I298*(1+vanilla2)^0.5</f>
        <v>0</v>
      </c>
      <c r="J63" s="115">
        <f>Input!J298*(1+vanilla3)^0.5</f>
        <v>0</v>
      </c>
      <c r="K63" s="115">
        <f>Input!K298*(1+vanilla4)^0.5</f>
        <v>0</v>
      </c>
      <c r="L63" s="115">
        <f>Input!L298*(1+vanilla5)^0.5</f>
        <v>0</v>
      </c>
      <c r="M63" s="115">
        <f>Input!M298*(1+vanilla6)^0.5</f>
        <v>0</v>
      </c>
      <c r="N63" s="115">
        <f>Input!N298*(1+vanilla7)^0.5</f>
        <v>0</v>
      </c>
      <c r="O63" s="115">
        <f>Input!O298*(1+vanilla8)^0.5</f>
        <v>0</v>
      </c>
      <c r="P63" s="115">
        <f>Input!P298*(1+vanilla9)^0.5</f>
        <v>0</v>
      </c>
      <c r="Q63" s="115">
        <f>Input!Q298*(1+vanilla10)^0.5</f>
        <v>0</v>
      </c>
      <c r="R63" s="29"/>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104"/>
      <c r="BE63" s="104"/>
      <c r="BF63" s="104"/>
      <c r="BG63" s="104"/>
      <c r="BH63" s="104"/>
      <c r="BI63" s="104"/>
      <c r="BJ63" s="104"/>
      <c r="BK63" s="12"/>
      <c r="BL63" s="12"/>
    </row>
    <row r="64" spans="1:64" hidden="1" outlineLevel="1">
      <c r="A64" s="9"/>
      <c r="B64" s="9"/>
      <c r="C64" s="44"/>
      <c r="D64" s="271">
        <f>Asset21</f>
        <v>0</v>
      </c>
      <c r="E64" s="9"/>
      <c r="F64" s="9"/>
      <c r="G64" s="125"/>
      <c r="H64" s="115">
        <f>Input!H299*(1+vanilla1)^0.5</f>
        <v>0</v>
      </c>
      <c r="I64" s="115">
        <f>Input!I299*(1+vanilla2)^0.5</f>
        <v>0</v>
      </c>
      <c r="J64" s="115">
        <f>Input!J299*(1+vanilla3)^0.5</f>
        <v>0</v>
      </c>
      <c r="K64" s="115">
        <f>Input!K299*(1+vanilla4)^0.5</f>
        <v>0</v>
      </c>
      <c r="L64" s="115">
        <f>Input!L299*(1+vanilla5)^0.5</f>
        <v>0</v>
      </c>
      <c r="M64" s="115">
        <f>Input!M299*(1+vanilla6)^0.5</f>
        <v>0</v>
      </c>
      <c r="N64" s="115">
        <f>Input!N299*(1+vanilla7)^0.5</f>
        <v>0</v>
      </c>
      <c r="O64" s="115">
        <f>Input!O299*(1+vanilla8)^0.5</f>
        <v>0</v>
      </c>
      <c r="P64" s="115">
        <f>Input!P299*(1+vanilla9)^0.5</f>
        <v>0</v>
      </c>
      <c r="Q64" s="115">
        <f>Input!Q299*(1+vanilla10)^0.5</f>
        <v>0</v>
      </c>
      <c r="R64" s="29"/>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104"/>
      <c r="BE64" s="104"/>
      <c r="BF64" s="104"/>
      <c r="BG64" s="104"/>
      <c r="BH64" s="104"/>
      <c r="BI64" s="104"/>
      <c r="BJ64" s="104"/>
      <c r="BK64" s="12"/>
      <c r="BL64" s="12"/>
    </row>
    <row r="65" spans="1:256" hidden="1" outlineLevel="1">
      <c r="A65" s="9"/>
      <c r="B65" s="9"/>
      <c r="C65" s="44"/>
      <c r="D65" s="271">
        <f>Asset22</f>
        <v>0</v>
      </c>
      <c r="E65" s="9"/>
      <c r="F65" s="9"/>
      <c r="G65" s="125"/>
      <c r="H65" s="115">
        <f>Input!H300*(1+vanilla1)^0.5</f>
        <v>0</v>
      </c>
      <c r="I65" s="115">
        <f>Input!I300*(1+vanilla2)^0.5</f>
        <v>0</v>
      </c>
      <c r="J65" s="115">
        <f>Input!J300*(1+vanilla3)^0.5</f>
        <v>0</v>
      </c>
      <c r="K65" s="115">
        <f>Input!K300*(1+vanilla4)^0.5</f>
        <v>0</v>
      </c>
      <c r="L65" s="115">
        <f>Input!L300*(1+vanilla5)^0.5</f>
        <v>0</v>
      </c>
      <c r="M65" s="115">
        <f>Input!M300*(1+vanilla6)^0.5</f>
        <v>0</v>
      </c>
      <c r="N65" s="115">
        <f>Input!N300*(1+vanilla7)^0.5</f>
        <v>0</v>
      </c>
      <c r="O65" s="115">
        <f>Input!O300*(1+vanilla8)^0.5</f>
        <v>0</v>
      </c>
      <c r="P65" s="115">
        <f>Input!P300*(1+vanilla9)^0.5</f>
        <v>0</v>
      </c>
      <c r="Q65" s="115">
        <f>Input!Q300*(1+vanilla10)^0.5</f>
        <v>0</v>
      </c>
      <c r="R65" s="29"/>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104"/>
      <c r="BE65" s="104"/>
      <c r="BF65" s="104"/>
      <c r="BG65" s="104"/>
      <c r="BH65" s="104"/>
      <c r="BI65" s="104"/>
      <c r="BJ65" s="104"/>
      <c r="BK65" s="12"/>
      <c r="BL65" s="12"/>
    </row>
    <row r="66" spans="1:256" hidden="1" outlineLevel="1">
      <c r="A66" s="9"/>
      <c r="B66" s="9"/>
      <c r="C66" s="44"/>
      <c r="D66" s="271">
        <f>Asset23</f>
        <v>0</v>
      </c>
      <c r="E66" s="9"/>
      <c r="F66" s="9"/>
      <c r="G66" s="125"/>
      <c r="H66" s="115">
        <f>Input!H301*(1+vanilla1)^0.5</f>
        <v>0</v>
      </c>
      <c r="I66" s="115">
        <f>Input!I301*(1+vanilla2)^0.5</f>
        <v>0</v>
      </c>
      <c r="J66" s="115">
        <f>Input!J301*(1+vanilla3)^0.5</f>
        <v>0</v>
      </c>
      <c r="K66" s="115">
        <f>Input!K301*(1+vanilla4)^0.5</f>
        <v>0</v>
      </c>
      <c r="L66" s="115">
        <f>Input!L301*(1+vanilla5)^0.5</f>
        <v>0</v>
      </c>
      <c r="M66" s="115">
        <f>Input!M301*(1+vanilla6)^0.5</f>
        <v>0</v>
      </c>
      <c r="N66" s="115">
        <f>Input!N301*(1+vanilla7)^0.5</f>
        <v>0</v>
      </c>
      <c r="O66" s="115">
        <f>Input!O301*(1+vanilla8)^0.5</f>
        <v>0</v>
      </c>
      <c r="P66" s="115">
        <f>Input!P301*(1+vanilla9)^0.5</f>
        <v>0</v>
      </c>
      <c r="Q66" s="115">
        <f>Input!Q301*(1+vanilla10)^0.5</f>
        <v>0</v>
      </c>
      <c r="R66" s="29"/>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104"/>
      <c r="BE66" s="104"/>
      <c r="BF66" s="104"/>
      <c r="BG66" s="104"/>
      <c r="BH66" s="104"/>
      <c r="BI66" s="104"/>
      <c r="BJ66" s="104"/>
      <c r="BK66" s="12"/>
      <c r="BL66" s="12"/>
    </row>
    <row r="67" spans="1:256" hidden="1" outlineLevel="1">
      <c r="A67" s="9"/>
      <c r="B67" s="9"/>
      <c r="C67" s="44"/>
      <c r="D67" s="271">
        <f>Asset24</f>
        <v>0</v>
      </c>
      <c r="E67" s="9"/>
      <c r="F67" s="9"/>
      <c r="G67" s="125"/>
      <c r="H67" s="115">
        <f>Input!H302*(1+vanilla1)^0.5</f>
        <v>0</v>
      </c>
      <c r="I67" s="115">
        <f>Input!I302*(1+vanilla2)^0.5</f>
        <v>0</v>
      </c>
      <c r="J67" s="115">
        <f>Input!J302*(1+vanilla3)^0.5</f>
        <v>0</v>
      </c>
      <c r="K67" s="115">
        <f>Input!K302*(1+vanilla4)^0.5</f>
        <v>0</v>
      </c>
      <c r="L67" s="115">
        <f>Input!L302*(1+vanilla5)^0.5</f>
        <v>0</v>
      </c>
      <c r="M67" s="115">
        <f>Input!M302*(1+vanilla6)^0.5</f>
        <v>0</v>
      </c>
      <c r="N67" s="115">
        <f>Input!N302*(1+vanilla7)^0.5</f>
        <v>0</v>
      </c>
      <c r="O67" s="115">
        <f>Input!O302*(1+vanilla8)^0.5</f>
        <v>0</v>
      </c>
      <c r="P67" s="115">
        <f>Input!P302*(1+vanilla9)^0.5</f>
        <v>0</v>
      </c>
      <c r="Q67" s="115">
        <f>Input!Q302*(1+vanilla10)^0.5</f>
        <v>0</v>
      </c>
      <c r="R67" s="29"/>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104"/>
      <c r="BE67" s="104"/>
      <c r="BF67" s="104"/>
      <c r="BG67" s="104"/>
      <c r="BH67" s="104"/>
      <c r="BI67" s="104"/>
      <c r="BJ67" s="104"/>
      <c r="BK67" s="12"/>
      <c r="BL67" s="12"/>
    </row>
    <row r="68" spans="1:256" hidden="1" outlineLevel="1">
      <c r="A68" s="9"/>
      <c r="B68" s="9"/>
      <c r="C68" s="44"/>
      <c r="D68" s="271">
        <f>Asset25</f>
        <v>0</v>
      </c>
      <c r="E68" s="9"/>
      <c r="F68" s="9"/>
      <c r="G68" s="125"/>
      <c r="H68" s="115">
        <f>Input!H303*(1+vanilla1)^0.5</f>
        <v>0</v>
      </c>
      <c r="I68" s="115">
        <f>Input!I303*(1+vanilla2)^0.5</f>
        <v>0</v>
      </c>
      <c r="J68" s="115">
        <f>Input!J303*(1+vanilla3)^0.5</f>
        <v>0</v>
      </c>
      <c r="K68" s="115">
        <f>Input!K303*(1+vanilla4)^0.5</f>
        <v>0</v>
      </c>
      <c r="L68" s="115">
        <f>Input!L303*(1+vanilla5)^0.5</f>
        <v>0</v>
      </c>
      <c r="M68" s="115">
        <f>Input!M303*(1+vanilla6)^0.5</f>
        <v>0</v>
      </c>
      <c r="N68" s="115">
        <f>Input!N303*(1+vanilla7)^0.5</f>
        <v>0</v>
      </c>
      <c r="O68" s="115">
        <f>Input!O303*(1+vanilla8)^0.5</f>
        <v>0</v>
      </c>
      <c r="P68" s="115">
        <f>Input!P303*(1+vanilla9)^0.5</f>
        <v>0</v>
      </c>
      <c r="Q68" s="115">
        <f>Input!Q303*(1+vanilla10)^0.5</f>
        <v>0</v>
      </c>
      <c r="R68" s="29"/>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104"/>
      <c r="BE68" s="104"/>
      <c r="BF68" s="104"/>
      <c r="BG68" s="104"/>
      <c r="BH68" s="104"/>
      <c r="BI68" s="104"/>
      <c r="BJ68" s="104"/>
      <c r="BK68" s="12"/>
      <c r="BL68" s="12"/>
    </row>
    <row r="69" spans="1:256" hidden="1" outlineLevel="1">
      <c r="A69" s="9"/>
      <c r="B69" s="9"/>
      <c r="C69" s="44"/>
      <c r="D69" s="271">
        <f>Asset26</f>
        <v>0</v>
      </c>
      <c r="E69" s="9"/>
      <c r="F69" s="9"/>
      <c r="G69" s="125"/>
      <c r="H69" s="115">
        <f>Input!H304*(1+vanilla1)^0.5</f>
        <v>0</v>
      </c>
      <c r="I69" s="115">
        <f>Input!I304*(1+vanilla2)^0.5</f>
        <v>0</v>
      </c>
      <c r="J69" s="115">
        <f>Input!J304*(1+vanilla3)^0.5</f>
        <v>0</v>
      </c>
      <c r="K69" s="115">
        <f>Input!K304*(1+vanilla4)^0.5</f>
        <v>0</v>
      </c>
      <c r="L69" s="115">
        <f>Input!L304*(1+vanilla5)^0.5</f>
        <v>0</v>
      </c>
      <c r="M69" s="115">
        <f>Input!M304*(1+vanilla6)^0.5</f>
        <v>0</v>
      </c>
      <c r="N69" s="115">
        <f>Input!N304*(1+vanilla7)^0.5</f>
        <v>0</v>
      </c>
      <c r="O69" s="115">
        <f>Input!O304*(1+vanilla8)^0.5</f>
        <v>0</v>
      </c>
      <c r="P69" s="115">
        <f>Input!P304*(1+vanilla9)^0.5</f>
        <v>0</v>
      </c>
      <c r="Q69" s="115">
        <f>Input!Q304*(1+vanilla10)^0.5</f>
        <v>0</v>
      </c>
      <c r="R69" s="29"/>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104"/>
      <c r="BE69" s="104"/>
      <c r="BF69" s="104"/>
      <c r="BG69" s="104"/>
      <c r="BH69" s="104"/>
      <c r="BI69" s="104"/>
      <c r="BJ69" s="104"/>
      <c r="BK69" s="12"/>
      <c r="BL69" s="12"/>
    </row>
    <row r="70" spans="1:256" hidden="1" outlineLevel="1">
      <c r="A70" s="9"/>
      <c r="B70" s="9"/>
      <c r="C70" s="44"/>
      <c r="D70" s="271">
        <f>Asset27</f>
        <v>0</v>
      </c>
      <c r="E70" s="9"/>
      <c r="F70" s="9"/>
      <c r="G70" s="125"/>
      <c r="H70" s="115">
        <f>Input!H305*(1+vanilla1)^0.5</f>
        <v>0</v>
      </c>
      <c r="I70" s="115">
        <f>Input!I305*(1+vanilla2)^0.5</f>
        <v>0</v>
      </c>
      <c r="J70" s="115">
        <f>Input!J305*(1+vanilla3)^0.5</f>
        <v>0</v>
      </c>
      <c r="K70" s="115">
        <f>Input!K305*(1+vanilla4)^0.5</f>
        <v>0</v>
      </c>
      <c r="L70" s="115">
        <f>Input!L305*(1+vanilla5)^0.5</f>
        <v>0</v>
      </c>
      <c r="M70" s="115">
        <f>Input!M305*(1+vanilla6)^0.5</f>
        <v>0</v>
      </c>
      <c r="N70" s="115">
        <f>Input!N305*(1+vanilla7)^0.5</f>
        <v>0</v>
      </c>
      <c r="O70" s="115">
        <f>Input!O305*(1+vanilla8)^0.5</f>
        <v>0</v>
      </c>
      <c r="P70" s="115">
        <f>Input!P305*(1+vanilla9)^0.5</f>
        <v>0</v>
      </c>
      <c r="Q70" s="115">
        <f>Input!Q305*(1+vanilla10)^0.5</f>
        <v>0</v>
      </c>
      <c r="R70" s="29"/>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104"/>
      <c r="BE70" s="104"/>
      <c r="BF70" s="104"/>
      <c r="BG70" s="104"/>
      <c r="BH70" s="104"/>
      <c r="BI70" s="104"/>
      <c r="BJ70" s="104"/>
      <c r="BK70" s="12"/>
      <c r="BL70" s="12"/>
    </row>
    <row r="71" spans="1:256" hidden="1" outlineLevel="1">
      <c r="A71" s="9"/>
      <c r="B71" s="9"/>
      <c r="C71" s="44"/>
      <c r="D71" s="271">
        <f>Asset28</f>
        <v>0</v>
      </c>
      <c r="E71" s="9"/>
      <c r="F71" s="9"/>
      <c r="G71" s="125"/>
      <c r="H71" s="115">
        <f>Input!H306*(1+vanilla1)^0.5</f>
        <v>0</v>
      </c>
      <c r="I71" s="115">
        <f>Input!I306*(1+vanilla2)^0.5</f>
        <v>0</v>
      </c>
      <c r="J71" s="115">
        <f>Input!J306*(1+vanilla3)^0.5</f>
        <v>0</v>
      </c>
      <c r="K71" s="115">
        <f>Input!K306*(1+vanilla4)^0.5</f>
        <v>0</v>
      </c>
      <c r="L71" s="115">
        <f>Input!L306*(1+vanilla5)^0.5</f>
        <v>0</v>
      </c>
      <c r="M71" s="115">
        <f>Input!M306*(1+vanilla6)^0.5</f>
        <v>0</v>
      </c>
      <c r="N71" s="115">
        <f>Input!N306*(1+vanilla7)^0.5</f>
        <v>0</v>
      </c>
      <c r="O71" s="115">
        <f>Input!O306*(1+vanilla8)^0.5</f>
        <v>0</v>
      </c>
      <c r="P71" s="115">
        <f>Input!P306*(1+vanilla9)^0.5</f>
        <v>0</v>
      </c>
      <c r="Q71" s="115">
        <f>Input!Q306*(1+vanilla10)^0.5</f>
        <v>0</v>
      </c>
      <c r="R71" s="29"/>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104"/>
      <c r="BE71" s="104"/>
      <c r="BF71" s="104"/>
      <c r="BG71" s="104"/>
      <c r="BH71" s="104"/>
      <c r="BI71" s="104"/>
      <c r="BJ71" s="104"/>
      <c r="BK71" s="12"/>
      <c r="BL71" s="12"/>
    </row>
    <row r="72" spans="1:256" hidden="1" outlineLevel="1">
      <c r="A72" s="9"/>
      <c r="B72" s="9"/>
      <c r="C72" s="44"/>
      <c r="D72" s="271">
        <f>Asset29</f>
        <v>0</v>
      </c>
      <c r="E72" s="9"/>
      <c r="F72" s="9"/>
      <c r="G72" s="125"/>
      <c r="H72" s="115">
        <f>Input!H307*(1+vanilla1)^0.5</f>
        <v>0</v>
      </c>
      <c r="I72" s="115">
        <f>Input!I307*(1+vanilla2)^0.5</f>
        <v>0</v>
      </c>
      <c r="J72" s="115">
        <f>Input!J307*(1+vanilla3)^0.5</f>
        <v>0</v>
      </c>
      <c r="K72" s="115">
        <f>Input!K307*(1+vanilla4)^0.5</f>
        <v>0</v>
      </c>
      <c r="L72" s="115">
        <f>Input!L307*(1+vanilla5)^0.5</f>
        <v>0</v>
      </c>
      <c r="M72" s="115">
        <f>Input!M307*(1+vanilla6)^0.5</f>
        <v>0</v>
      </c>
      <c r="N72" s="115">
        <f>Input!N307*(1+vanilla7)^0.5</f>
        <v>0</v>
      </c>
      <c r="O72" s="115">
        <f>Input!O307*(1+vanilla8)^0.5</f>
        <v>0</v>
      </c>
      <c r="P72" s="115">
        <f>Input!P307*(1+vanilla9)^0.5</f>
        <v>0</v>
      </c>
      <c r="Q72" s="115">
        <f>Input!Q307*(1+vanilla10)^0.5</f>
        <v>0</v>
      </c>
      <c r="R72" s="29"/>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104"/>
      <c r="BE72" s="104"/>
      <c r="BF72" s="104"/>
      <c r="BG72" s="104"/>
      <c r="BH72" s="104"/>
      <c r="BI72" s="104"/>
      <c r="BJ72" s="104"/>
      <c r="BK72" s="12"/>
      <c r="BL72" s="12"/>
    </row>
    <row r="73" spans="1:256" hidden="1" outlineLevel="1">
      <c r="A73" s="9"/>
      <c r="B73" s="9"/>
      <c r="C73" s="44"/>
      <c r="D73" s="271">
        <f>Asset30</f>
        <v>0</v>
      </c>
      <c r="E73" s="9"/>
      <c r="F73" s="9"/>
      <c r="G73" s="125"/>
      <c r="H73" s="115">
        <f>Input!H308*(1+vanilla1)^0.5</f>
        <v>0</v>
      </c>
      <c r="I73" s="115">
        <f>Input!I308*(1+vanilla2)^0.5</f>
        <v>0</v>
      </c>
      <c r="J73" s="115">
        <f>Input!J308*(1+vanilla3)^0.5</f>
        <v>0</v>
      </c>
      <c r="K73" s="115">
        <f>Input!K308*(1+vanilla4)^0.5</f>
        <v>0</v>
      </c>
      <c r="L73" s="115">
        <f>Input!L308*(1+vanilla5)^0.5</f>
        <v>0</v>
      </c>
      <c r="M73" s="115">
        <f>Input!M308*(1+vanilla6)^0.5</f>
        <v>0</v>
      </c>
      <c r="N73" s="115">
        <f>Input!N308*(1+vanilla7)^0.5</f>
        <v>0</v>
      </c>
      <c r="O73" s="115">
        <f>Input!O308*(1+vanilla8)^0.5</f>
        <v>0</v>
      </c>
      <c r="P73" s="115">
        <f>Input!P308*(1+vanilla9)^0.5</f>
        <v>0</v>
      </c>
      <c r="Q73" s="115">
        <f>Input!Q308*(1+vanilla10)^0.5</f>
        <v>0</v>
      </c>
      <c r="R73" s="29"/>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104"/>
      <c r="BE73" s="104"/>
      <c r="BF73" s="104"/>
      <c r="BG73" s="104"/>
      <c r="BH73" s="104"/>
      <c r="BI73" s="104"/>
      <c r="BJ73" s="104"/>
      <c r="BK73" s="12"/>
      <c r="BL73" s="12"/>
    </row>
    <row r="74" spans="1:256" collapsed="1">
      <c r="A74" s="9"/>
      <c r="B74" s="9"/>
      <c r="C74" s="44"/>
      <c r="D74" s="131"/>
      <c r="E74" s="9"/>
      <c r="F74" s="9"/>
      <c r="G74" s="125"/>
      <c r="H74" s="115"/>
      <c r="I74" s="115"/>
      <c r="J74" s="115"/>
      <c r="K74" s="115"/>
      <c r="L74" s="115"/>
      <c r="M74" s="115"/>
      <c r="N74" s="115"/>
      <c r="O74" s="115"/>
      <c r="P74" s="115"/>
      <c r="Q74" s="115"/>
      <c r="R74" s="29"/>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104"/>
      <c r="BE74" s="104"/>
      <c r="BF74" s="104"/>
      <c r="BG74" s="104"/>
      <c r="BH74" s="104"/>
      <c r="BI74" s="104"/>
      <c r="BJ74" s="104"/>
      <c r="BK74" s="12"/>
      <c r="BL74" s="12"/>
    </row>
    <row r="75" spans="1:256">
      <c r="A75" s="9"/>
      <c r="B75" s="9"/>
      <c r="C75" s="9" t="s">
        <v>9</v>
      </c>
      <c r="D75" s="9"/>
      <c r="E75" s="9"/>
      <c r="F75" s="9"/>
      <c r="G75" s="119"/>
      <c r="H75" s="470">
        <f>H88+H101+H114+H127+H140+H153+H166+H179+H192+H205+H218+H231+H244+H257+H270+H283+H296+H309+H322+H335+H348+H361+H374+H387+H400+H413+H426+H439+H452+H465</f>
        <v>-143.36666593226283</v>
      </c>
      <c r="I75" s="119">
        <f>I88+I101+I114+I127+I140+I153+I166+I179+I192+I205+I218+I231+I244+I257+I270+I283+I296+I309+I322+I335+I348+I361+I374+I387+I400+I413+I426+I439+I452+I465</f>
        <v>-107.98929243388288</v>
      </c>
      <c r="J75" s="119">
        <f t="shared" ref="J75:P75" si="3">J88+J101+J114+J127+J140+J153+J166+J179+J192+J205+J218+J231+J244+J257+J270+J283+J296+J309+J322+J335+J348+J361+J374+J387+J400+J413+J426+J439+J452+J465</f>
        <v>-123.90443185366779</v>
      </c>
      <c r="K75" s="119">
        <f t="shared" si="3"/>
        <v>-127.04186621733173</v>
      </c>
      <c r="L75" s="119">
        <f t="shared" si="3"/>
        <v>-129.02326334349934</v>
      </c>
      <c r="M75" s="119">
        <f>M88+M101+M114+M127+M140+M153+M166+M179+M192+M205+M218+M231+M244+M257+M270+M283+M296+M309+M322+M335+M348+M361+M374+M387+M400+M413+M426+M439+M452+M465</f>
        <v>0</v>
      </c>
      <c r="N75" s="119">
        <f t="shared" si="3"/>
        <v>0</v>
      </c>
      <c r="O75" s="119">
        <f t="shared" si="3"/>
        <v>0</v>
      </c>
      <c r="P75" s="119">
        <f t="shared" si="3"/>
        <v>0</v>
      </c>
      <c r="Q75" s="119">
        <f>Q88+Q101+Q114+Q127+Q140+Q153+Q166+Q179+Q192+Q205+Q218+Q231+Q244+Q257+Q270+Q283+Q296+Q309+Q322+Q335+Q348+Q361+Q374+Q387+Q400+Q413+Q426+Q439+Q452+Q465</f>
        <v>0</v>
      </c>
      <c r="R75" s="9"/>
      <c r="S75" s="9"/>
      <c r="U75" s="9"/>
      <c r="V75" s="9"/>
      <c r="W75" s="9"/>
      <c r="X75" s="9"/>
      <c r="Y75" s="9"/>
      <c r="Z75" s="9"/>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9"/>
      <c r="BE75" s="9"/>
      <c r="BF75" s="9"/>
      <c r="BG75" s="9"/>
      <c r="BH75" s="9"/>
      <c r="BI75" s="9"/>
      <c r="BJ75" s="9"/>
      <c r="BK75" s="9"/>
      <c r="BL75" s="9"/>
    </row>
    <row r="76" spans="1:256" s="5" customFormat="1" ht="12.75" hidden="1" customHeight="1" outlineLevel="2">
      <c r="A76" s="9"/>
      <c r="B76" s="9"/>
      <c r="C76" s="273" t="str">
        <f>Asset1</f>
        <v>Subtransmission</v>
      </c>
      <c r="D76" s="31"/>
      <c r="E76" s="32" t="s">
        <v>5</v>
      </c>
      <c r="F76" s="31"/>
      <c r="G76" s="33"/>
      <c r="H76" s="329">
        <f>IF(H$3&gt;A1remlife,A1value-$G$630-SUM($G76:G76),IF(A1remlife="N/A","n/a",(A1value-$G$630)/A1remlife))</f>
        <v>6.84850116405884</v>
      </c>
      <c r="I76" s="72">
        <f>IF(I$3&gt;A1remlife,A1value-$G$630-SUM($G76:H76),IF(A1remlife="N/A","n/a",(A1value-$G$630)/A1remlife))</f>
        <v>6.84850116405884</v>
      </c>
      <c r="J76" s="72">
        <f>IF(J$3&gt;A1remlife,A1value-$G$630-SUM($G76:I76),IF(A1remlife="N/A","n/a",(A1value-$G$630)/A1remlife))</f>
        <v>6.84850116405884</v>
      </c>
      <c r="K76" s="72">
        <f>IF(K$3&gt;A1remlife,A1value-$G$630-SUM($G76:J76),IF(A1remlife="N/A","n/a",(A1value-$G$630)/A1remlife))</f>
        <v>6.84850116405884</v>
      </c>
      <c r="L76" s="72">
        <f>IF(L$3&gt;A1remlife,A1value-$G$630-SUM($G76:K76),IF(A1remlife="N/A","n/a",(A1value-$G$630)/A1remlife))</f>
        <v>6.84850116405884</v>
      </c>
      <c r="M76" s="72">
        <f>IF(M$3&gt;A1remlife,A1value-$G$630-SUM($G76:L76),IF(A1remlife="N/A","n/a",(A1value-$G$630)/A1remlife))</f>
        <v>6.84850116405884</v>
      </c>
      <c r="N76" s="72">
        <f>IF(N$3&gt;A1remlife,A1value-$G$630-SUM($G76:M76),IF(A1remlife="N/A","n/a",(A1value-$G$630)/A1remlife))</f>
        <v>6.84850116405884</v>
      </c>
      <c r="O76" s="72">
        <f>IF(O$3&gt;A1remlife,A1value-$G$630-SUM($G76:N76),IF(A1remlife="N/A","n/a",(A1value-$G$630)/A1remlife))</f>
        <v>6.84850116405884</v>
      </c>
      <c r="P76" s="72">
        <f>IF(P$3&gt;A1remlife,A1value-$G$630-SUM($G76:O76),IF(A1remlife="N/A","n/a",(A1value-$G$630)/A1remlife))</f>
        <v>6.84850116405884</v>
      </c>
      <c r="Q76" s="72">
        <f>IF(Q$3&gt;A1remlife,A1value-$G$630-SUM($G76:P76),IF(A1remlife="N/A","n/a",(A1value-$G$630)/A1remlife))</f>
        <v>6.84850116405884</v>
      </c>
      <c r="R76" s="34"/>
      <c r="S76" s="105"/>
      <c r="T76" s="35"/>
      <c r="U76" s="105"/>
      <c r="V76" s="105"/>
      <c r="W76" s="105"/>
      <c r="X76" s="105"/>
      <c r="Y76" s="105"/>
      <c r="Z76" s="105"/>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6"/>
      <c r="D77" s="25"/>
      <c r="E77" s="536" t="s">
        <v>59</v>
      </c>
      <c r="F77" s="91"/>
      <c r="G77" s="27"/>
      <c r="H77" s="120"/>
      <c r="I77" s="120"/>
      <c r="J77" s="120"/>
      <c r="K77" s="120"/>
      <c r="L77" s="120"/>
      <c r="M77" s="120"/>
      <c r="N77" s="45"/>
      <c r="O77" s="45"/>
      <c r="P77" s="45"/>
      <c r="Q77" s="45"/>
      <c r="R77" s="45"/>
      <c r="S77" s="105"/>
      <c r="T77" s="105"/>
      <c r="U77" s="105"/>
      <c r="V77" s="105"/>
      <c r="W77" s="105"/>
      <c r="X77" s="105"/>
      <c r="Y77" s="105"/>
      <c r="Z77" s="105"/>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6"/>
      <c r="D78" s="25"/>
      <c r="E78" s="537"/>
      <c r="F78" s="91">
        <v>1</v>
      </c>
      <c r="G78" s="27"/>
      <c r="H78" s="149"/>
      <c r="I78" s="340">
        <f>IF(A1stdlife="n/a","n/a",IF(I$3&gt;(A1stdlife+$F78),(Input!$H$279*(1+vanilla1)^0.5)-SUM($H78:H78),(Input!$H$279*(1+vanilla1)^0.5)/A1stdlife))</f>
        <v>0.50381366632062241</v>
      </c>
      <c r="J78" s="73">
        <f>IF(A1stdlife="n/a","n/a",IF(J$3&gt;(A1stdlife+$F78),(Input!$H$279*(1+vanilla1)^0.5)-SUM($H78:I78),(Input!$H$279*(1+vanilla1)^0.5)/A1stdlife))</f>
        <v>0.50381366632062241</v>
      </c>
      <c r="K78" s="73">
        <f>IF(A1stdlife="n/a","n/a",IF(K$3&gt;(A1stdlife+$F78),(Input!$H$279*(1+vanilla1)^0.5)-SUM($H78:J78),(Input!$H$279*(1+vanilla1)^0.5)/A1stdlife))</f>
        <v>0.50381366632062241</v>
      </c>
      <c r="L78" s="73">
        <f>IF(A1stdlife="n/a","n/a",IF(L$3&gt;(A1stdlife+$F78),(Input!$H$279*(1+vanilla1)^0.5)-SUM($H78:K78),(Input!$H$279*(1+vanilla1)^0.5)/A1stdlife))</f>
        <v>0.50381366632062241</v>
      </c>
      <c r="M78" s="73">
        <f>IF(A1stdlife="n/a","n/a",IF(M$3&gt;(A1stdlife+$F78),(Input!$H$279*(1+vanilla1)^0.5)-SUM($H78:L78),(Input!$H$279*(1+vanilla1)^0.5)/A1stdlife))</f>
        <v>0.50381366632062241</v>
      </c>
      <c r="N78" s="73">
        <f>IF(A1stdlife="n/a","n/a",IF(N$3&gt;(A1stdlife+$F78),(Input!$H$279*(1+vanilla1)^0.5)-SUM($H78:M78),(Input!$H$279*(1+vanilla1)^0.5)/A1stdlife))</f>
        <v>0.50381366632062241</v>
      </c>
      <c r="O78" s="73">
        <f>IF(A1stdlife="n/a","n/a",IF(O$3&gt;(A1stdlife+$F78),(Input!$H$279*(1+vanilla1)^0.5)-SUM($H78:N78),(Input!$H$279*(1+vanilla1)^0.5)/A1stdlife))</f>
        <v>0.50381366632062241</v>
      </c>
      <c r="P78" s="73">
        <f>IF(A1stdlife="n/a","n/a",IF(P$3&gt;(A1stdlife+$F78),(Input!$H$279*(1+vanilla1)^0.5)-SUM($H78:O78),(Input!$H$279*(1+vanilla1)^0.5)/A1stdlife))</f>
        <v>0.50381366632062241</v>
      </c>
      <c r="Q78" s="73">
        <f>IF(A1stdlife="n/a","n/a",IF(Q$3&gt;(A1stdlife+$F78),(Input!$H$279*(1+vanilla1)^0.5)-SUM($H78:P78),(Input!$H$279*(1+vanilla1)^0.5)/A1stdlife))</f>
        <v>0.50381366632062241</v>
      </c>
      <c r="R78" s="30"/>
      <c r="S78" s="105"/>
      <c r="T78" s="105"/>
      <c r="U78" s="105"/>
      <c r="V78" s="105"/>
      <c r="W78" s="105"/>
      <c r="X78" s="105"/>
      <c r="Y78" s="105"/>
      <c r="Z78" s="105"/>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6"/>
      <c r="D79" s="25"/>
      <c r="E79" s="537"/>
      <c r="F79" s="91">
        <v>2</v>
      </c>
      <c r="G79" s="27"/>
      <c r="H79" s="150"/>
      <c r="I79" s="151"/>
      <c r="J79" s="340">
        <f>IF(A1stdlife="n/a","n/a",IF(J$3&gt;(A1stdlife+$F79),(Input!$I$279*(1+vanilla2)^0.5)-SUM($I79:I79),(Input!$I$279*(1+vanilla2)^0.5)/A1stdlife))</f>
        <v>0.96859395380050395</v>
      </c>
      <c r="K79" s="73">
        <f>IF(A1stdlife="n/a","n/a",IF(K$3&gt;(A1stdlife+$F79),(Input!$I$279*(1+vanilla2)^0.5)-SUM($I79:J79),(Input!$I$279*(1+vanilla2)^0.5)/A1stdlife))</f>
        <v>0.96859395380050395</v>
      </c>
      <c r="L79" s="73">
        <f>IF(A1stdlife="n/a","n/a",IF(L$3&gt;(A1stdlife+$F79),(Input!$I$279*(1+vanilla2)^0.5)-SUM($I79:K79),(Input!$I$279*(1+vanilla2)^0.5)/A1stdlife))</f>
        <v>0.96859395380050395</v>
      </c>
      <c r="M79" s="73">
        <f>IF(A1stdlife="n/a","n/a",IF(M$3&gt;(A1stdlife+$F79),(Input!$I$279*(1+vanilla2)^0.5)-SUM($I79:L79),(Input!$I$279*(1+vanilla2)^0.5)/A1stdlife))</f>
        <v>0.96859395380050395</v>
      </c>
      <c r="N79" s="73">
        <f>IF(A1stdlife="n/a","n/a",IF(N$3&gt;(A1stdlife+$F79),(Input!$I$279*(1+vanilla2)^0.5)-SUM($I79:M79),(Input!$I$279*(1+vanilla2)^0.5)/A1stdlife))</f>
        <v>0.96859395380050395</v>
      </c>
      <c r="O79" s="73">
        <f>IF(A1stdlife="n/a","n/a",IF(O$3&gt;(A1stdlife+$F79),(Input!$I$279*(1+vanilla2)^0.5)-SUM($I79:N79),(Input!$I$279*(1+vanilla2)^0.5)/A1stdlife))</f>
        <v>0.96859395380050395</v>
      </c>
      <c r="P79" s="73">
        <f>IF(A1stdlife="n/a","n/a",IF(P$3&gt;(A1stdlife+$F79),(Input!$I$279*(1+vanilla2)^0.5)-SUM($I79:O79),(Input!$I$279*(1+vanilla2)^0.5)/A1stdlife))</f>
        <v>0.96859395380050395</v>
      </c>
      <c r="Q79" s="73">
        <f>IF(A1stdlife="n/a","n/a",IF(Q$3&gt;(A1stdlife+$F79),(Input!$I$279*(1+vanilla2)^0.5)-SUM($I79:P79),(Input!$I$279*(1+vanilla2)^0.5)/A1stdlife))</f>
        <v>0.96859395380050395</v>
      </c>
      <c r="R79" s="30"/>
      <c r="S79" s="105"/>
      <c r="T79" s="105"/>
      <c r="U79" s="105"/>
      <c r="V79" s="105"/>
      <c r="W79" s="105"/>
      <c r="X79" s="105"/>
      <c r="Y79" s="105"/>
      <c r="Z79" s="105"/>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6"/>
      <c r="D80" s="25"/>
      <c r="E80" s="537"/>
      <c r="F80" s="91">
        <v>3</v>
      </c>
      <c r="G80" s="27"/>
      <c r="H80" s="150"/>
      <c r="I80" s="152"/>
      <c r="J80" s="151"/>
      <c r="K80" s="73">
        <f>IF(A1stdlife="n/a","n/a",IF(K$3&gt;(A1stdlife+$F80),(Input!$J$279*(1+vanilla3)^0.5)-SUM($J80:J80),(Input!$J$279*(1+vanilla3)^0.5)/A1stdlife))</f>
        <v>1.3647079052479647</v>
      </c>
      <c r="L80" s="73">
        <f>IF(A1stdlife="n/a","n/a",IF(L$3&gt;(A1stdlife+$F80),(Input!$J$279*(1+vanilla3)^0.5)-SUM($J80:K80),(Input!$J$279*(1+vanilla3)^0.5)/A1stdlife))</f>
        <v>1.3647079052479647</v>
      </c>
      <c r="M80" s="73">
        <f>IF(A1stdlife="n/a","n/a",IF(M$3&gt;(A1stdlife+$F80),(Input!$J$279*(1+vanilla3)^0.5)-SUM($J80:L80),(Input!$J$279*(1+vanilla3)^0.5)/A1stdlife))</f>
        <v>1.3647079052479647</v>
      </c>
      <c r="N80" s="73">
        <f>IF(A1stdlife="n/a","n/a",IF(N$3&gt;(A1stdlife+$F80),(Input!$J$279*(1+vanilla3)^0.5)-SUM($J80:M80),(Input!$J$279*(1+vanilla3)^0.5)/A1stdlife))</f>
        <v>1.3647079052479647</v>
      </c>
      <c r="O80" s="73">
        <f>IF(A1stdlife="n/a","n/a",IF(O$3&gt;(A1stdlife+$F80),(Input!$J$279*(1+vanilla3)^0.5)-SUM($J80:N80),(Input!$J$279*(1+vanilla3)^0.5)/A1stdlife))</f>
        <v>1.3647079052479647</v>
      </c>
      <c r="P80" s="73">
        <f>IF(A1stdlife="n/a","n/a",IF(P$3&gt;(A1stdlife+$F80),(Input!$J$279*(1+vanilla3)^0.5)-SUM($J80:O80),(Input!$J$279*(1+vanilla3)^0.5)/A1stdlife))</f>
        <v>1.3647079052479647</v>
      </c>
      <c r="Q80" s="73">
        <f>IF(A1stdlife="n/a","n/a",IF(Q$3&gt;(A1stdlife+$F80),(Input!$J$279*(1+vanilla3)^0.5)-SUM($J80:P80),(Input!$J$279*(1+vanilla3)^0.5)/A1stdlife))</f>
        <v>1.3647079052479647</v>
      </c>
      <c r="R80" s="30"/>
      <c r="S80" s="105"/>
      <c r="T80" s="105"/>
      <c r="U80" s="105"/>
      <c r="V80" s="105"/>
      <c r="W80" s="105"/>
      <c r="X80" s="105"/>
      <c r="Y80" s="105"/>
      <c r="Z80" s="105"/>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6"/>
      <c r="D81" s="25"/>
      <c r="E81" s="537"/>
      <c r="F81" s="91">
        <v>4</v>
      </c>
      <c r="G81" s="27"/>
      <c r="H81" s="150"/>
      <c r="I81" s="152"/>
      <c r="J81" s="152"/>
      <c r="K81" s="151"/>
      <c r="L81" s="73">
        <f>IF(A1stdlife="n/a","n/a",IF(L$3&gt;(A1stdlife+$F81),(Input!$K$279*(1+vanilla4)^0.5)-SUM($K81:K81),(Input!$K$279*(1+vanilla4)^0.5)/A1stdlife))</f>
        <v>1.3224794132840263</v>
      </c>
      <c r="M81" s="73">
        <f>IF(A1stdlife="n/a","n/a",IF(M$3&gt;(A1stdlife+$F81),(Input!$K$279*(1+vanilla4)^0.5)-SUM($K81:L81),(Input!$K$279*(1+vanilla4)^0.5)/A1stdlife))</f>
        <v>1.3224794132840263</v>
      </c>
      <c r="N81" s="73">
        <f>IF(A1stdlife="n/a","n/a",IF(N$3&gt;(A1stdlife+$F81),(Input!$K$279*(1+vanilla4)^0.5)-SUM($K81:M81),(Input!$K$279*(1+vanilla4)^0.5)/A1stdlife))</f>
        <v>1.3224794132840263</v>
      </c>
      <c r="O81" s="73">
        <f>IF(A1stdlife="n/a","n/a",IF(O$3&gt;(A1stdlife+$F81),(Input!$K$279*(1+vanilla4)^0.5)-SUM($K81:N81),(Input!$K$279*(1+vanilla4)^0.5)/A1stdlife))</f>
        <v>1.3224794132840263</v>
      </c>
      <c r="P81" s="73">
        <f>IF(A1stdlife="n/a","n/a",IF(P$3&gt;(A1stdlife+$F81),(Input!$K$279*(1+vanilla4)^0.5)-SUM($K81:O81),(Input!$K$279*(1+vanilla4)^0.5)/A1stdlife))</f>
        <v>1.3224794132840263</v>
      </c>
      <c r="Q81" s="73">
        <f>IF(A1stdlife="n/a","n/a",IF(Q$3&gt;(A1stdlife+$F81),(Input!$K$279*(1+vanilla4)^0.5)-SUM($K81:P81),(Input!$K$279*(1+vanilla4)^0.5)/A1stdlife))</f>
        <v>1.3224794132840263</v>
      </c>
      <c r="R81" s="30"/>
      <c r="S81" s="105"/>
      <c r="T81" s="105"/>
      <c r="U81" s="105"/>
      <c r="V81" s="105"/>
      <c r="W81" s="105"/>
      <c r="X81" s="105"/>
      <c r="Y81" s="105"/>
      <c r="Z81" s="105"/>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6"/>
      <c r="D82" s="25"/>
      <c r="E82" s="537"/>
      <c r="F82" s="91">
        <v>5</v>
      </c>
      <c r="G82" s="27"/>
      <c r="H82" s="226"/>
      <c r="I82" s="227"/>
      <c r="J82" s="227"/>
      <c r="K82" s="227"/>
      <c r="L82" s="228"/>
      <c r="M82" s="30">
        <f>IF(A1stdlife="n/a","n/a",IF(M$3&gt;(A1stdlife+$F82),(Input!$L$279*(1+vanilla5)^0.5)-SUM($L82:L82),(Input!$L$279*(1+vanilla5)^0.5)/A1stdlife))</f>
        <v>1.2893830614471136</v>
      </c>
      <c r="N82" s="30">
        <f>IF(A1stdlife="n/a","n/a",IF(N$3&gt;(A1stdlife+$F82),(Input!$L$279*(1+vanilla5)^0.5)-SUM($L82:M82),(Input!$L$279*(1+vanilla5)^0.5)/A1stdlife))</f>
        <v>1.2893830614471136</v>
      </c>
      <c r="O82" s="30">
        <f>IF(A1stdlife="n/a","n/a",IF(O$3&gt;(A1stdlife+$F82),(Input!$L$279*(1+vanilla5)^0.5)-SUM($L82:N82),(Input!$L$279*(1+vanilla5)^0.5)/A1stdlife))</f>
        <v>1.2893830614471136</v>
      </c>
      <c r="P82" s="30">
        <f>IF(A1stdlife="n/a","n/a",IF(P$3&gt;(A1stdlife+$F82),(Input!$L$279*(1+vanilla5)^0.5)-SUM($L82:O82),(Input!$L$279*(1+vanilla5)^0.5)/A1stdlife))</f>
        <v>1.2893830614471136</v>
      </c>
      <c r="Q82" s="30">
        <f>IF(A1stdlife="n/a","n/a",IF(Q$3&gt;(A1stdlife+$F82),(Input!$L$279*(1+vanilla5)^0.5)-SUM($L82:P82),(Input!$L$279*(1+vanilla5)^0.5)/A1stdlife))</f>
        <v>1.2893830614471136</v>
      </c>
      <c r="R82" s="30"/>
      <c r="S82" s="105"/>
      <c r="T82" s="105"/>
      <c r="U82" s="105"/>
      <c r="V82" s="105"/>
      <c r="W82" s="105"/>
      <c r="X82" s="105"/>
      <c r="Y82" s="105"/>
      <c r="Z82" s="105"/>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6"/>
      <c r="D83" s="25"/>
      <c r="E83" s="537"/>
      <c r="F83" s="91">
        <v>6</v>
      </c>
      <c r="G83" s="27"/>
      <c r="H83" s="226"/>
      <c r="I83" s="227"/>
      <c r="J83" s="227"/>
      <c r="K83" s="227"/>
      <c r="L83" s="227"/>
      <c r="M83" s="228"/>
      <c r="N83" s="30">
        <f>IF(A1stdlife="n/a","n/a",IF(N$3&gt;(A1stdlife+$F83),(Input!$M$279*(1+vanilla6)^0.5)-SUM($M83:M83),(Input!$M$279*(1+vanilla6)^0.5)/A1stdlife))</f>
        <v>0</v>
      </c>
      <c r="O83" s="30">
        <f>IF(A1stdlife="n/a","n/a",IF(O$3&gt;(A1stdlife+$F83),(Input!$M$279*(1+vanilla6)^0.5)-SUM($M83:N83),(Input!$M$279*(1+vanilla6)^0.5)/A1stdlife))</f>
        <v>0</v>
      </c>
      <c r="P83" s="30">
        <f>IF(A1stdlife="n/a","n/a",IF(P$3&gt;(A1stdlife+$F83),(Input!$M$279*(1+vanilla6)^0.5)-SUM($M83:O83),(Input!$M$279*(1+vanilla6)^0.5)/A1stdlife))</f>
        <v>0</v>
      </c>
      <c r="Q83" s="30">
        <f>IF(A1stdlife="n/a","n/a",IF(Q$3&gt;(A1stdlife+$F83),(Input!$M$279*(1+vanilla6)^0.5)-SUM($M83:P83),(Input!$M$279*(1+vanilla6)^0.5)/A1stdlife))</f>
        <v>0</v>
      </c>
      <c r="R83" s="30"/>
      <c r="S83" s="105"/>
      <c r="T83" s="105"/>
      <c r="U83" s="105"/>
      <c r="V83" s="105"/>
      <c r="W83" s="105"/>
      <c r="X83" s="105"/>
      <c r="Y83" s="105"/>
      <c r="Z83" s="105"/>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6"/>
      <c r="D84" s="25"/>
      <c r="E84" s="537"/>
      <c r="F84" s="91">
        <v>7</v>
      </c>
      <c r="G84" s="27"/>
      <c r="H84" s="226"/>
      <c r="I84" s="227"/>
      <c r="J84" s="227"/>
      <c r="K84" s="227"/>
      <c r="L84" s="227"/>
      <c r="M84" s="227"/>
      <c r="N84" s="228"/>
      <c r="O84" s="30">
        <f>IF(A1stdlife="n/a","n/a",IF(O$3&gt;(A1stdlife+$F84),(Input!$N$279*(1+vanilla7)^0.5)-SUM($N84:N84),(Input!$N$279*(1+vanilla7)^0.5)/A1stdlife))</f>
        <v>0</v>
      </c>
      <c r="P84" s="30">
        <f>IF(A1stdlife="n/a","n/a",IF(P$3&gt;(A1stdlife+$F84),(Input!$N$279*(1+vanilla7)^0.5)-SUM($N84:O84),(Input!$N$279*(1+vanilla7)^0.5)/A1stdlife))</f>
        <v>0</v>
      </c>
      <c r="Q84" s="30">
        <f>IF(A1stdlife="n/a","n/a",IF(Q$3&gt;(A1stdlife+$F84),(Input!$N$279*(1+vanilla7)^0.5)-SUM($N84:P84),(Input!$N$279*(1+vanilla7)^0.5)/A1stdlife))</f>
        <v>0</v>
      </c>
      <c r="R84" s="30"/>
      <c r="S84" s="105"/>
      <c r="T84" s="105"/>
      <c r="U84" s="105"/>
      <c r="V84" s="105"/>
      <c r="W84" s="105"/>
      <c r="X84" s="105"/>
      <c r="Y84" s="105"/>
      <c r="Z84" s="105"/>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6"/>
      <c r="D85" s="25"/>
      <c r="E85" s="537"/>
      <c r="F85" s="91">
        <v>8</v>
      </c>
      <c r="G85" s="27"/>
      <c r="H85" s="226"/>
      <c r="I85" s="227"/>
      <c r="J85" s="227"/>
      <c r="K85" s="227"/>
      <c r="L85" s="227"/>
      <c r="M85" s="227"/>
      <c r="N85" s="227"/>
      <c r="O85" s="228"/>
      <c r="P85" s="30">
        <f>IF(A1stdlife="n/a","n/a",IF(P$3&gt;(A1stdlife+$F85),(Input!$O$279*(1+vanilla8)^0.5)-SUM($O85:O85),(Input!$O$279*(1+vanilla8)^0.5)/A1stdlife))</f>
        <v>0</v>
      </c>
      <c r="Q85" s="30">
        <f>IF(A1stdlife="n/a","n/a",IF(Q$3&gt;(A1stdlife+$F85),(Input!$O$279*(1+vanilla8)^0.5)-SUM($O85:P85),(Input!$O$279*(1+vanilla8)^0.5)/A1stdlife))</f>
        <v>0</v>
      </c>
      <c r="R85" s="30"/>
      <c r="S85" s="105"/>
      <c r="T85" s="105"/>
      <c r="U85" s="105"/>
      <c r="V85" s="105"/>
      <c r="W85" s="105"/>
      <c r="X85" s="105"/>
      <c r="Y85" s="105"/>
      <c r="Z85" s="105"/>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6"/>
      <c r="D86" s="25"/>
      <c r="E86" s="537"/>
      <c r="F86" s="91">
        <v>9</v>
      </c>
      <c r="G86" s="27"/>
      <c r="H86" s="226"/>
      <c r="I86" s="227"/>
      <c r="J86" s="227"/>
      <c r="K86" s="227"/>
      <c r="L86" s="227"/>
      <c r="M86" s="227"/>
      <c r="N86" s="227"/>
      <c r="O86" s="227"/>
      <c r="P86" s="228"/>
      <c r="Q86" s="30">
        <f>IF(A1stdlife="n/a","n/a",IF(Q$3&gt;(A1stdlife+$F86),(Input!$P$279*(1+vanilla9)^0.5)-SUM($P86:P86),(Input!$P$279*(1+vanilla9)^0.5)/A1stdlife))</f>
        <v>0</v>
      </c>
      <c r="R86" s="30"/>
      <c r="S86" s="105"/>
      <c r="T86" s="105"/>
      <c r="U86" s="105"/>
      <c r="V86" s="105"/>
      <c r="W86" s="105"/>
      <c r="X86" s="105"/>
      <c r="Y86" s="105"/>
      <c r="Z86" s="105"/>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6"/>
      <c r="D87" s="25"/>
      <c r="E87" s="537"/>
      <c r="F87" s="92">
        <v>10</v>
      </c>
      <c r="G87" s="27"/>
      <c r="H87" s="226"/>
      <c r="I87" s="227"/>
      <c r="J87" s="227"/>
      <c r="K87" s="227"/>
      <c r="L87" s="227"/>
      <c r="M87" s="227"/>
      <c r="N87" s="227"/>
      <c r="O87" s="227"/>
      <c r="P87" s="227"/>
      <c r="Q87" s="228"/>
      <c r="R87" s="30"/>
      <c r="S87" s="105"/>
      <c r="T87" s="105"/>
      <c r="U87" s="105"/>
      <c r="V87" s="105"/>
      <c r="W87" s="105"/>
      <c r="X87" s="105"/>
      <c r="Y87" s="105"/>
      <c r="Z87" s="105"/>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9"/>
      <c r="B88" s="9"/>
      <c r="C88" s="9"/>
      <c r="D88" s="272" t="str">
        <f>Asset1</f>
        <v>Subtransmission</v>
      </c>
      <c r="E88" s="9"/>
      <c r="F88" s="9"/>
      <c r="G88" s="125"/>
      <c r="H88" s="165">
        <f>-SUM(H76:H87)</f>
        <v>-6.84850116405884</v>
      </c>
      <c r="I88" s="165">
        <f>-SUM(I76:I87)</f>
        <v>-7.3523148303794628</v>
      </c>
      <c r="J88" s="165">
        <f>-SUM(J76:J87)</f>
        <v>-8.3209087841799665</v>
      </c>
      <c r="K88" s="165">
        <f>-SUM(K76:K87)</f>
        <v>-9.6856166894279312</v>
      </c>
      <c r="L88" s="165">
        <f>-SUM(L76:L87)</f>
        <v>-11.008096102711958</v>
      </c>
      <c r="M88" s="165">
        <f>IF(COUNT($H88:L88)&gt;=Input!$Y$7,0, -SUM(M76:M87))</f>
        <v>0</v>
      </c>
      <c r="N88" s="165">
        <f>IF(COUNT($H88:M88)&gt;=Input!$Y$7,0, -SUM(N76:N87))</f>
        <v>0</v>
      </c>
      <c r="O88" s="165">
        <f>IF(COUNT($H88:N88)&gt;=Input!$Y$7,0, -SUM(O76:O87))</f>
        <v>0</v>
      </c>
      <c r="P88" s="165">
        <f>IF(COUNT($H88:O88)&gt;=Input!$Y$7,0, -SUM(P76:P87))</f>
        <v>0</v>
      </c>
      <c r="Q88" s="165">
        <f>IF(COUNT($H88:P88)&gt;=Input!$Y$7,0, -SUM(Q76:Q87))</f>
        <v>0</v>
      </c>
      <c r="R88" s="69"/>
      <c r="S88" s="106"/>
      <c r="T88" s="105"/>
      <c r="U88" s="106"/>
      <c r="V88" s="106"/>
      <c r="W88" s="106"/>
      <c r="X88" s="106"/>
      <c r="Y88" s="106"/>
      <c r="Z88" s="106"/>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73" t="str">
        <f>Asset2</f>
        <v>Distribution system assets</v>
      </c>
      <c r="D89" s="162"/>
      <c r="E89" s="32" t="s">
        <v>5</v>
      </c>
      <c r="F89" s="31"/>
      <c r="G89" s="181"/>
      <c r="H89" s="72">
        <f>IF(H$3&gt;A2remlife,A2value-$G$631-SUM($G89:G89),IF(A2remlife="N/A","n/a",(A2value-$G$631)/A2remlife))</f>
        <v>60.241413499651479</v>
      </c>
      <c r="I89" s="72">
        <f>IF(I$3&gt;A2remlife,A2value-$G$631-SUM($G89:H89),IF(A2remlife="N/A","n/a",(A2value-$G$631)/A2remlife))</f>
        <v>60.241413499651479</v>
      </c>
      <c r="J89" s="72">
        <f>IF(J$3&gt;A2remlife,A2value-$G$631-SUM($G89:I89),IF(A2remlife="N/A","n/a",(A2value-$G$631)/A2remlife))</f>
        <v>60.241413499651479</v>
      </c>
      <c r="K89" s="72">
        <f>IF(K$3&gt;A2remlife,A2value-$G$631-SUM($G89:J89),IF(A2remlife="N/A","n/a",(A2value-$G$631)/A2remlife))</f>
        <v>60.241413499651479</v>
      </c>
      <c r="L89" s="72">
        <f>IF(L$3&gt;A2remlife,A2value-$G$631-SUM($G89:K89),IF(A2remlife="N/A","n/a",(A2value-$G$631)/A2remlife))</f>
        <v>60.241413499651479</v>
      </c>
      <c r="M89" s="72">
        <f>IF(M$3&gt;A2remlife,A2value-$G$631-SUM($G89:L89),IF(A2remlife="N/A","n/a",(A2value-$G$631)/A2remlife))</f>
        <v>60.241413499651479</v>
      </c>
      <c r="N89" s="72">
        <f>IF(N$3&gt;A2remlife,A2value-$G$631-SUM($G89:M89),IF(A2remlife="N/A","n/a",(A2value-$G$631)/A2remlife))</f>
        <v>60.241413499651479</v>
      </c>
      <c r="O89" s="72">
        <f>IF(O$3&gt;A2remlife,A2value-$G$631-SUM($G89:N89),IF(A2remlife="N/A","n/a",(A2value-$G$631)/A2remlife))</f>
        <v>60.241413499651479</v>
      </c>
      <c r="P89" s="72">
        <f>IF(P$3&gt;A2remlife,A2value-$G$631-SUM($G89:O89),IF(A2remlife="N/A","n/a",(A2value-$G$631)/A2remlife))</f>
        <v>60.241413499651479</v>
      </c>
      <c r="Q89" s="72">
        <f>IF(Q$3&gt;A2remlife,A2value-$G$631-SUM($G89:P89),IF(A2remlife="N/A","n/a",(A2value-$G$631)/A2remlife))</f>
        <v>60.241413499651479</v>
      </c>
      <c r="R89" s="72"/>
      <c r="S89" s="107"/>
      <c r="T89" s="107"/>
      <c r="U89" s="107"/>
      <c r="V89" s="107"/>
      <c r="W89" s="107"/>
      <c r="X89" s="107"/>
      <c r="Y89" s="107"/>
      <c r="Z89" s="107"/>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6"/>
      <c r="E90" s="536" t="s">
        <v>59</v>
      </c>
      <c r="F90" s="91"/>
      <c r="G90" s="125"/>
      <c r="H90" s="73"/>
      <c r="I90" s="73"/>
      <c r="J90" s="73"/>
      <c r="K90" s="73"/>
      <c r="L90" s="73"/>
      <c r="M90" s="164"/>
      <c r="N90" s="116"/>
      <c r="O90" s="73"/>
      <c r="P90" s="73"/>
      <c r="Q90" s="73"/>
      <c r="R90" s="73"/>
      <c r="S90" s="107"/>
      <c r="T90" s="107"/>
      <c r="U90" s="107"/>
      <c r="V90" s="107"/>
      <c r="W90" s="107"/>
      <c r="X90" s="107"/>
      <c r="Y90" s="107"/>
      <c r="Z90" s="107"/>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37"/>
      <c r="F91" s="91">
        <v>1</v>
      </c>
      <c r="G91" s="125"/>
      <c r="H91" s="149"/>
      <c r="I91" s="73">
        <f>IF(A2stdlife="n/a","n/a",IF(I$3&gt;(A2stdlife+$F91),(Input!$H$280*(1+vanilla1)^0.5)-SUM($H91:H91),(Input!$H$280*(1+vanilla1)^0.5)/A2stdlife))</f>
        <v>3.7668927769990246</v>
      </c>
      <c r="J91" s="73">
        <f>IF(A2stdlife="n/a","n/a",IF(J$3&gt;(A2stdlife+$F91),(Input!$H$280*(1+vanilla1)^0.5)-SUM($H91:I91),(Input!$H$280*(1+vanilla1)^0.5)/A2stdlife))</f>
        <v>3.7668927769990246</v>
      </c>
      <c r="K91" s="73">
        <f>IF(A2stdlife="n/a","n/a",IF(K$3&gt;(A2stdlife+$F91),(Input!$H$280*(1+vanilla1)^0.5)-SUM($H91:J91),(Input!$H$280*(1+vanilla1)^0.5)/A2stdlife))</f>
        <v>3.7668927769990246</v>
      </c>
      <c r="L91" s="73">
        <f>IF(A2stdlife="n/a","n/a",IF(L$3&gt;(A2stdlife+$F91),(Input!$H$280*(1+vanilla1)^0.5)-SUM($H91:K91),(Input!$H$280*(1+vanilla1)^0.5)/A2stdlife))</f>
        <v>3.7668927769990246</v>
      </c>
      <c r="M91" s="73">
        <f>IF(A2stdlife="n/a","n/a",IF(M$3&gt;(A2stdlife+$F91),(Input!$H$280*(1+vanilla1)^0.5)-SUM($H91:L91),(Input!$H$280*(1+vanilla1)^0.5)/A2stdlife))</f>
        <v>3.7668927769990246</v>
      </c>
      <c r="N91" s="73">
        <f>IF(A2stdlife="n/a","n/a",IF(N$3&gt;(A2stdlife+$F91),(Input!$H$280*(1+vanilla1)^0.5)-SUM($H91:M91),(Input!$H$280*(1+vanilla1)^0.5)/A2stdlife))</f>
        <v>3.7668927769990246</v>
      </c>
      <c r="O91" s="73">
        <f>IF(A2stdlife="n/a","n/a",IF(O$3&gt;(A2stdlife+$F91),(Input!$H$280*(1+vanilla1)^0.5)-SUM($H91:N91),(Input!$H$280*(1+vanilla1)^0.5)/A2stdlife))</f>
        <v>3.7668927769990246</v>
      </c>
      <c r="P91" s="73">
        <f>IF(A2stdlife="n/a","n/a",IF(P$3&gt;(A2stdlife+$F91),(Input!$H$280*(1+vanilla1)^0.5)-SUM($H91:O91),(Input!$H$280*(1+vanilla1)^0.5)/A2stdlife))</f>
        <v>3.7668927769990246</v>
      </c>
      <c r="Q91" s="73">
        <f>IF(A2stdlife="n/a","n/a",IF(Q$3&gt;(A2stdlife+$F91),(Input!$H$280*(1+vanilla1)^0.5)-SUM($H91:P91),(Input!$H$280*(1+vanilla1)^0.5)/A2stdlife))</f>
        <v>3.7668927769990246</v>
      </c>
      <c r="R91" s="73"/>
      <c r="S91" s="107"/>
      <c r="T91" s="107"/>
      <c r="U91" s="107"/>
      <c r="V91" s="107"/>
      <c r="W91" s="107"/>
      <c r="X91" s="107"/>
      <c r="Y91" s="107"/>
      <c r="Z91" s="107"/>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37"/>
      <c r="F92" s="91">
        <v>2</v>
      </c>
      <c r="G92" s="125"/>
      <c r="H92" s="150"/>
      <c r="I92" s="151"/>
      <c r="J92" s="73">
        <f>IF(A2stdlife="n/a","n/a",IF(J$3&gt;(A2stdlife+$F92),(Input!$I$280*(1+vanilla2)^0.5)-SUM($I92:I92),(Input!$I$280*(1+vanilla2)^0.5)/A2stdlife))</f>
        <v>4.0424929795334004</v>
      </c>
      <c r="K92" s="73">
        <f>IF(A2stdlife="n/a","n/a",IF(K$3&gt;(A2stdlife+$F92),(Input!$I$280*(1+vanilla2)^0.5)-SUM($I92:J92),(Input!$I$280*(1+vanilla2)^0.5)/A2stdlife))</f>
        <v>4.0424929795334004</v>
      </c>
      <c r="L92" s="73">
        <f>IF(A2stdlife="n/a","n/a",IF(L$3&gt;(A2stdlife+$F92),(Input!$I$280*(1+vanilla2)^0.5)-SUM($I92:K92),(Input!$I$280*(1+vanilla2)^0.5)/A2stdlife))</f>
        <v>4.0424929795334004</v>
      </c>
      <c r="M92" s="73">
        <f>IF(A2stdlife="n/a","n/a",IF(M$3&gt;(A2stdlife+$F92),(Input!$I$280*(1+vanilla2)^0.5)-SUM($I92:L92),(Input!$I$280*(1+vanilla2)^0.5)/A2stdlife))</f>
        <v>4.0424929795334004</v>
      </c>
      <c r="N92" s="73">
        <f>IF(A2stdlife="n/a","n/a",IF(N$3&gt;(A2stdlife+$F92),(Input!$I$280*(1+vanilla2)^0.5)-SUM($I92:M92),(Input!$I$280*(1+vanilla2)^0.5)/A2stdlife))</f>
        <v>4.0424929795334004</v>
      </c>
      <c r="O92" s="73">
        <f>IF(A2stdlife="n/a","n/a",IF(O$3&gt;(A2stdlife+$F92),(Input!$I$280*(1+vanilla2)^0.5)-SUM($I92:N92),(Input!$I$280*(1+vanilla2)^0.5)/A2stdlife))</f>
        <v>4.0424929795334004</v>
      </c>
      <c r="P92" s="73">
        <f>IF(A2stdlife="n/a","n/a",IF(P$3&gt;(A2stdlife+$F92),(Input!$I$280*(1+vanilla2)^0.5)-SUM($I92:O92),(Input!$I$280*(1+vanilla2)^0.5)/A2stdlife))</f>
        <v>4.0424929795334004</v>
      </c>
      <c r="Q92" s="73">
        <f>IF(A2stdlife="n/a","n/a",IF(Q$3&gt;(A2stdlife+$F92),(Input!$I$280*(1+vanilla2)^0.5)-SUM($I92:P92),(Input!$I$280*(1+vanilla2)^0.5)/A2stdlife))</f>
        <v>4.0424929795334004</v>
      </c>
      <c r="R92" s="73"/>
      <c r="S92" s="107"/>
      <c r="T92" s="107"/>
      <c r="U92" s="107"/>
      <c r="V92" s="107"/>
      <c r="W92" s="107"/>
      <c r="X92" s="107"/>
      <c r="Y92" s="107"/>
      <c r="Z92" s="107"/>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37"/>
      <c r="F93" s="91">
        <v>3</v>
      </c>
      <c r="G93" s="125"/>
      <c r="H93" s="150"/>
      <c r="I93" s="152"/>
      <c r="J93" s="151"/>
      <c r="K93" s="73">
        <f>IF(A2stdlife="n/a","n/a",IF(K$3&gt;(A2stdlife+$F93),(Input!$J$280*(1+vanilla3)^0.5)-SUM($J93:J93),(Input!$J$280*(1+vanilla3)^0.5)/A2stdlife))</f>
        <v>4.6472012400535077</v>
      </c>
      <c r="L93" s="73">
        <f>IF(A2stdlife="n/a","n/a",IF(L$3&gt;(A2stdlife+$F93),(Input!$J$280*(1+vanilla3)^0.5)-SUM($J93:K93),(Input!$J$280*(1+vanilla3)^0.5)/A2stdlife))</f>
        <v>4.6472012400535077</v>
      </c>
      <c r="M93" s="73">
        <f>IF(A2stdlife="n/a","n/a",IF(M$3&gt;(A2stdlife+$F93),(Input!$J$280*(1+vanilla3)^0.5)-SUM($J93:L93),(Input!$J$280*(1+vanilla3)^0.5)/A2stdlife))</f>
        <v>4.6472012400535077</v>
      </c>
      <c r="N93" s="73">
        <f>IF(A2stdlife="n/a","n/a",IF(N$3&gt;(A2stdlife+$F93),(Input!$J$280*(1+vanilla3)^0.5)-SUM($J93:M93),(Input!$J$280*(1+vanilla3)^0.5)/A2stdlife))</f>
        <v>4.6472012400535077</v>
      </c>
      <c r="O93" s="73">
        <f>IF(A2stdlife="n/a","n/a",IF(O$3&gt;(A2stdlife+$F93),(Input!$J$280*(1+vanilla3)^0.5)-SUM($J93:N93),(Input!$J$280*(1+vanilla3)^0.5)/A2stdlife))</f>
        <v>4.6472012400535077</v>
      </c>
      <c r="P93" s="73">
        <f>IF(A2stdlife="n/a","n/a",IF(P$3&gt;(A2stdlife+$F93),(Input!$J$280*(1+vanilla3)^0.5)-SUM($J93:O93),(Input!$J$280*(1+vanilla3)^0.5)/A2stdlife))</f>
        <v>4.6472012400535077</v>
      </c>
      <c r="Q93" s="73">
        <f>IF(A2stdlife="n/a","n/a",IF(Q$3&gt;(A2stdlife+$F93),(Input!$J$280*(1+vanilla3)^0.5)-SUM($J93:P93),(Input!$J$280*(1+vanilla3)^0.5)/A2stdlife))</f>
        <v>4.6472012400535077</v>
      </c>
      <c r="R93" s="73"/>
      <c r="S93" s="107"/>
      <c r="T93" s="107"/>
      <c r="U93" s="107"/>
      <c r="V93" s="107"/>
      <c r="W93" s="107"/>
      <c r="X93" s="107"/>
      <c r="Y93" s="107"/>
      <c r="Z93" s="107"/>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37"/>
      <c r="F94" s="91">
        <v>4</v>
      </c>
      <c r="G94" s="125"/>
      <c r="H94" s="150"/>
      <c r="I94" s="152"/>
      <c r="J94" s="152"/>
      <c r="K94" s="151"/>
      <c r="L94" s="73">
        <f>IF(A2stdlife="n/a","n/a",IF(L$3&gt;(A2stdlife+$F94),(Input!$K$280*(1+vanilla4)^0.5)-SUM($K94:K94),(Input!$K$280*(1+vanilla4)^0.5)/A2stdlife))</f>
        <v>5.3141721218631153</v>
      </c>
      <c r="M94" s="73">
        <f>IF(A2stdlife="n/a","n/a",IF(M$3&gt;(A2stdlife+$F94),(Input!$K$280*(1+vanilla4)^0.5)-SUM($K94:L94),(Input!$K$280*(1+vanilla4)^0.5)/A2stdlife))</f>
        <v>5.3141721218631153</v>
      </c>
      <c r="N94" s="73">
        <f>IF(A2stdlife="n/a","n/a",IF(N$3&gt;(A2stdlife+$F94),(Input!$K$280*(1+vanilla4)^0.5)-SUM($K94:M94),(Input!$K$280*(1+vanilla4)^0.5)/A2stdlife))</f>
        <v>5.3141721218631153</v>
      </c>
      <c r="O94" s="73">
        <f>IF(A2stdlife="n/a","n/a",IF(O$3&gt;(A2stdlife+$F94),(Input!$K$280*(1+vanilla4)^0.5)-SUM($K94:N94),(Input!$K$280*(1+vanilla4)^0.5)/A2stdlife))</f>
        <v>5.3141721218631153</v>
      </c>
      <c r="P94" s="73">
        <f>IF(A2stdlife="n/a","n/a",IF(P$3&gt;(A2stdlife+$F94),(Input!$K$280*(1+vanilla4)^0.5)-SUM($K94:O94),(Input!$K$280*(1+vanilla4)^0.5)/A2stdlife))</f>
        <v>5.3141721218631153</v>
      </c>
      <c r="Q94" s="73">
        <f>IF(A2stdlife="n/a","n/a",IF(Q$3&gt;(A2stdlife+$F94),(Input!$K$280*(1+vanilla4)^0.5)-SUM($K94:P94),(Input!$K$280*(1+vanilla4)^0.5)/A2stdlife))</f>
        <v>5.3141721218631153</v>
      </c>
      <c r="R94" s="73"/>
      <c r="S94" s="107"/>
      <c r="T94" s="107"/>
      <c r="U94" s="107"/>
      <c r="V94" s="107"/>
      <c r="W94" s="107"/>
      <c r="X94" s="107"/>
      <c r="Y94" s="107"/>
      <c r="Z94" s="107"/>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6"/>
      <c r="E95" s="537"/>
      <c r="F95" s="91">
        <v>5</v>
      </c>
      <c r="G95" s="125"/>
      <c r="H95" s="150"/>
      <c r="I95" s="152"/>
      <c r="J95" s="152"/>
      <c r="K95" s="152"/>
      <c r="L95" s="151"/>
      <c r="M95" s="73">
        <f>IF(A2stdlife="n/a","n/a",IF(M$3&gt;(A2stdlife+$F95),(Input!$L$280*(1+vanilla5)^0.5)-SUM($L95:L95),(Input!$L$280*(1+vanilla5)^0.5)/A2stdlife))</f>
        <v>4.8365400279510053</v>
      </c>
      <c r="N95" s="73">
        <f>IF(A2stdlife="n/a","n/a",IF(N$3&gt;(A2stdlife+$F95),(Input!$L$280*(1+vanilla5)^0.5)-SUM($L95:M95),(Input!$L$280*(1+vanilla5)^0.5)/A2stdlife))</f>
        <v>4.8365400279510053</v>
      </c>
      <c r="O95" s="73">
        <f>IF(A2stdlife="n/a","n/a",IF(O$3&gt;(A2stdlife+$F95),(Input!$L$280*(1+vanilla5)^0.5)-SUM($L95:N95),(Input!$L$280*(1+vanilla5)^0.5)/A2stdlife))</f>
        <v>4.8365400279510053</v>
      </c>
      <c r="P95" s="73">
        <f>IF(A2stdlife="n/a","n/a",IF(P$3&gt;(A2stdlife+$F95),(Input!$L$280*(1+vanilla5)^0.5)-SUM($L95:O95),(Input!$L$280*(1+vanilla5)^0.5)/A2stdlife))</f>
        <v>4.8365400279510053</v>
      </c>
      <c r="Q95" s="73">
        <f>IF(A2stdlife="n/a","n/a",IF(Q$3&gt;(A2stdlife+$F95),(Input!$L$280*(1+vanilla5)^0.5)-SUM($L95:P95),(Input!$L$280*(1+vanilla5)^0.5)/A2stdlife))</f>
        <v>4.8365400279510053</v>
      </c>
      <c r="R95" s="73"/>
      <c r="S95" s="107"/>
      <c r="T95" s="107"/>
      <c r="U95" s="107"/>
      <c r="V95" s="107"/>
      <c r="W95" s="107"/>
      <c r="X95" s="107"/>
      <c r="Y95" s="107"/>
      <c r="Z95" s="107"/>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6"/>
      <c r="E96" s="537"/>
      <c r="F96" s="91">
        <v>6</v>
      </c>
      <c r="G96" s="125"/>
      <c r="H96" s="150"/>
      <c r="I96" s="152"/>
      <c r="J96" s="152"/>
      <c r="K96" s="152"/>
      <c r="L96" s="152"/>
      <c r="M96" s="151"/>
      <c r="N96" s="73">
        <f>IF(A2stdlife="n/a","n/a",IF(N$3&gt;(A2stdlife+$F96),(Input!$M$280*(1+vanilla6)^0.5)-SUM($M96:M96),(Input!$M$280*(1+vanilla6)^0.5)/A2stdlife))</f>
        <v>0</v>
      </c>
      <c r="O96" s="73">
        <f>IF(A2stdlife="n/a","n/a",IF(O$3&gt;(A2stdlife+$F96),(Input!$M$280*(1+vanilla6)^0.5)-SUM($M96:N96),(Input!$M$280*(1+vanilla6)^0.5)/A2stdlife))</f>
        <v>0</v>
      </c>
      <c r="P96" s="73">
        <f>IF(A2stdlife="n/a","n/a",IF(P$3&gt;(A2stdlife+$F96),(Input!$M$280*(1+vanilla6)^0.5)-SUM($M96:O96),(Input!$M$280*(1+vanilla6)^0.5)/A2stdlife))</f>
        <v>0</v>
      </c>
      <c r="Q96" s="73">
        <f>IF(A2stdlife="n/a","n/a",IF(Q$3&gt;(A2stdlife+$F96),(Input!$M$280*(1+vanilla6)^0.5)-SUM($M96:P96),(Input!$M$280*(1+vanilla6)^0.5)/A2stdlife))</f>
        <v>0</v>
      </c>
      <c r="R96" s="73"/>
      <c r="S96" s="107"/>
      <c r="T96" s="107"/>
      <c r="U96" s="107"/>
      <c r="V96" s="107"/>
      <c r="W96" s="107"/>
      <c r="X96" s="107"/>
      <c r="Y96" s="107"/>
      <c r="Z96" s="107"/>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6"/>
      <c r="E97" s="537"/>
      <c r="F97" s="91">
        <v>7</v>
      </c>
      <c r="G97" s="125"/>
      <c r="H97" s="150"/>
      <c r="I97" s="152"/>
      <c r="J97" s="152"/>
      <c r="K97" s="152"/>
      <c r="L97" s="152"/>
      <c r="M97" s="152"/>
      <c r="N97" s="151"/>
      <c r="O97" s="73">
        <f>IF(A2stdlife="n/a","n/a",IF(O$3&gt;(A2stdlife+$F97),(Input!$N$280*(1+vanilla7)^0.5)-SUM($N97:N97),(Input!$N$280*(1+vanilla7)^0.5)/A2stdlife))</f>
        <v>0</v>
      </c>
      <c r="P97" s="73">
        <f>IF(A2stdlife="n/a","n/a",IF(P$3&gt;(A2stdlife+$F97),(Input!$N$280*(1+vanilla7)^0.5)-SUM($N97:O97),(Input!$N$280*(1+vanilla7)^0.5)/A2stdlife))</f>
        <v>0</v>
      </c>
      <c r="Q97" s="73">
        <f>IF(A2stdlife="n/a","n/a",IF(Q$3&gt;(A2stdlife+$F97),(Input!$N$280*(1+vanilla7)^0.5)-SUM($N97:P97),(Input!$N$280*(1+vanilla7)^0.5)/A2stdlife))</f>
        <v>0</v>
      </c>
      <c r="R97" s="73"/>
      <c r="S97" s="107"/>
      <c r="T97" s="107"/>
      <c r="U97" s="107"/>
      <c r="V97" s="107"/>
      <c r="W97" s="107"/>
      <c r="X97" s="107"/>
      <c r="Y97" s="107"/>
      <c r="Z97" s="107"/>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37"/>
      <c r="F98" s="91">
        <v>8</v>
      </c>
      <c r="G98" s="125"/>
      <c r="H98" s="150"/>
      <c r="I98" s="152"/>
      <c r="J98" s="152"/>
      <c r="K98" s="152"/>
      <c r="L98" s="152"/>
      <c r="M98" s="152"/>
      <c r="N98" s="152"/>
      <c r="O98" s="151"/>
      <c r="P98" s="73">
        <f>IF(A2stdlife="n/a","n/a",IF(P$3&gt;(A2stdlife+$F98),(Input!$O$280*(1+vanilla8)^0.5)-SUM($O98:O98),(Input!$O$280*(1+vanilla8)^0.5)/A2stdlife))</f>
        <v>0</v>
      </c>
      <c r="Q98" s="73">
        <f>IF(A2stdlife="n/a","n/a",IF(Q$3&gt;(A2stdlife+$F98),(Input!$O$280*(1+vanilla8)^0.5)-SUM($O98:P98),(Input!$O$280*(1+vanilla8)^0.5)/A2stdlife))</f>
        <v>0</v>
      </c>
      <c r="R98" s="73"/>
      <c r="S98" s="107"/>
      <c r="T98" s="107"/>
      <c r="U98" s="107"/>
      <c r="V98" s="107"/>
      <c r="W98" s="107"/>
      <c r="X98" s="107"/>
      <c r="Y98" s="107"/>
      <c r="Z98" s="107"/>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37"/>
      <c r="F99" s="91">
        <v>9</v>
      </c>
      <c r="G99" s="125"/>
      <c r="H99" s="150"/>
      <c r="I99" s="152"/>
      <c r="J99" s="152"/>
      <c r="K99" s="152"/>
      <c r="L99" s="152"/>
      <c r="M99" s="152"/>
      <c r="N99" s="152"/>
      <c r="O99" s="152"/>
      <c r="P99" s="151"/>
      <c r="Q99" s="73">
        <f>IF(A2stdlife="n/a","n/a",IF(Q$3&gt;(A2stdlife+$F99),(Input!$P$280*(1+vanilla9)^0.5)-SUM($P99:P99),(Input!$P$280*(1+vanilla9)^0.5)/A2stdlife))</f>
        <v>0</v>
      </c>
      <c r="R99" s="73"/>
      <c r="S99" s="107"/>
      <c r="T99" s="107"/>
      <c r="U99" s="107"/>
      <c r="V99" s="107"/>
      <c r="W99" s="107"/>
      <c r="X99" s="107"/>
      <c r="Y99" s="107"/>
      <c r="Z99" s="107"/>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37"/>
      <c r="F100" s="92">
        <v>10</v>
      </c>
      <c r="G100" s="125"/>
      <c r="H100" s="150"/>
      <c r="I100" s="152"/>
      <c r="J100" s="152"/>
      <c r="K100" s="152"/>
      <c r="L100" s="152"/>
      <c r="M100" s="152"/>
      <c r="N100" s="152"/>
      <c r="O100" s="152"/>
      <c r="P100" s="152"/>
      <c r="Q100" s="151"/>
      <c r="R100" s="73"/>
      <c r="S100" s="107"/>
      <c r="T100" s="107"/>
      <c r="U100" s="107"/>
      <c r="V100" s="107"/>
      <c r="W100" s="107"/>
      <c r="X100" s="107"/>
      <c r="Y100" s="107"/>
      <c r="Z100" s="107"/>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72" t="str">
        <f>Asset2</f>
        <v>Distribution system assets</v>
      </c>
      <c r="E101" s="9"/>
      <c r="F101" s="9"/>
      <c r="G101" s="125"/>
      <c r="H101" s="73">
        <f>-SUM(H89:H100)</f>
        <v>-60.241413499651479</v>
      </c>
      <c r="I101" s="73">
        <f>-SUM(I89:I100)</f>
        <v>-64.008306276650501</v>
      </c>
      <c r="J101" s="73">
        <f>-SUM(J89:J100)</f>
        <v>-68.050799256183907</v>
      </c>
      <c r="K101" s="73">
        <f>-SUM(K89:K100)</f>
        <v>-72.698000496237412</v>
      </c>
      <c r="L101" s="73">
        <f>-SUM(L89:L100)</f>
        <v>-78.012172618100522</v>
      </c>
      <c r="M101" s="73">
        <f>IF(COUNT($H101:L101)&gt;=Input!$Y$7,0, -SUM(M89:M100))</f>
        <v>0</v>
      </c>
      <c r="N101" s="73">
        <f>IF(COUNT($H101:M101)&gt;=Input!$Y$7,0, -SUM(N89:N100))</f>
        <v>0</v>
      </c>
      <c r="O101" s="73">
        <f>IF(COUNT($H101:N101)&gt;=Input!$Y$7,0, -SUM(O89:O100))</f>
        <v>0</v>
      </c>
      <c r="P101" s="73">
        <f>IF(COUNT($H101:O101)&gt;=Input!$Y$7,0, -SUM(P89:P100))</f>
        <v>0</v>
      </c>
      <c r="Q101" s="73">
        <f>IF(COUNT($H101:P101)&gt;=Input!$Y$7,0, -SUM(Q89:Q100))</f>
        <v>0</v>
      </c>
      <c r="R101" s="70"/>
      <c r="S101" s="108"/>
      <c r="T101" s="108"/>
      <c r="U101" s="108"/>
      <c r="V101" s="108"/>
      <c r="W101" s="108"/>
      <c r="X101" s="108"/>
      <c r="Y101" s="108"/>
      <c r="Z101" s="108"/>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73" t="str">
        <f>Asset3</f>
        <v>Standard metering</v>
      </c>
      <c r="D102" s="162"/>
      <c r="E102" s="32" t="s">
        <v>5</v>
      </c>
      <c r="F102" s="31"/>
      <c r="G102" s="181"/>
      <c r="H102" s="72">
        <f>IF(H$3&gt;A3remlife,A3value-$G$632-SUM($G102:G102),IF(A3remlife="N/A","n/a",(A3value-$G$632)/A3remlife))</f>
        <v>15.790380770985777</v>
      </c>
      <c r="I102" s="72">
        <f>IF(I$3&gt;A3remlife,A3value-$G$632-SUM($G102:H102),IF(A3remlife="N/A","n/a",(A3value-$G$632)/A3remlife))</f>
        <v>0</v>
      </c>
      <c r="J102" s="72">
        <f>IF(J$3&gt;A3remlife,A3value-$G$632-SUM($G102:I102),IF(A3remlife="N/A","n/a",(A3value-$G$632)/A3remlife))</f>
        <v>0</v>
      </c>
      <c r="K102" s="72">
        <f>IF(K$3&gt;A3remlife,A3value-$G$632-SUM($G102:J102),IF(A3remlife="N/A","n/a",(A3value-$G$632)/A3remlife))</f>
        <v>0</v>
      </c>
      <c r="L102" s="72">
        <f>IF(L$3&gt;A3remlife,A3value-$G$632-SUM($G102:K102),IF(A3remlife="N/A","n/a",(A3value-$G$632)/A3remlife))</f>
        <v>0</v>
      </c>
      <c r="M102" s="72">
        <f>IF(M$3&gt;A3remlife,A3value-$G$632-SUM($G102:L102),IF(A3remlife="N/A","n/a",(A3value-$G$632)/A3remlife))</f>
        <v>0</v>
      </c>
      <c r="N102" s="72">
        <f>IF(N$3&gt;A3remlife,A3value-$G$632-SUM($G102:M102),IF(A3remlife="N/A","n/a",(A3value-$G$632)/A3remlife))</f>
        <v>0</v>
      </c>
      <c r="O102" s="72">
        <f>IF(O$3&gt;A3remlife,A3value-$G$632-SUM($G102:N102),IF(A3remlife="N/A","n/a",(A3value-$G$632)/A3remlife))</f>
        <v>0</v>
      </c>
      <c r="P102" s="72">
        <f>IF(P$3&gt;A3remlife,A3value-$G$632-SUM($G102:O102),IF(A3remlife="N/A","n/a",(A3value-$G$632)/A3remlife))</f>
        <v>0</v>
      </c>
      <c r="Q102" s="72">
        <f>IF(Q$3&gt;A3remlife,A3value-$G$632-SUM($G102:P102),IF(A3remlife="N/A","n/a",(A3value-$G$632)/A3remlife))</f>
        <v>0</v>
      </c>
      <c r="R102" s="72"/>
      <c r="S102" s="107"/>
      <c r="T102" s="107"/>
      <c r="U102" s="107"/>
      <c r="V102" s="107"/>
      <c r="W102" s="107"/>
      <c r="X102" s="107"/>
      <c r="Y102" s="107"/>
      <c r="Z102" s="107"/>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6"/>
      <c r="E103" s="536" t="s">
        <v>59</v>
      </c>
      <c r="F103" s="91"/>
      <c r="G103" s="125"/>
      <c r="H103" s="73"/>
      <c r="I103" s="73"/>
      <c r="J103" s="73"/>
      <c r="K103" s="73"/>
      <c r="L103" s="73"/>
      <c r="M103" s="164"/>
      <c r="N103" s="116"/>
      <c r="O103" s="73"/>
      <c r="P103" s="73"/>
      <c r="Q103" s="73"/>
      <c r="R103" s="73"/>
      <c r="S103" s="107"/>
      <c r="T103" s="107"/>
      <c r="U103" s="107"/>
      <c r="V103" s="107"/>
      <c r="W103" s="107"/>
      <c r="X103" s="107"/>
      <c r="Y103" s="107"/>
      <c r="Z103" s="107"/>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6"/>
      <c r="E104" s="537"/>
      <c r="F104" s="91">
        <v>1</v>
      </c>
      <c r="G104" s="125"/>
      <c r="H104" s="149"/>
      <c r="I104" s="73" t="str">
        <f>IF(A3stdlife="n/a","n/a",IF(I$3&gt;(A3stdlife+$F104),(Input!$H$281*(1+vanilla1)^0.5)-SUM($H104:H104),(Input!$H$281*(1+vanilla1)^0.5)/A3stdlife))</f>
        <v>n/a</v>
      </c>
      <c r="J104" s="73" t="str">
        <f>IF(A3stdlife="n/a","n/a",IF(J$3&gt;(A3stdlife+$F104),(Input!$H$281*(1+vanilla1)^0.5)-SUM($H104:I104),(Input!$H$281*(1+vanilla1)^0.5)/A3stdlife))</f>
        <v>n/a</v>
      </c>
      <c r="K104" s="73" t="str">
        <f>IF(A3stdlife="n/a","n/a",IF(K$3&gt;(A3stdlife+$F104),(Input!$H$281*(1+vanilla1)^0.5)-SUM($H104:J104),(Input!$H$281*(1+vanilla1)^0.5)/A3stdlife))</f>
        <v>n/a</v>
      </c>
      <c r="L104" s="73" t="str">
        <f>IF(A3stdlife="n/a","n/a",IF(L$3&gt;(A3stdlife+$F104),(Input!$H$281*(1+vanilla1)^0.5)-SUM($H104:K104),(Input!$H$281*(1+vanilla1)^0.5)/A3stdlife))</f>
        <v>n/a</v>
      </c>
      <c r="M104" s="73" t="str">
        <f>IF(A3stdlife="n/a","n/a",IF(M$3&gt;(A3stdlife+$F104),(Input!$H$281*(1+vanilla1)^0.5)-SUM($H104:L104),(Input!$H$281*(1+vanilla1)^0.5)/A3stdlife))</f>
        <v>n/a</v>
      </c>
      <c r="N104" s="73" t="str">
        <f>IF(A3stdlife="n/a","n/a",IF(N$3&gt;(A3stdlife+$F104),(Input!$H$281*(1+vanilla1)^0.5)-SUM($H104:M104),(Input!$H$281*(1+vanilla1)^0.5)/A3stdlife))</f>
        <v>n/a</v>
      </c>
      <c r="O104" s="73" t="str">
        <f>IF(A3stdlife="n/a","n/a",IF(O$3&gt;(A3stdlife+$F104),(Input!$H$281*(1+vanilla1)^0.5)-SUM($H104:N104),(Input!$H$281*(1+vanilla1)^0.5)/A3stdlife))</f>
        <v>n/a</v>
      </c>
      <c r="P104" s="73" t="str">
        <f>IF(A3stdlife="n/a","n/a",IF(P$3&gt;(A3stdlife+$F104),(Input!$H$281*(1+vanilla1)^0.5)-SUM($H104:O104),(Input!$H$281*(1+vanilla1)^0.5)/A3stdlife))</f>
        <v>n/a</v>
      </c>
      <c r="Q104" s="73" t="str">
        <f>IF(A3stdlife="n/a","n/a",IF(Q$3&gt;(A3stdlife+$F104),(Input!$H$281*(1+vanilla1)^0.5)-SUM($H104:P104),(Input!$H$281*(1+vanilla1)^0.5)/A3stdlife))</f>
        <v>n/a</v>
      </c>
      <c r="R104" s="73"/>
      <c r="S104" s="107"/>
      <c r="T104" s="107"/>
      <c r="U104" s="107"/>
      <c r="V104" s="107"/>
      <c r="W104" s="107"/>
      <c r="X104" s="107"/>
      <c r="Y104" s="107"/>
      <c r="Z104" s="107"/>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6"/>
      <c r="E105" s="537"/>
      <c r="F105" s="91">
        <v>2</v>
      </c>
      <c r="G105" s="125"/>
      <c r="H105" s="150"/>
      <c r="I105" s="151"/>
      <c r="J105" s="73" t="str">
        <f>IF(A3stdlife="n/a","n/a",IF(J$3&gt;(A3stdlife+$F105),(Input!$I$281*(1+vanilla2)^0.5)-SUM($I105:I105),(Input!$I$281*(1+vanilla2)^0.5)/A3stdlife))</f>
        <v>n/a</v>
      </c>
      <c r="K105" s="73" t="str">
        <f>IF(A3stdlife="n/a","n/a",IF(K$3&gt;(A3stdlife+$F105),(Input!$I$281*(1+vanilla2)^0.5)-SUM($I105:J105),(Input!$I$281*(1+vanilla2)^0.5)/A3stdlife))</f>
        <v>n/a</v>
      </c>
      <c r="L105" s="73" t="str">
        <f>IF(A3stdlife="n/a","n/a",IF(L$3&gt;(A3stdlife+$F105),(Input!$I$281*(1+vanilla2)^0.5)-SUM($I105:K105),(Input!$I$281*(1+vanilla2)^0.5)/A3stdlife))</f>
        <v>n/a</v>
      </c>
      <c r="M105" s="73" t="str">
        <f>IF(A3stdlife="n/a","n/a",IF(M$3&gt;(A3stdlife+$F105),(Input!$I$281*(1+vanilla2)^0.5)-SUM($I105:L105),(Input!$I$281*(1+vanilla2)^0.5)/A3stdlife))</f>
        <v>n/a</v>
      </c>
      <c r="N105" s="73" t="str">
        <f>IF(A3stdlife="n/a","n/a",IF(N$3&gt;(A3stdlife+$F105),(Input!$I$281*(1+vanilla2)^0.5)-SUM($I105:M105),(Input!$I$281*(1+vanilla2)^0.5)/A3stdlife))</f>
        <v>n/a</v>
      </c>
      <c r="O105" s="73" t="str">
        <f>IF(A3stdlife="n/a","n/a",IF(O$3&gt;(A3stdlife+$F105),(Input!$I$281*(1+vanilla2)^0.5)-SUM($I105:N105),(Input!$I$281*(1+vanilla2)^0.5)/A3stdlife))</f>
        <v>n/a</v>
      </c>
      <c r="P105" s="73" t="str">
        <f>IF(A3stdlife="n/a","n/a",IF(P$3&gt;(A3stdlife+$F105),(Input!$I$281*(1+vanilla2)^0.5)-SUM($I105:O105),(Input!$I$281*(1+vanilla2)^0.5)/A3stdlife))</f>
        <v>n/a</v>
      </c>
      <c r="Q105" s="73" t="str">
        <f>IF(A3stdlife="n/a","n/a",IF(Q$3&gt;(A3stdlife+$F105),(Input!$I$281*(1+vanilla2)^0.5)-SUM($I105:P105),(Input!$I$281*(1+vanilla2)^0.5)/A3stdlife))</f>
        <v>n/a</v>
      </c>
      <c r="R105" s="73"/>
      <c r="S105" s="107"/>
      <c r="T105" s="107"/>
      <c r="U105" s="107"/>
      <c r="V105" s="107"/>
      <c r="W105" s="107"/>
      <c r="X105" s="107"/>
      <c r="Y105" s="107"/>
      <c r="Z105" s="107"/>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6"/>
      <c r="E106" s="537"/>
      <c r="F106" s="91">
        <v>3</v>
      </c>
      <c r="G106" s="125"/>
      <c r="H106" s="150"/>
      <c r="I106" s="152"/>
      <c r="J106" s="151"/>
      <c r="K106" s="73" t="str">
        <f>IF(A3stdlife="n/a","n/a",IF(K$3&gt;(A3stdlife+$F106),(Input!$J$281*(1+vanilla3)^0.5)-SUM($J106:J106),(Input!$J$281*(1+vanilla3)^0.5)/A3stdlife))</f>
        <v>n/a</v>
      </c>
      <c r="L106" s="73" t="str">
        <f>IF(A3stdlife="n/a","n/a",IF(L$3&gt;(A3stdlife+$F106),(Input!$J$281*(1+vanilla3)^0.5)-SUM($J106:K106),(Input!$J$281*(1+vanilla3)^0.5)/A3stdlife))</f>
        <v>n/a</v>
      </c>
      <c r="M106" s="73" t="str">
        <f>IF(A3stdlife="n/a","n/a",IF(M$3&gt;(A3stdlife+$F106),(Input!$J$281*(1+vanilla3)^0.5)-SUM($J106:L106),(Input!$J$281*(1+vanilla3)^0.5)/A3stdlife))</f>
        <v>n/a</v>
      </c>
      <c r="N106" s="73" t="str">
        <f>IF(A3stdlife="n/a","n/a",IF(N$3&gt;(A3stdlife+$F106),(Input!$J$281*(1+vanilla3)^0.5)-SUM($J106:M106),(Input!$J$281*(1+vanilla3)^0.5)/A3stdlife))</f>
        <v>n/a</v>
      </c>
      <c r="O106" s="73" t="str">
        <f>IF(A3stdlife="n/a","n/a",IF(O$3&gt;(A3stdlife+$F106),(Input!$J$281*(1+vanilla3)^0.5)-SUM($J106:N106),(Input!$J$281*(1+vanilla3)^0.5)/A3stdlife))</f>
        <v>n/a</v>
      </c>
      <c r="P106" s="73" t="str">
        <f>IF(A3stdlife="n/a","n/a",IF(P$3&gt;(A3stdlife+$F106),(Input!$J$281*(1+vanilla3)^0.5)-SUM($J106:O106),(Input!$J$281*(1+vanilla3)^0.5)/A3stdlife))</f>
        <v>n/a</v>
      </c>
      <c r="Q106" s="73" t="str">
        <f>IF(A3stdlife="n/a","n/a",IF(Q$3&gt;(A3stdlife+$F106),(Input!$J$281*(1+vanilla3)^0.5)-SUM($J106:P106),(Input!$J$281*(1+vanilla3)^0.5)/A3stdlife))</f>
        <v>n/a</v>
      </c>
      <c r="R106" s="73"/>
      <c r="S106" s="107"/>
      <c r="T106" s="107"/>
      <c r="U106" s="107"/>
      <c r="V106" s="107"/>
      <c r="W106" s="107"/>
      <c r="X106" s="107"/>
      <c r="Y106" s="107"/>
      <c r="Z106" s="107"/>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6"/>
      <c r="E107" s="537"/>
      <c r="F107" s="91">
        <v>4</v>
      </c>
      <c r="G107" s="125"/>
      <c r="H107" s="150"/>
      <c r="I107" s="152"/>
      <c r="J107" s="152"/>
      <c r="K107" s="151"/>
      <c r="L107" s="73" t="str">
        <f>IF(A3stdlife="n/a","n/a",IF(L$3&gt;(A3stdlife+$F107),(Input!$K$281*(1+vanilla4)^0.5)-SUM($K107:K107),(Input!$K$281*(1+vanilla4)^0.5)/A3stdlife))</f>
        <v>n/a</v>
      </c>
      <c r="M107" s="73" t="str">
        <f>IF(A3stdlife="n/a","n/a",IF(M$3&gt;(A3stdlife+$F107),(Input!$K$281*(1+vanilla4)^0.5)-SUM($K107:L107),(Input!$K$281*(1+vanilla4)^0.5)/A3stdlife))</f>
        <v>n/a</v>
      </c>
      <c r="N107" s="73" t="str">
        <f>IF(A3stdlife="n/a","n/a",IF(N$3&gt;(A3stdlife+$F107),(Input!$K$281*(1+vanilla4)^0.5)-SUM($K107:M107),(Input!$K$281*(1+vanilla4)^0.5)/A3stdlife))</f>
        <v>n/a</v>
      </c>
      <c r="O107" s="73" t="str">
        <f>IF(A3stdlife="n/a","n/a",IF(O$3&gt;(A3stdlife+$F107),(Input!$K$281*(1+vanilla4)^0.5)-SUM($K107:N107),(Input!$K$281*(1+vanilla4)^0.5)/A3stdlife))</f>
        <v>n/a</v>
      </c>
      <c r="P107" s="73" t="str">
        <f>IF(A3stdlife="n/a","n/a",IF(P$3&gt;(A3stdlife+$F107),(Input!$K$281*(1+vanilla4)^0.5)-SUM($K107:O107),(Input!$K$281*(1+vanilla4)^0.5)/A3stdlife))</f>
        <v>n/a</v>
      </c>
      <c r="Q107" s="73" t="str">
        <f>IF(A3stdlife="n/a","n/a",IF(Q$3&gt;(A3stdlife+$F107),(Input!$K$281*(1+vanilla4)^0.5)-SUM($K107:P107),(Input!$K$281*(1+vanilla4)^0.5)/A3stdlife))</f>
        <v>n/a</v>
      </c>
      <c r="R107" s="73"/>
      <c r="S107" s="107"/>
      <c r="T107" s="107"/>
      <c r="U107" s="107"/>
      <c r="V107" s="107"/>
      <c r="W107" s="107"/>
      <c r="X107" s="107"/>
      <c r="Y107" s="107"/>
      <c r="Z107" s="107"/>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6"/>
      <c r="E108" s="537"/>
      <c r="F108" s="91">
        <v>5</v>
      </c>
      <c r="G108" s="125"/>
      <c r="H108" s="150"/>
      <c r="I108" s="152"/>
      <c r="J108" s="152"/>
      <c r="K108" s="152"/>
      <c r="L108" s="151"/>
      <c r="M108" s="73" t="str">
        <f>IF(A3stdlife="n/a","n/a",IF(M$3&gt;(A3stdlife+$F108),(Input!$L$281*(1+vanilla5)^0.5)-SUM($L108:L108),(Input!$L$281*(1+vanilla5)^0.5)/A3stdlife))</f>
        <v>n/a</v>
      </c>
      <c r="N108" s="73" t="str">
        <f>IF(A3stdlife="n/a","n/a",IF(N$3&gt;(A3stdlife+$F108),(Input!$L$281*(1+vanilla5)^0.5)-SUM($L108:M108),(Input!$L$281*(1+vanilla5)^0.5)/A3stdlife))</f>
        <v>n/a</v>
      </c>
      <c r="O108" s="73" t="str">
        <f>IF(A3stdlife="n/a","n/a",IF(O$3&gt;(A3stdlife+$F108),(Input!$L$281*(1+vanilla5)^0.5)-SUM($L108:N108),(Input!$L$281*(1+vanilla5)^0.5)/A3stdlife))</f>
        <v>n/a</v>
      </c>
      <c r="P108" s="73" t="str">
        <f>IF(A3stdlife="n/a","n/a",IF(P$3&gt;(A3stdlife+$F108),(Input!$L$281*(1+vanilla5)^0.5)-SUM($L108:O108),(Input!$L$281*(1+vanilla5)^0.5)/A3stdlife))</f>
        <v>n/a</v>
      </c>
      <c r="Q108" s="73" t="str">
        <f>IF(A3stdlife="n/a","n/a",IF(Q$3&gt;(A3stdlife+$F108),(Input!$L$281*(1+vanilla5)^0.5)-SUM($L108:P108),(Input!$L$281*(1+vanilla5)^0.5)/A3stdlife))</f>
        <v>n/a</v>
      </c>
      <c r="R108" s="73"/>
      <c r="S108" s="107"/>
      <c r="T108" s="107"/>
      <c r="U108" s="107"/>
      <c r="V108" s="107"/>
      <c r="W108" s="107"/>
      <c r="X108" s="107"/>
      <c r="Y108" s="107"/>
      <c r="Z108" s="107"/>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6"/>
      <c r="E109" s="537"/>
      <c r="F109" s="91">
        <v>6</v>
      </c>
      <c r="G109" s="125"/>
      <c r="H109" s="150"/>
      <c r="I109" s="152"/>
      <c r="J109" s="152"/>
      <c r="K109" s="152"/>
      <c r="L109" s="152"/>
      <c r="M109" s="151"/>
      <c r="N109" s="73" t="str">
        <f>IF(A3stdlife="n/a","n/a",IF(N$3&gt;(A3stdlife+$F109),(Input!$M$281*(1+vanilla6)^0.5)-SUM($M109:M109),(Input!$M$281*(1+vanilla6)^0.5)/A3stdlife))</f>
        <v>n/a</v>
      </c>
      <c r="O109" s="73" t="str">
        <f>IF(A3stdlife="n/a","n/a",IF(O$3&gt;(A3stdlife+$F109),(Input!$M$281*(1+vanilla6)^0.5)-SUM($M109:N109),(Input!$M$281*(1+vanilla6)^0.5)/A3stdlife))</f>
        <v>n/a</v>
      </c>
      <c r="P109" s="73" t="str">
        <f>IF(A3stdlife="n/a","n/a",IF(P$3&gt;(A3stdlife+$F109),(Input!$M$281*(1+vanilla6)^0.5)-SUM($M109:O109),(Input!$M$281*(1+vanilla6)^0.5)/A3stdlife))</f>
        <v>n/a</v>
      </c>
      <c r="Q109" s="73" t="str">
        <f>IF(A3stdlife="n/a","n/a",IF(Q$3&gt;(A3stdlife+$F109),(Input!$M$281*(1+vanilla6)^0.5)-SUM($M109:P109),(Input!$M$281*(1+vanilla6)^0.5)/A3stdlife))</f>
        <v>n/a</v>
      </c>
      <c r="R109" s="73"/>
      <c r="S109" s="107"/>
      <c r="T109" s="107"/>
      <c r="U109" s="107"/>
      <c r="V109" s="107"/>
      <c r="W109" s="107"/>
      <c r="X109" s="107"/>
      <c r="Y109" s="107"/>
      <c r="Z109" s="107"/>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6"/>
      <c r="E110" s="537"/>
      <c r="F110" s="91">
        <v>7</v>
      </c>
      <c r="G110" s="125"/>
      <c r="H110" s="150"/>
      <c r="I110" s="152"/>
      <c r="J110" s="152"/>
      <c r="K110" s="152"/>
      <c r="L110" s="152"/>
      <c r="M110" s="152"/>
      <c r="N110" s="151"/>
      <c r="O110" s="73" t="str">
        <f>IF(A3stdlife="n/a","n/a",IF(O$3&gt;(A3stdlife+$F110),(Input!$N$281*(1+vanilla7)^0.5)-SUM($N110:N110),(Input!$N$281*(1+vanilla7)^0.5)/A3stdlife))</f>
        <v>n/a</v>
      </c>
      <c r="P110" s="73" t="str">
        <f>IF(A3stdlife="n/a","n/a",IF(P$3&gt;(A3stdlife+$F110),(Input!$N$281*(1+vanilla7)^0.5)-SUM($N110:O110),(Input!$N$281*(1+vanilla7)^0.5)/A3stdlife))</f>
        <v>n/a</v>
      </c>
      <c r="Q110" s="73" t="str">
        <f>IF(A3stdlife="n/a","n/a",IF(Q$3&gt;(A3stdlife+$F110),(Input!$N$281*(1+vanilla7)^0.5)-SUM($N110:P110),(Input!$N$281*(1+vanilla7)^0.5)/A3stdlife))</f>
        <v>n/a</v>
      </c>
      <c r="R110" s="73"/>
      <c r="S110" s="107"/>
      <c r="T110" s="107"/>
      <c r="U110" s="107"/>
      <c r="V110" s="107"/>
      <c r="W110" s="107"/>
      <c r="X110" s="107"/>
      <c r="Y110" s="107"/>
      <c r="Z110" s="107"/>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37"/>
      <c r="F111" s="91">
        <v>8</v>
      </c>
      <c r="G111" s="125"/>
      <c r="H111" s="150"/>
      <c r="I111" s="152"/>
      <c r="J111" s="152"/>
      <c r="K111" s="152"/>
      <c r="L111" s="152"/>
      <c r="M111" s="152"/>
      <c r="N111" s="152"/>
      <c r="O111" s="151"/>
      <c r="P111" s="73" t="str">
        <f>IF(A3stdlife="n/a","n/a",IF(P$3&gt;(A3stdlife+$F111),(Input!$O$281*(1+vanilla8)^0.5)-SUM($O111:O111),(Input!$O$281*(1+vanilla8)^0.5)/A3stdlife))</f>
        <v>n/a</v>
      </c>
      <c r="Q111" s="73" t="str">
        <f>IF(A3stdlife="n/a","n/a",IF(Q$3&gt;(A3stdlife+$F111),(Input!$O$281*(1+vanilla8)^0.5)-SUM($O111:P111),(Input!$O$281*(1+vanilla8)^0.5)/A3stdlife))</f>
        <v>n/a</v>
      </c>
      <c r="R111" s="73"/>
      <c r="S111" s="107"/>
      <c r="T111" s="107"/>
      <c r="U111" s="107"/>
      <c r="V111" s="107"/>
      <c r="W111" s="107"/>
      <c r="X111" s="107"/>
      <c r="Y111" s="107"/>
      <c r="Z111" s="107"/>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37"/>
      <c r="F112" s="91">
        <v>9</v>
      </c>
      <c r="G112" s="125"/>
      <c r="H112" s="150"/>
      <c r="I112" s="152"/>
      <c r="J112" s="152"/>
      <c r="K112" s="152"/>
      <c r="L112" s="152"/>
      <c r="M112" s="152"/>
      <c r="N112" s="152"/>
      <c r="O112" s="152"/>
      <c r="P112" s="151"/>
      <c r="Q112" s="73" t="str">
        <f>IF(A3stdlife="n/a","n/a",IF(Q$3&gt;(A3stdlife+$F112),(Input!$P$281*(1+vanilla9)^0.5)-SUM($P112:P112),(Input!$P$281*(1+vanilla9)^0.5)/A3stdlife))</f>
        <v>n/a</v>
      </c>
      <c r="R112" s="73"/>
      <c r="S112" s="107"/>
      <c r="T112" s="107"/>
      <c r="U112" s="107"/>
      <c r="V112" s="107"/>
      <c r="W112" s="107"/>
      <c r="X112" s="107"/>
      <c r="Y112" s="107"/>
      <c r="Z112" s="107"/>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37"/>
      <c r="F113" s="92">
        <v>10</v>
      </c>
      <c r="G113" s="125"/>
      <c r="H113" s="150"/>
      <c r="I113" s="152"/>
      <c r="J113" s="152"/>
      <c r="K113" s="152"/>
      <c r="L113" s="152"/>
      <c r="M113" s="152"/>
      <c r="N113" s="152"/>
      <c r="O113" s="152"/>
      <c r="P113" s="152"/>
      <c r="Q113" s="151"/>
      <c r="R113" s="73"/>
      <c r="S113" s="107"/>
      <c r="T113" s="107"/>
      <c r="U113" s="107"/>
      <c r="V113" s="107"/>
      <c r="W113" s="107"/>
      <c r="X113" s="107"/>
      <c r="Y113" s="107"/>
      <c r="Z113" s="107"/>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9"/>
      <c r="B114" s="9"/>
      <c r="C114" s="9"/>
      <c r="D114" s="272" t="str">
        <f>Asset3</f>
        <v>Standard metering</v>
      </c>
      <c r="E114" s="9"/>
      <c r="F114" s="9"/>
      <c r="G114" s="125"/>
      <c r="H114" s="166">
        <f>-SUM(H102:H113)</f>
        <v>-15.790380770985777</v>
      </c>
      <c r="I114" s="166">
        <f>-SUM(I102:I113)</f>
        <v>0</v>
      </c>
      <c r="J114" s="166">
        <f>-SUM(J102:J113)</f>
        <v>0</v>
      </c>
      <c r="K114" s="166">
        <f>-SUM(K102:K113)</f>
        <v>0</v>
      </c>
      <c r="L114" s="166">
        <f>-SUM(L102:L113)</f>
        <v>0</v>
      </c>
      <c r="M114" s="73">
        <f>IF(COUNT($H114:L114)&gt;=Input!$Y$7,0, -SUM(M102:M113))</f>
        <v>0</v>
      </c>
      <c r="N114" s="73">
        <f>IF(COUNT($H114:M114)&gt;=Input!$Y$7,0, -SUM(N102:N113))</f>
        <v>0</v>
      </c>
      <c r="O114" s="73">
        <f>IF(COUNT($H114:N114)&gt;=Input!$Y$7,0, -SUM(O102:O113))</f>
        <v>0</v>
      </c>
      <c r="P114" s="73">
        <f>IF(COUNT($H114:O114)&gt;=Input!$Y$7,0, -SUM(P102:P113))</f>
        <v>0</v>
      </c>
      <c r="Q114" s="73">
        <f>IF(COUNT($H114:P114)&gt;=Input!$Y$7,0, -SUM(Q102:Q113))</f>
        <v>0</v>
      </c>
      <c r="R114" s="71"/>
      <c r="S114" s="109"/>
      <c r="T114" s="109"/>
      <c r="U114" s="109"/>
      <c r="V114" s="109"/>
      <c r="W114" s="109"/>
      <c r="X114" s="109"/>
      <c r="Y114" s="109"/>
      <c r="Z114" s="109"/>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73" t="str">
        <f>Asset4</f>
        <v>Public lighting</v>
      </c>
      <c r="D115" s="162"/>
      <c r="E115" s="32" t="s">
        <v>5</v>
      </c>
      <c r="F115" s="31"/>
      <c r="G115" s="181"/>
      <c r="H115" s="72">
        <f>IF(H$3&gt;A4remlife,A4value-$G$633-SUM($G115:G115),IF(A4remlife="N/A","n/a",(A4value-$G$633)/A4remlife))</f>
        <v>0.38897486718899543</v>
      </c>
      <c r="I115" s="72">
        <f>IF(I$3&gt;A4remlife,A4value-$G$633-SUM($G115:H115),IF(A4remlife="N/A","n/a",(A4value-$G$633)/A4remlife))</f>
        <v>0</v>
      </c>
      <c r="J115" s="72">
        <f>IF(J$3&gt;A4remlife,A4value-$G$633-SUM($G115:I115),IF(A4remlife="N/A","n/a",(A4value-$G$633)/A4remlife))</f>
        <v>0</v>
      </c>
      <c r="K115" s="72">
        <f>IF(K$3&gt;A4remlife,A4value-$G$633-SUM($G115:J115),IF(A4remlife="N/A","n/a",(A4value-$G$633)/A4remlife))</f>
        <v>0</v>
      </c>
      <c r="L115" s="72">
        <f>IF(L$3&gt;A4remlife,A4value-$G$633-SUM($G115:K115),IF(A4remlife="N/A","n/a",(A4value-$G$633)/A4remlife))</f>
        <v>0</v>
      </c>
      <c r="M115" s="72">
        <f>IF(M$3&gt;A4remlife,A4value-$G$633-SUM($G115:L115),IF(A4remlife="N/A","n/a",(A4value-$G$633)/A4remlife))</f>
        <v>0</v>
      </c>
      <c r="N115" s="72">
        <f>IF(N$3&gt;A4remlife,A4value-$G$633-SUM($G115:M115),IF(A4remlife="N/A","n/a",(A4value-$G$633)/A4remlife))</f>
        <v>0</v>
      </c>
      <c r="O115" s="72">
        <f>IF(O$3&gt;A4remlife,A4value-$G$633-SUM($G115:N115),IF(A4remlife="N/A","n/a",(A4value-$G$633)/A4remlife))</f>
        <v>0</v>
      </c>
      <c r="P115" s="72">
        <f>IF(P$3&gt;A4remlife,A4value-$G$633-SUM($G115:O115),IF(A4remlife="N/A","n/a",(A4value-$G$633)/A4remlife))</f>
        <v>0</v>
      </c>
      <c r="Q115" s="72">
        <f>IF(Q$3&gt;A4remlife,A4value-$G$633-SUM($G115:P115),IF(A4remlife="N/A","n/a",(A4value-$G$633)/A4remlife))</f>
        <v>0</v>
      </c>
      <c r="R115" s="72"/>
      <c r="S115" s="107"/>
      <c r="T115" s="107"/>
      <c r="U115" s="107"/>
      <c r="V115" s="107"/>
      <c r="W115" s="107"/>
      <c r="X115" s="107"/>
      <c r="Y115" s="107"/>
      <c r="Z115" s="107"/>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6"/>
      <c r="E116" s="536" t="s">
        <v>59</v>
      </c>
      <c r="F116" s="91"/>
      <c r="G116" s="125"/>
      <c r="H116" s="73"/>
      <c r="I116" s="73"/>
      <c r="J116" s="73"/>
      <c r="K116" s="73"/>
      <c r="L116" s="73"/>
      <c r="M116" s="164"/>
      <c r="N116" s="116"/>
      <c r="O116" s="73"/>
      <c r="P116" s="73"/>
      <c r="Q116" s="73"/>
      <c r="R116" s="73"/>
      <c r="S116" s="107"/>
      <c r="T116" s="107"/>
      <c r="U116" s="107"/>
      <c r="V116" s="107"/>
      <c r="W116" s="107"/>
      <c r="X116" s="107"/>
      <c r="Y116" s="107"/>
      <c r="Z116" s="107"/>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37"/>
      <c r="F117" s="91">
        <v>1</v>
      </c>
      <c r="G117" s="125"/>
      <c r="H117" s="149"/>
      <c r="I117" s="73" t="str">
        <f>IF(A4stdlife="n/a","n/a",IF(I$3&gt;(A4stdlife+$F117),(Input!$H$282*(1+vanilla1)^0.5)-SUM($H117:H117),(Input!$H$282*(1+vanilla1)^0.5)/A4stdlife))</f>
        <v>n/a</v>
      </c>
      <c r="J117" s="73" t="str">
        <f>IF(A4stdlife="n/a","n/a",IF(J$3&gt;(A4stdlife+$F117),(Input!$H$282*(1+vanilla1)^0.5)-SUM($H117:I117),(Input!$H$282*(1+vanilla1)^0.5)/A4stdlife))</f>
        <v>n/a</v>
      </c>
      <c r="K117" s="73" t="str">
        <f>IF(A4stdlife="n/a","n/a",IF(K$3&gt;(A4stdlife+$F117),(Input!$H$282*(1+vanilla1)^0.5)-SUM($H117:J117),(Input!$H$282*(1+vanilla1)^0.5)/A4stdlife))</f>
        <v>n/a</v>
      </c>
      <c r="L117" s="73" t="str">
        <f>IF(A4stdlife="n/a","n/a",IF(L$3&gt;(A4stdlife+$F117),(Input!$H$282*(1+vanilla1)^0.5)-SUM($H117:K117),(Input!$H$282*(1+vanilla1)^0.5)/A4stdlife))</f>
        <v>n/a</v>
      </c>
      <c r="M117" s="73" t="str">
        <f>IF(A4stdlife="n/a","n/a",IF(M$3&gt;(A4stdlife+$F117),(Input!$H$282*(1+vanilla1)^0.5)-SUM($H117:L117),(Input!$H$282*(1+vanilla1)^0.5)/A4stdlife))</f>
        <v>n/a</v>
      </c>
      <c r="N117" s="73" t="str">
        <f>IF(A4stdlife="n/a","n/a",IF(N$3&gt;(A4stdlife+$F117),(Input!$H$282*(1+vanilla1)^0.5)-SUM($H117:M117),(Input!$H$282*(1+vanilla1)^0.5)/A4stdlife))</f>
        <v>n/a</v>
      </c>
      <c r="O117" s="73" t="str">
        <f>IF(A4stdlife="n/a","n/a",IF(O$3&gt;(A4stdlife+$F117),(Input!$H$282*(1+vanilla1)^0.5)-SUM($H117:N117),(Input!$H$282*(1+vanilla1)^0.5)/A4stdlife))</f>
        <v>n/a</v>
      </c>
      <c r="P117" s="73" t="str">
        <f>IF(A4stdlife="n/a","n/a",IF(P$3&gt;(A4stdlife+$F117),(Input!$H$282*(1+vanilla1)^0.5)-SUM($H117:O117),(Input!$H$282*(1+vanilla1)^0.5)/A4stdlife))</f>
        <v>n/a</v>
      </c>
      <c r="Q117" s="73" t="str">
        <f>IF(A4stdlife="n/a","n/a",IF(Q$3&gt;(A4stdlife+$F117),(Input!$H$282*(1+vanilla1)^0.5)-SUM($H117:P117),(Input!$H$282*(1+vanilla1)^0.5)/A4stdlife))</f>
        <v>n/a</v>
      </c>
      <c r="R117" s="73"/>
      <c r="S117" s="107"/>
      <c r="T117" s="107"/>
      <c r="U117" s="107"/>
      <c r="V117" s="107"/>
      <c r="W117" s="107"/>
      <c r="X117" s="107"/>
      <c r="Y117" s="107"/>
      <c r="Z117" s="107"/>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37"/>
      <c r="F118" s="91">
        <v>2</v>
      </c>
      <c r="G118" s="125"/>
      <c r="H118" s="150"/>
      <c r="I118" s="151"/>
      <c r="J118" s="73" t="str">
        <f>IF(A4stdlife="n/a","n/a",IF(J$3&gt;(A4stdlife+$F118),(Input!$I$282*(1+vanilla2)^0.5)-SUM($I118:I118),(Input!$I$282*(1+vanilla2)^0.5)/A4stdlife))</f>
        <v>n/a</v>
      </c>
      <c r="K118" s="73" t="str">
        <f>IF(A4stdlife="n/a","n/a",IF(K$3&gt;(A4stdlife+$F118),(Input!$I$282*(1+vanilla2)^0.5)-SUM($I118:J118),(Input!$I$282*(1+vanilla2)^0.5)/A4stdlife))</f>
        <v>n/a</v>
      </c>
      <c r="L118" s="73" t="str">
        <f>IF(A4stdlife="n/a","n/a",IF(L$3&gt;(A4stdlife+$F118),(Input!$I$282*(1+vanilla2)^0.5)-SUM($I118:K118),(Input!$I$282*(1+vanilla2)^0.5)/A4stdlife))</f>
        <v>n/a</v>
      </c>
      <c r="M118" s="73" t="str">
        <f>IF(A4stdlife="n/a","n/a",IF(M$3&gt;(A4stdlife+$F118),(Input!$I$282*(1+vanilla2)^0.5)-SUM($I118:L118),(Input!$I$282*(1+vanilla2)^0.5)/A4stdlife))</f>
        <v>n/a</v>
      </c>
      <c r="N118" s="73" t="str">
        <f>IF(A4stdlife="n/a","n/a",IF(N$3&gt;(A4stdlife+$F118),(Input!$I$282*(1+vanilla2)^0.5)-SUM($I118:M118),(Input!$I$282*(1+vanilla2)^0.5)/A4stdlife))</f>
        <v>n/a</v>
      </c>
      <c r="O118" s="73" t="str">
        <f>IF(A4stdlife="n/a","n/a",IF(O$3&gt;(A4stdlife+$F118),(Input!$I$282*(1+vanilla2)^0.5)-SUM($I118:N118),(Input!$I$282*(1+vanilla2)^0.5)/A4stdlife))</f>
        <v>n/a</v>
      </c>
      <c r="P118" s="73" t="str">
        <f>IF(A4stdlife="n/a","n/a",IF(P$3&gt;(A4stdlife+$F118),(Input!$I$282*(1+vanilla2)^0.5)-SUM($I118:O118),(Input!$I$282*(1+vanilla2)^0.5)/A4stdlife))</f>
        <v>n/a</v>
      </c>
      <c r="Q118" s="73" t="str">
        <f>IF(A4stdlife="n/a","n/a",IF(Q$3&gt;(A4stdlife+$F118),(Input!$I$282*(1+vanilla2)^0.5)-SUM($I118:P118),(Input!$I$282*(1+vanilla2)^0.5)/A4stdlife))</f>
        <v>n/a</v>
      </c>
      <c r="R118" s="73"/>
      <c r="S118" s="107"/>
      <c r="T118" s="107"/>
      <c r="U118" s="107"/>
      <c r="V118" s="107"/>
      <c r="W118" s="107"/>
      <c r="X118" s="107"/>
      <c r="Y118" s="107"/>
      <c r="Z118" s="107"/>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37"/>
      <c r="F119" s="91">
        <v>3</v>
      </c>
      <c r="G119" s="125"/>
      <c r="H119" s="150"/>
      <c r="I119" s="152"/>
      <c r="J119" s="151"/>
      <c r="K119" s="73" t="str">
        <f>IF(A4stdlife="n/a","n/a",IF(K$3&gt;(A4stdlife+$F119),(Input!$J$282*(1+vanilla3)^0.5)-SUM($J119:J119),(Input!$J$282*(1+vanilla3)^0.5)/A4stdlife))</f>
        <v>n/a</v>
      </c>
      <c r="L119" s="73" t="str">
        <f>IF(A4stdlife="n/a","n/a",IF(L$3&gt;(A4stdlife+$F119),(Input!$J$282*(1+vanilla3)^0.5)-SUM($J119:K119),(Input!$J$282*(1+vanilla3)^0.5)/A4stdlife))</f>
        <v>n/a</v>
      </c>
      <c r="M119" s="73" t="str">
        <f>IF(A4stdlife="n/a","n/a",IF(M$3&gt;(A4stdlife+$F119),(Input!$J$282*(1+vanilla3)^0.5)-SUM($J119:L119),(Input!$J$282*(1+vanilla3)^0.5)/A4stdlife))</f>
        <v>n/a</v>
      </c>
      <c r="N119" s="73" t="str">
        <f>IF(A4stdlife="n/a","n/a",IF(N$3&gt;(A4stdlife+$F119),(Input!$J$282*(1+vanilla3)^0.5)-SUM($J119:M119),(Input!$J$282*(1+vanilla3)^0.5)/A4stdlife))</f>
        <v>n/a</v>
      </c>
      <c r="O119" s="73" t="str">
        <f>IF(A4stdlife="n/a","n/a",IF(O$3&gt;(A4stdlife+$F119),(Input!$J$282*(1+vanilla3)^0.5)-SUM($J119:N119),(Input!$J$282*(1+vanilla3)^0.5)/A4stdlife))</f>
        <v>n/a</v>
      </c>
      <c r="P119" s="73" t="str">
        <f>IF(A4stdlife="n/a","n/a",IF(P$3&gt;(A4stdlife+$F119),(Input!$J$282*(1+vanilla3)^0.5)-SUM($J119:O119),(Input!$J$282*(1+vanilla3)^0.5)/A4stdlife))</f>
        <v>n/a</v>
      </c>
      <c r="Q119" s="73" t="str">
        <f>IF(A4stdlife="n/a","n/a",IF(Q$3&gt;(A4stdlife+$F119),(Input!$J$282*(1+vanilla3)^0.5)-SUM($J119:P119),(Input!$J$282*(1+vanilla3)^0.5)/A4stdlife))</f>
        <v>n/a</v>
      </c>
      <c r="R119" s="73"/>
      <c r="S119" s="107"/>
      <c r="T119" s="107"/>
      <c r="U119" s="107"/>
      <c r="V119" s="107"/>
      <c r="W119" s="107"/>
      <c r="X119" s="107"/>
      <c r="Y119" s="107"/>
      <c r="Z119" s="107"/>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37"/>
      <c r="F120" s="91">
        <v>4</v>
      </c>
      <c r="G120" s="125"/>
      <c r="H120" s="150"/>
      <c r="I120" s="152"/>
      <c r="J120" s="152"/>
      <c r="K120" s="151"/>
      <c r="L120" s="73" t="str">
        <f>IF(A4stdlife="n/a","n/a",IF(L$3&gt;(A4stdlife+$F120),(Input!$K$282*(1+vanilla4)^0.5)-SUM($K120:K120),(Input!$K$282*(1+vanilla4)^0.5)/A4stdlife))</f>
        <v>n/a</v>
      </c>
      <c r="M120" s="73" t="str">
        <f>IF(A4stdlife="n/a","n/a",IF(M$3&gt;(A4stdlife+$F120),(Input!$K$282*(1+vanilla4)^0.5)-SUM($K120:L120),(Input!$K$282*(1+vanilla4)^0.5)/A4stdlife))</f>
        <v>n/a</v>
      </c>
      <c r="N120" s="73" t="str">
        <f>IF(A4stdlife="n/a","n/a",IF(N$3&gt;(A4stdlife+$F120),(Input!$K$282*(1+vanilla4)^0.5)-SUM($K120:M120),(Input!$K$282*(1+vanilla4)^0.5)/A4stdlife))</f>
        <v>n/a</v>
      </c>
      <c r="O120" s="73" t="str">
        <f>IF(A4stdlife="n/a","n/a",IF(O$3&gt;(A4stdlife+$F120),(Input!$K$282*(1+vanilla4)^0.5)-SUM($K120:N120),(Input!$K$282*(1+vanilla4)^0.5)/A4stdlife))</f>
        <v>n/a</v>
      </c>
      <c r="P120" s="73" t="str">
        <f>IF(A4stdlife="n/a","n/a",IF(P$3&gt;(A4stdlife+$F120),(Input!$K$282*(1+vanilla4)^0.5)-SUM($K120:O120),(Input!$K$282*(1+vanilla4)^0.5)/A4stdlife))</f>
        <v>n/a</v>
      </c>
      <c r="Q120" s="73" t="str">
        <f>IF(A4stdlife="n/a","n/a",IF(Q$3&gt;(A4stdlife+$F120),(Input!$K$282*(1+vanilla4)^0.5)-SUM($K120:P120),(Input!$K$282*(1+vanilla4)^0.5)/A4stdlife))</f>
        <v>n/a</v>
      </c>
      <c r="R120" s="73"/>
      <c r="S120" s="107"/>
      <c r="T120" s="107"/>
      <c r="U120" s="107"/>
      <c r="V120" s="107"/>
      <c r="W120" s="107"/>
      <c r="X120" s="107"/>
      <c r="Y120" s="107"/>
      <c r="Z120" s="107"/>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6"/>
      <c r="E121" s="537"/>
      <c r="F121" s="91">
        <v>5</v>
      </c>
      <c r="G121" s="125"/>
      <c r="H121" s="150"/>
      <c r="I121" s="152"/>
      <c r="J121" s="152"/>
      <c r="K121" s="152"/>
      <c r="L121" s="151"/>
      <c r="M121" s="73" t="str">
        <f>IF(A4stdlife="n/a","n/a",IF(M$3&gt;(A4stdlife+$F121),(Input!$L$282*(1+vanilla5)^0.5)-SUM($L121:L121),(Input!$L$282*(1+vanilla5)^0.5)/A4stdlife))</f>
        <v>n/a</v>
      </c>
      <c r="N121" s="73" t="str">
        <f>IF(A4stdlife="n/a","n/a",IF(N$3&gt;(A4stdlife+$F121),(Input!$L$282*(1+vanilla5)^0.5)-SUM($L121:M121),(Input!$L$282*(1+vanilla5)^0.5)/A4stdlife))</f>
        <v>n/a</v>
      </c>
      <c r="O121" s="73" t="str">
        <f>IF(A4stdlife="n/a","n/a",IF(O$3&gt;(A4stdlife+$F121),(Input!$L$282*(1+vanilla5)^0.5)-SUM($L121:N121),(Input!$L$282*(1+vanilla5)^0.5)/A4stdlife))</f>
        <v>n/a</v>
      </c>
      <c r="P121" s="73" t="str">
        <f>IF(A4stdlife="n/a","n/a",IF(P$3&gt;(A4stdlife+$F121),(Input!$L$282*(1+vanilla5)^0.5)-SUM($L121:O121),(Input!$L$282*(1+vanilla5)^0.5)/A4stdlife))</f>
        <v>n/a</v>
      </c>
      <c r="Q121" s="73" t="str">
        <f>IF(A4stdlife="n/a","n/a",IF(Q$3&gt;(A4stdlife+$F121),(Input!$L$282*(1+vanilla5)^0.5)-SUM($L121:P121),(Input!$L$282*(1+vanilla5)^0.5)/A4stdlife))</f>
        <v>n/a</v>
      </c>
      <c r="R121" s="73"/>
      <c r="S121" s="107"/>
      <c r="T121" s="107"/>
      <c r="U121" s="107"/>
      <c r="V121" s="107"/>
      <c r="W121" s="107"/>
      <c r="X121" s="107"/>
      <c r="Y121" s="107"/>
      <c r="Z121" s="107"/>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6"/>
      <c r="E122" s="537"/>
      <c r="F122" s="91">
        <v>6</v>
      </c>
      <c r="G122" s="125"/>
      <c r="H122" s="150"/>
      <c r="I122" s="152"/>
      <c r="J122" s="152"/>
      <c r="K122" s="152"/>
      <c r="L122" s="152"/>
      <c r="M122" s="151"/>
      <c r="N122" s="73" t="str">
        <f>IF(A4stdlife="n/a","n/a",IF(N$3&gt;(A4stdlife+$F122),(Input!$M$282*(1+vanilla6)^0.5)-SUM($M122:M122),(Input!$M$282*(1+vanilla6)^0.5)/A4stdlife))</f>
        <v>n/a</v>
      </c>
      <c r="O122" s="73" t="str">
        <f>IF(A4stdlife="n/a","n/a",IF(O$3&gt;(A4stdlife+$F122),(Input!$M$282*(1+vanilla6)^0.5)-SUM($M122:N122),(Input!$M$282*(1+vanilla6)^0.5)/A4stdlife))</f>
        <v>n/a</v>
      </c>
      <c r="P122" s="73" t="str">
        <f>IF(A4stdlife="n/a","n/a",IF(P$3&gt;(A4stdlife+$F122),(Input!$M$282*(1+vanilla6)^0.5)-SUM($M122:O122),(Input!$M$282*(1+vanilla6)^0.5)/A4stdlife))</f>
        <v>n/a</v>
      </c>
      <c r="Q122" s="73" t="str">
        <f>IF(A4stdlife="n/a","n/a",IF(Q$3&gt;(A4stdlife+$F122),(Input!$M$282*(1+vanilla6)^0.5)-SUM($M122:P122),(Input!$M$282*(1+vanilla6)^0.5)/A4stdlife))</f>
        <v>n/a</v>
      </c>
      <c r="R122" s="73"/>
      <c r="S122" s="107"/>
      <c r="T122" s="107"/>
      <c r="U122" s="107"/>
      <c r="V122" s="107"/>
      <c r="W122" s="107"/>
      <c r="X122" s="107"/>
      <c r="Y122" s="107"/>
      <c r="Z122" s="107"/>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6"/>
      <c r="E123" s="537"/>
      <c r="F123" s="91">
        <v>7</v>
      </c>
      <c r="G123" s="125"/>
      <c r="H123" s="150"/>
      <c r="I123" s="152"/>
      <c r="J123" s="152"/>
      <c r="K123" s="152"/>
      <c r="L123" s="152"/>
      <c r="M123" s="152"/>
      <c r="N123" s="151"/>
      <c r="O123" s="73" t="str">
        <f>IF(A4stdlife="n/a","n/a",IF(O$3&gt;(A4stdlife+$F123),(Input!$N$282*(1+vanilla7)^0.5)-SUM($N123:N123),(Input!$N$282*(1+vanilla7)^0.5)/A4stdlife))</f>
        <v>n/a</v>
      </c>
      <c r="P123" s="73" t="str">
        <f>IF(A4stdlife="n/a","n/a",IF(P$3&gt;(A4stdlife+$F123),(Input!$N$282*(1+vanilla7)^0.5)-SUM($N123:O123),(Input!$N$282*(1+vanilla7)^0.5)/A4stdlife))</f>
        <v>n/a</v>
      </c>
      <c r="Q123" s="73" t="str">
        <f>IF(A4stdlife="n/a","n/a",IF(Q$3&gt;(A4stdlife+$F123),(Input!$N$282*(1+vanilla7)^0.5)-SUM($N123:P123),(Input!$N$282*(1+vanilla7)^0.5)/A4stdlife))</f>
        <v>n/a</v>
      </c>
      <c r="R123" s="73"/>
      <c r="S123" s="107"/>
      <c r="T123" s="107"/>
      <c r="U123" s="107"/>
      <c r="V123" s="107"/>
      <c r="W123" s="107"/>
      <c r="X123" s="107"/>
      <c r="Y123" s="107"/>
      <c r="Z123" s="107"/>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37"/>
      <c r="F124" s="91">
        <v>8</v>
      </c>
      <c r="G124" s="125"/>
      <c r="H124" s="150"/>
      <c r="I124" s="152"/>
      <c r="J124" s="152"/>
      <c r="K124" s="152"/>
      <c r="L124" s="152"/>
      <c r="M124" s="152"/>
      <c r="N124" s="152"/>
      <c r="O124" s="151"/>
      <c r="P124" s="73" t="str">
        <f>IF(A4stdlife="n/a","n/a",IF(P$3&gt;(A4stdlife+$F124),(Input!$O$282*(1+vanilla8)^0.5)-SUM($O124:O124),(Input!$O$282*(1+vanilla8)^0.5)/A4stdlife))</f>
        <v>n/a</v>
      </c>
      <c r="Q124" s="73" t="str">
        <f>IF(A4stdlife="n/a","n/a",IF(Q$3&gt;(A4stdlife+$F124),(Input!$O$282*(1+vanilla8)^0.5)-SUM($O124:P124),(Input!$O$282*(1+vanilla8)^0.5)/A4stdlife))</f>
        <v>n/a</v>
      </c>
      <c r="R124" s="73"/>
      <c r="S124" s="107"/>
      <c r="T124" s="107"/>
      <c r="U124" s="107"/>
      <c r="V124" s="107"/>
      <c r="W124" s="107"/>
      <c r="X124" s="107"/>
      <c r="Y124" s="107"/>
      <c r="Z124" s="107"/>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37"/>
      <c r="F125" s="91">
        <v>9</v>
      </c>
      <c r="G125" s="125"/>
      <c r="H125" s="150"/>
      <c r="I125" s="152"/>
      <c r="J125" s="152"/>
      <c r="K125" s="152"/>
      <c r="L125" s="152"/>
      <c r="M125" s="152"/>
      <c r="N125" s="152"/>
      <c r="O125" s="152"/>
      <c r="P125" s="151"/>
      <c r="Q125" s="73" t="str">
        <f>IF(A4stdlife="n/a","n/a",IF(Q$3&gt;(A4stdlife+$F125),(Input!$P$282*(1+vanilla9)^0.5)-SUM($P125:P125),(Input!$P$282*(1+vanilla9)^0.5)/A4stdlife))</f>
        <v>n/a</v>
      </c>
      <c r="R125" s="73"/>
      <c r="S125" s="107"/>
      <c r="T125" s="107"/>
      <c r="U125" s="107"/>
      <c r="V125" s="107"/>
      <c r="W125" s="107"/>
      <c r="X125" s="107"/>
      <c r="Y125" s="107"/>
      <c r="Z125" s="107"/>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37"/>
      <c r="F126" s="92">
        <v>10</v>
      </c>
      <c r="G126" s="125"/>
      <c r="H126" s="150"/>
      <c r="I126" s="152"/>
      <c r="J126" s="152"/>
      <c r="K126" s="152"/>
      <c r="L126" s="152"/>
      <c r="M126" s="152"/>
      <c r="N126" s="152"/>
      <c r="O126" s="152"/>
      <c r="P126" s="152"/>
      <c r="Q126" s="151"/>
      <c r="R126" s="73"/>
      <c r="S126" s="107"/>
      <c r="T126" s="107"/>
      <c r="U126" s="107"/>
      <c r="V126" s="107"/>
      <c r="W126" s="107"/>
      <c r="X126" s="107"/>
      <c r="Y126" s="107"/>
      <c r="Z126" s="107"/>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9"/>
      <c r="B127" s="9"/>
      <c r="C127" s="9"/>
      <c r="D127" s="272" t="str">
        <f>Asset4</f>
        <v>Public lighting</v>
      </c>
      <c r="E127" s="9"/>
      <c r="F127" s="9"/>
      <c r="G127" s="125"/>
      <c r="H127" s="166">
        <f>-SUM(H115:H126)</f>
        <v>-0.38897486718899543</v>
      </c>
      <c r="I127" s="166">
        <f>-SUM(I115:I126)</f>
        <v>0</v>
      </c>
      <c r="J127" s="166">
        <f>-SUM(J115:J126)</f>
        <v>0</v>
      </c>
      <c r="K127" s="166">
        <f>-SUM(K115:K126)</f>
        <v>0</v>
      </c>
      <c r="L127" s="166">
        <f>-SUM(L115:L126)</f>
        <v>0</v>
      </c>
      <c r="M127" s="73">
        <f>IF(COUNT($H127:L127)&gt;=Input!$Y$7,0, -SUM(M115:M126))</f>
        <v>0</v>
      </c>
      <c r="N127" s="73">
        <f>IF(COUNT($H127:M127)&gt;=Input!$Y$7,0, -SUM(N115:N126))</f>
        <v>0</v>
      </c>
      <c r="O127" s="73">
        <f>IF(COUNT($H127:N127)&gt;=Input!$Y$7,0, -SUM(O115:O126))</f>
        <v>0</v>
      </c>
      <c r="P127" s="73">
        <f>IF(COUNT($H127:O127)&gt;=Input!$Y$7,0, -SUM(P115:P126))</f>
        <v>0</v>
      </c>
      <c r="Q127" s="73">
        <f>IF(COUNT($H127:P127)&gt;=Input!$Y$7,0, -SUM(Q115:Q126))</f>
        <v>0</v>
      </c>
      <c r="R127" s="71"/>
      <c r="S127" s="109"/>
      <c r="T127" s="109"/>
      <c r="U127" s="109"/>
      <c r="V127" s="109"/>
      <c r="W127" s="109"/>
      <c r="X127" s="109"/>
      <c r="Y127" s="109"/>
      <c r="Z127" s="109"/>
      <c r="AA127" s="236"/>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73" t="str">
        <f>Asset5</f>
        <v>SCADA/Network control</v>
      </c>
      <c r="D128" s="162"/>
      <c r="E128" s="32" t="s">
        <v>5</v>
      </c>
      <c r="F128" s="31"/>
      <c r="G128" s="181"/>
      <c r="H128" s="72">
        <f>IF(H$3&gt;A5remlife,A5value-$G$634-SUM($G128:G128),IF(A5remlife="N/A","n/a",(A5value-$G$634)/A5remlife))</f>
        <v>1.6653345369377348E-15</v>
      </c>
      <c r="I128" s="72">
        <f>IF(I$3&gt;A5remlife,A5value-$G$634-SUM($G128:H128),IF(A5remlife="N/A","n/a",(A5value-$G$634)/A5remlife))</f>
        <v>0</v>
      </c>
      <c r="J128" s="72">
        <f>IF(J$3&gt;A5remlife,A5value-$G$634-SUM($G128:I128),IF(A5remlife="N/A","n/a",(A5value-$G$634)/A5remlife))</f>
        <v>0</v>
      </c>
      <c r="K128" s="72">
        <f>IF(K$3&gt;A5remlife,A5value-$G$634-SUM($G128:J128),IF(A5remlife="N/A","n/a",(A5value-$G$634)/A5remlife))</f>
        <v>0</v>
      </c>
      <c r="L128" s="72">
        <f>IF(L$3&gt;A5remlife,A5value-$G$634-SUM($G128:K128),IF(A5remlife="N/A","n/a",(A5value-$G$634)/A5remlife))</f>
        <v>0</v>
      </c>
      <c r="M128" s="72">
        <f>IF(M$3&gt;A5remlife,A5value-$G$634-SUM($G128:L128),IF(A5remlife="N/A","n/a",(A5value-$G$634)/A5remlife))</f>
        <v>0</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6"/>
      <c r="E129" s="536" t="s">
        <v>59</v>
      </c>
      <c r="F129" s="91"/>
      <c r="G129" s="125"/>
      <c r="H129" s="73"/>
      <c r="I129" s="73"/>
      <c r="J129" s="73"/>
      <c r="K129" s="73"/>
      <c r="L129" s="73"/>
      <c r="M129" s="164"/>
      <c r="N129" s="116"/>
      <c r="O129" s="73"/>
      <c r="P129" s="73"/>
      <c r="Q129" s="73"/>
      <c r="R129" s="73"/>
      <c r="S129" s="107"/>
      <c r="T129" s="107"/>
      <c r="U129" s="107"/>
      <c r="V129" s="107"/>
      <c r="W129" s="107"/>
      <c r="X129" s="107"/>
      <c r="Y129" s="107"/>
      <c r="Z129" s="107"/>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37"/>
      <c r="F130" s="91">
        <v>1</v>
      </c>
      <c r="G130" s="125"/>
      <c r="H130" s="149"/>
      <c r="I130" s="73">
        <f>IF(A5stdlife="n/a","n/a",IF(I$3&gt;(A5stdlife+$F130),(Input!$H$283*(1+vanilla1)^0.5)-SUM($H130:H130),(Input!$H$283*(1+vanilla1)^0.5)/A5stdlife))</f>
        <v>0.25893070092516307</v>
      </c>
      <c r="J130" s="73">
        <f>IF(A5stdlife="n/a","n/a",IF(J$3&gt;(A5stdlife+$F130),(Input!$H$283*(1+vanilla1)^0.5)-SUM($H130:I130),(Input!$H$283*(1+vanilla1)^0.5)/A5stdlife))</f>
        <v>0.25893070092516307</v>
      </c>
      <c r="K130" s="73">
        <f>IF(A5stdlife="n/a","n/a",IF(K$3&gt;(A5stdlife+$F130),(Input!$H$283*(1+vanilla1)^0.5)-SUM($H130:J130),(Input!$H$283*(1+vanilla1)^0.5)/A5stdlife))</f>
        <v>0.25893070092516307</v>
      </c>
      <c r="L130" s="73">
        <f>IF(A5stdlife="n/a","n/a",IF(L$3&gt;(A5stdlife+$F130),(Input!$H$283*(1+vanilla1)^0.5)-SUM($H130:K130),(Input!$H$283*(1+vanilla1)^0.5)/A5stdlife))</f>
        <v>0.25893070092516307</v>
      </c>
      <c r="M130" s="73">
        <f>IF(A5stdlife="n/a","n/a",IF(M$3&gt;(A5stdlife+$F130),(Input!$H$283*(1+vanilla1)^0.5)-SUM($H130:L130),(Input!$H$283*(1+vanilla1)^0.5)/A5stdlife))</f>
        <v>0.25893070092516307</v>
      </c>
      <c r="N130" s="73">
        <f>IF(A5stdlife="n/a","n/a",IF(N$3&gt;(A5stdlife+$F130),(Input!$H$283*(1+vanilla1)^0.5)-SUM($H130:M130),(Input!$H$283*(1+vanilla1)^0.5)/A5stdlife))</f>
        <v>0</v>
      </c>
      <c r="O130" s="73">
        <f>IF(A5stdlife="n/a","n/a",IF(O$3&gt;(A5stdlife+$F130),(Input!$H$283*(1+vanilla1)^0.5)-SUM($H130:N130),(Input!$H$283*(1+vanilla1)^0.5)/A5stdlife))</f>
        <v>0</v>
      </c>
      <c r="P130" s="73">
        <f>IF(A5stdlife="n/a","n/a",IF(P$3&gt;(A5stdlife+$F130),(Input!$H$283*(1+vanilla1)^0.5)-SUM($H130:O130),(Input!$H$283*(1+vanilla1)^0.5)/A5stdlife))</f>
        <v>0</v>
      </c>
      <c r="Q130" s="73">
        <f>IF(A5stdlife="n/a","n/a",IF(Q$3&gt;(A5stdlife+$F130),(Input!$H$283*(1+vanilla1)^0.5)-SUM($H130:P130),(Input!$H$283*(1+vanilla1)^0.5)/A5stdlife))</f>
        <v>0</v>
      </c>
      <c r="R130" s="73"/>
      <c r="S130" s="107"/>
      <c r="T130" s="107"/>
      <c r="U130" s="107"/>
      <c r="V130" s="107"/>
      <c r="W130" s="107"/>
      <c r="X130" s="107"/>
      <c r="Y130" s="107"/>
      <c r="Z130" s="107"/>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37"/>
      <c r="F131" s="91">
        <v>2</v>
      </c>
      <c r="G131" s="125"/>
      <c r="H131" s="150"/>
      <c r="I131" s="151"/>
      <c r="J131" s="73">
        <f>IF(A5stdlife="n/a","n/a",IF(J$3&gt;(A5stdlife+$F131),(Input!$I$283*(1+vanilla2)^0.5)-SUM($I131:I131),(Input!$I$283*(1+vanilla2)^0.5)/A5stdlife))</f>
        <v>1.1697750722692086</v>
      </c>
      <c r="K131" s="73">
        <f>IF(A5stdlife="n/a","n/a",IF(K$3&gt;(A5stdlife+$F131),(Input!$I$283*(1+vanilla2)^0.5)-SUM($I131:J131),(Input!$I$283*(1+vanilla2)^0.5)/A5stdlife))</f>
        <v>1.1697750722692086</v>
      </c>
      <c r="L131" s="73">
        <f>IF(A5stdlife="n/a","n/a",IF(L$3&gt;(A5stdlife+$F131),(Input!$I$283*(1+vanilla2)^0.5)-SUM($I131:K131),(Input!$I$283*(1+vanilla2)^0.5)/A5stdlife))</f>
        <v>1.1697750722692086</v>
      </c>
      <c r="M131" s="73">
        <f>IF(A5stdlife="n/a","n/a",IF(M$3&gt;(A5stdlife+$F131),(Input!$I$283*(1+vanilla2)^0.5)-SUM($I131:L131),(Input!$I$283*(1+vanilla2)^0.5)/A5stdlife))</f>
        <v>1.1697750722692086</v>
      </c>
      <c r="N131" s="73">
        <f>IF(A5stdlife="n/a","n/a",IF(N$3&gt;(A5stdlife+$F131),(Input!$I$283*(1+vanilla2)^0.5)-SUM($I131:M131),(Input!$I$283*(1+vanilla2)^0.5)/A5stdlife))</f>
        <v>1.1697750722692086</v>
      </c>
      <c r="O131" s="73">
        <f>IF(A5stdlife="n/a","n/a",IF(O$3&gt;(A5stdlife+$F131),(Input!$I$283*(1+vanilla2)^0.5)-SUM($I131:N131),(Input!$I$283*(1+vanilla2)^0.5)/A5stdlife))</f>
        <v>0</v>
      </c>
      <c r="P131" s="73">
        <f>IF(A5stdlife="n/a","n/a",IF(P$3&gt;(A5stdlife+$F131),(Input!$I$283*(1+vanilla2)^0.5)-SUM($I131:O131),(Input!$I$283*(1+vanilla2)^0.5)/A5stdlife))</f>
        <v>0</v>
      </c>
      <c r="Q131" s="73">
        <f>IF(A5stdlife="n/a","n/a",IF(Q$3&gt;(A5stdlife+$F131),(Input!$I$283*(1+vanilla2)^0.5)-SUM($I131:P131),(Input!$I$283*(1+vanilla2)^0.5)/A5stdlife))</f>
        <v>0</v>
      </c>
      <c r="R131" s="73"/>
      <c r="S131" s="107"/>
      <c r="T131" s="107"/>
      <c r="U131" s="107"/>
      <c r="V131" s="107"/>
      <c r="W131" s="107"/>
      <c r="X131" s="107"/>
      <c r="Y131" s="107"/>
      <c r="Z131" s="107"/>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37"/>
      <c r="F132" s="91">
        <v>3</v>
      </c>
      <c r="G132" s="125"/>
      <c r="H132" s="150"/>
      <c r="I132" s="152"/>
      <c r="J132" s="151"/>
      <c r="K132" s="73">
        <f>IF(A5stdlife="n/a","n/a",IF(K$3&gt;(A5stdlife+$F132),(Input!$J$283*(1+vanilla3)^0.5)-SUM($J132:J132),(Input!$J$283*(1+vanilla3)^0.5)/A5stdlife))</f>
        <v>0.37058254613545571</v>
      </c>
      <c r="L132" s="73">
        <f>IF(A5stdlife="n/a","n/a",IF(L$3&gt;(A5stdlife+$F132),(Input!$J$283*(1+vanilla3)^0.5)-SUM($J132:K132),(Input!$J$283*(1+vanilla3)^0.5)/A5stdlife))</f>
        <v>0.37058254613545571</v>
      </c>
      <c r="M132" s="73">
        <f>IF(A5stdlife="n/a","n/a",IF(M$3&gt;(A5stdlife+$F132),(Input!$J$283*(1+vanilla3)^0.5)-SUM($J132:L132),(Input!$J$283*(1+vanilla3)^0.5)/A5stdlife))</f>
        <v>0.37058254613545571</v>
      </c>
      <c r="N132" s="73">
        <f>IF(A5stdlife="n/a","n/a",IF(N$3&gt;(A5stdlife+$F132),(Input!$J$283*(1+vanilla3)^0.5)-SUM($J132:M132),(Input!$J$283*(1+vanilla3)^0.5)/A5stdlife))</f>
        <v>0.37058254613545571</v>
      </c>
      <c r="O132" s="73">
        <f>IF(A5stdlife="n/a","n/a",IF(O$3&gt;(A5stdlife+$F132),(Input!$J$283*(1+vanilla3)^0.5)-SUM($J132:N132),(Input!$J$283*(1+vanilla3)^0.5)/A5stdlife))</f>
        <v>0.37058254613545571</v>
      </c>
      <c r="P132" s="73">
        <f>IF(A5stdlife="n/a","n/a",IF(P$3&gt;(A5stdlife+$F132),(Input!$J$283*(1+vanilla3)^0.5)-SUM($J132:O132),(Input!$J$283*(1+vanilla3)^0.5)/A5stdlife))</f>
        <v>0</v>
      </c>
      <c r="Q132" s="73">
        <f>IF(A5stdlife="n/a","n/a",IF(Q$3&gt;(A5stdlife+$F132),(Input!$J$283*(1+vanilla3)^0.5)-SUM($J132:P132),(Input!$J$283*(1+vanilla3)^0.5)/A5stdlife))</f>
        <v>0</v>
      </c>
      <c r="R132" s="73"/>
      <c r="S132" s="107"/>
      <c r="T132" s="107"/>
      <c r="U132" s="107"/>
      <c r="V132" s="107"/>
      <c r="W132" s="107"/>
      <c r="X132" s="107"/>
      <c r="Y132" s="107"/>
      <c r="Z132" s="107"/>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37"/>
      <c r="F133" s="91">
        <v>4</v>
      </c>
      <c r="G133" s="125"/>
      <c r="H133" s="150"/>
      <c r="I133" s="152"/>
      <c r="J133" s="152"/>
      <c r="K133" s="151"/>
      <c r="L133" s="73">
        <f>IF(A5stdlife="n/a","n/a",IF(L$3&gt;(A5stdlife+$F133),(Input!$K$283*(1+vanilla4)^0.5)-SUM($K133:K133),(Input!$K$283*(1+vanilla4)^0.5)/A5stdlife))</f>
        <v>0.138774990779515</v>
      </c>
      <c r="M133" s="73">
        <f>IF(A5stdlife="n/a","n/a",IF(M$3&gt;(A5stdlife+$F133),(Input!$K$283*(1+vanilla4)^0.5)-SUM($K133:L133),(Input!$K$283*(1+vanilla4)^0.5)/A5stdlife))</f>
        <v>0.138774990779515</v>
      </c>
      <c r="N133" s="73">
        <f>IF(A5stdlife="n/a","n/a",IF(N$3&gt;(A5stdlife+$F133),(Input!$K$283*(1+vanilla4)^0.5)-SUM($K133:M133),(Input!$K$283*(1+vanilla4)^0.5)/A5stdlife))</f>
        <v>0.138774990779515</v>
      </c>
      <c r="O133" s="73">
        <f>IF(A5stdlife="n/a","n/a",IF(O$3&gt;(A5stdlife+$F133),(Input!$K$283*(1+vanilla4)^0.5)-SUM($K133:N133),(Input!$K$283*(1+vanilla4)^0.5)/A5stdlife))</f>
        <v>0.138774990779515</v>
      </c>
      <c r="P133" s="73">
        <f>IF(A5stdlife="n/a","n/a",IF(P$3&gt;(A5stdlife+$F133),(Input!$K$283*(1+vanilla4)^0.5)-SUM($K133:O133),(Input!$K$283*(1+vanilla4)^0.5)/A5stdlife))</f>
        <v>0.138774990779515</v>
      </c>
      <c r="Q133" s="73">
        <f>IF(A5stdlife="n/a","n/a",IF(Q$3&gt;(A5stdlife+$F133),(Input!$K$283*(1+vanilla4)^0.5)-SUM($K133:P133),(Input!$K$283*(1+vanilla4)^0.5)/A5stdlife))</f>
        <v>-1.1102230246251565E-16</v>
      </c>
      <c r="R133" s="73"/>
      <c r="S133" s="107"/>
      <c r="T133" s="107"/>
      <c r="U133" s="107"/>
      <c r="V133" s="107"/>
      <c r="W133" s="107"/>
      <c r="X133" s="107"/>
      <c r="Y133" s="107"/>
      <c r="Z133" s="107"/>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6"/>
      <c r="E134" s="537"/>
      <c r="F134" s="91">
        <v>5</v>
      </c>
      <c r="G134" s="125"/>
      <c r="H134" s="150"/>
      <c r="I134" s="152"/>
      <c r="J134" s="152"/>
      <c r="K134" s="152"/>
      <c r="L134" s="151"/>
      <c r="M134" s="73">
        <f>IF(A5stdlife="n/a","n/a",IF(M$3&gt;(A5stdlife+$F134),(Input!$L$283*(1+vanilla5)^0.5)-SUM($L134:L134),(Input!$L$283*(1+vanilla5)^0.5)/A5stdlife))</f>
        <v>0.53740120393451141</v>
      </c>
      <c r="N134" s="73">
        <f>IF(A5stdlife="n/a","n/a",IF(N$3&gt;(A5stdlife+$F134),(Input!$L$283*(1+vanilla5)^0.5)-SUM($L134:M134),(Input!$L$283*(1+vanilla5)^0.5)/A5stdlife))</f>
        <v>0.53740120393451141</v>
      </c>
      <c r="O134" s="73">
        <f>IF(A5stdlife="n/a","n/a",IF(O$3&gt;(A5stdlife+$F134),(Input!$L$283*(1+vanilla5)^0.5)-SUM($L134:N134),(Input!$L$283*(1+vanilla5)^0.5)/A5stdlife))</f>
        <v>0.53740120393451141</v>
      </c>
      <c r="P134" s="73">
        <f>IF(A5stdlife="n/a","n/a",IF(P$3&gt;(A5stdlife+$F134),(Input!$L$283*(1+vanilla5)^0.5)-SUM($L134:O134),(Input!$L$283*(1+vanilla5)^0.5)/A5stdlife))</f>
        <v>0.53740120393451141</v>
      </c>
      <c r="Q134" s="73">
        <f>IF(A5stdlife="n/a","n/a",IF(Q$3&gt;(A5stdlife+$F134),(Input!$L$283*(1+vanilla5)^0.5)-SUM($L134:P134),(Input!$L$283*(1+vanilla5)^0.5)/A5stdlife))</f>
        <v>0.53740120393451141</v>
      </c>
      <c r="R134" s="73"/>
      <c r="S134" s="107"/>
      <c r="T134" s="107"/>
      <c r="U134" s="107"/>
      <c r="V134" s="107"/>
      <c r="W134" s="107"/>
      <c r="X134" s="107"/>
      <c r="Y134" s="107"/>
      <c r="Z134" s="107"/>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6"/>
      <c r="E135" s="537"/>
      <c r="F135" s="91">
        <v>6</v>
      </c>
      <c r="G135" s="125"/>
      <c r="H135" s="150"/>
      <c r="I135" s="152"/>
      <c r="J135" s="152"/>
      <c r="K135" s="152"/>
      <c r="L135" s="152"/>
      <c r="M135" s="151"/>
      <c r="N135" s="73">
        <f>IF(A5stdlife="n/a","n/a",IF(N$3&gt;(A5stdlife+$F135),(Input!$M$283*(1+vanilla6)^0.5)-SUM($M135:M135),(Input!$M$283*(1+vanilla6)^0.5)/A5stdlife))</f>
        <v>0</v>
      </c>
      <c r="O135" s="73">
        <f>IF(A5stdlife="n/a","n/a",IF(O$3&gt;(A5stdlife+$F135),(Input!$M$283*(1+vanilla6)^0.5)-SUM($M135:N135),(Input!$M$283*(1+vanilla6)^0.5)/A5stdlife))</f>
        <v>0</v>
      </c>
      <c r="P135" s="73">
        <f>IF(A5stdlife="n/a","n/a",IF(P$3&gt;(A5stdlife+$F135),(Input!$M$283*(1+vanilla6)^0.5)-SUM($M135:O135),(Input!$M$283*(1+vanilla6)^0.5)/A5stdlife))</f>
        <v>0</v>
      </c>
      <c r="Q135" s="73">
        <f>IF(A5stdlife="n/a","n/a",IF(Q$3&gt;(A5stdlife+$F135),(Input!$M$283*(1+vanilla6)^0.5)-SUM($M135:P135),(Input!$M$283*(1+vanilla6)^0.5)/A5stdlife))</f>
        <v>0</v>
      </c>
      <c r="R135" s="73"/>
      <c r="S135" s="107"/>
      <c r="T135" s="107"/>
      <c r="U135" s="107"/>
      <c r="V135" s="107"/>
      <c r="W135" s="107"/>
      <c r="X135" s="107"/>
      <c r="Y135" s="107"/>
      <c r="Z135" s="107"/>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6"/>
      <c r="E136" s="537"/>
      <c r="F136" s="91">
        <v>7</v>
      </c>
      <c r="G136" s="125"/>
      <c r="H136" s="150"/>
      <c r="I136" s="152"/>
      <c r="J136" s="152"/>
      <c r="K136" s="152"/>
      <c r="L136" s="152"/>
      <c r="M136" s="152"/>
      <c r="N136" s="151"/>
      <c r="O136" s="73">
        <f>IF(A5stdlife="n/a","n/a",IF(O$3&gt;(A5stdlife+$F136),(Input!$N$283*(1+vanilla7)^0.5)-SUM($N136:N136),(Input!$N$283*(1+vanilla7)^0.5)/A5stdlife))</f>
        <v>0</v>
      </c>
      <c r="P136" s="73">
        <f>IF(A5stdlife="n/a","n/a",IF(P$3&gt;(A5stdlife+$F136),(Input!$N$283*(1+vanilla7)^0.5)-SUM($N136:O136),(Input!$N$283*(1+vanilla7)^0.5)/A5stdlife))</f>
        <v>0</v>
      </c>
      <c r="Q136" s="73">
        <f>IF(A5stdlife="n/a","n/a",IF(Q$3&gt;(A5stdlife+$F136),(Input!$N$283*(1+vanilla7)^0.5)-SUM($N136:P136),(Input!$N$283*(1+vanilla7)^0.5)/A5stdlife))</f>
        <v>0</v>
      </c>
      <c r="R136" s="73"/>
      <c r="S136" s="107"/>
      <c r="T136" s="107"/>
      <c r="U136" s="107"/>
      <c r="V136" s="107"/>
      <c r="W136" s="107"/>
      <c r="X136" s="107"/>
      <c r="Y136" s="107"/>
      <c r="Z136" s="107"/>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6"/>
      <c r="E137" s="537"/>
      <c r="F137" s="91">
        <v>8</v>
      </c>
      <c r="G137" s="125"/>
      <c r="H137" s="150"/>
      <c r="I137" s="152"/>
      <c r="J137" s="152"/>
      <c r="K137" s="152"/>
      <c r="L137" s="152"/>
      <c r="M137" s="152"/>
      <c r="N137" s="152"/>
      <c r="O137" s="151"/>
      <c r="P137" s="73">
        <f>IF(A5stdlife="n/a","n/a",IF(P$3&gt;(A5stdlife+$F137),(Input!$O$283*(1+vanilla8)^0.5)-SUM($O137:O137),(Input!$O$283*(1+vanilla8)^0.5)/A5stdlife))</f>
        <v>0</v>
      </c>
      <c r="Q137" s="73">
        <f>IF(A5stdlife="n/a","n/a",IF(Q$3&gt;(A5stdlife+$F137),(Input!$O$283*(1+vanilla8)^0.5)-SUM($O137:P137),(Input!$O$283*(1+vanilla8)^0.5)/A5stdlife))</f>
        <v>0</v>
      </c>
      <c r="R137" s="73"/>
      <c r="S137" s="107"/>
      <c r="T137" s="107"/>
      <c r="U137" s="107"/>
      <c r="V137" s="107"/>
      <c r="W137" s="107"/>
      <c r="X137" s="107"/>
      <c r="Y137" s="107"/>
      <c r="Z137" s="107"/>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6"/>
      <c r="E138" s="537"/>
      <c r="F138" s="91">
        <v>9</v>
      </c>
      <c r="G138" s="125"/>
      <c r="H138" s="150"/>
      <c r="I138" s="152"/>
      <c r="J138" s="152"/>
      <c r="K138" s="152"/>
      <c r="L138" s="152"/>
      <c r="M138" s="152"/>
      <c r="N138" s="152"/>
      <c r="O138" s="152"/>
      <c r="P138" s="151"/>
      <c r="Q138" s="73">
        <f>IF(A5stdlife="n/a","n/a",IF(Q$3&gt;(A5stdlife+$F138),(Input!$P$283*(1+vanilla9)^0.5)-SUM($P138:P138),(Input!$P$283*(1+vanilla9)^0.5)/A5stdlife))</f>
        <v>0</v>
      </c>
      <c r="R138" s="73"/>
      <c r="S138" s="107"/>
      <c r="T138" s="107"/>
      <c r="U138" s="107"/>
      <c r="V138" s="107"/>
      <c r="W138" s="107"/>
      <c r="X138" s="107"/>
      <c r="Y138" s="107"/>
      <c r="Z138" s="107"/>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6"/>
      <c r="E139" s="537"/>
      <c r="F139" s="92">
        <v>10</v>
      </c>
      <c r="G139" s="125"/>
      <c r="H139" s="150"/>
      <c r="I139" s="152"/>
      <c r="J139" s="152"/>
      <c r="K139" s="152"/>
      <c r="L139" s="152"/>
      <c r="M139" s="152"/>
      <c r="N139" s="152"/>
      <c r="O139" s="152"/>
      <c r="P139" s="152"/>
      <c r="Q139" s="151"/>
      <c r="R139" s="73"/>
      <c r="S139" s="107"/>
      <c r="T139" s="107"/>
      <c r="U139" s="107"/>
      <c r="V139" s="107"/>
      <c r="W139" s="107"/>
      <c r="X139" s="107"/>
      <c r="Y139" s="107"/>
      <c r="Z139" s="107"/>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9"/>
      <c r="B140" s="9"/>
      <c r="C140" s="9"/>
      <c r="D140" s="272" t="str">
        <f>Asset5</f>
        <v>SCADA/Network control</v>
      </c>
      <c r="E140" s="9"/>
      <c r="F140" s="9"/>
      <c r="G140" s="125"/>
      <c r="H140" s="166">
        <f>-SUM(H128:H139)</f>
        <v>-1.6653345369377348E-15</v>
      </c>
      <c r="I140" s="166">
        <f>-SUM(I128:I139)</f>
        <v>-0.25893070092516307</v>
      </c>
      <c r="J140" s="166">
        <f>-SUM(J128:J139)</f>
        <v>-1.4287057731943718</v>
      </c>
      <c r="K140" s="166">
        <f>-SUM(K128:K139)</f>
        <v>-1.7992883193298275</v>
      </c>
      <c r="L140" s="166">
        <f>-SUM(L128:L139)</f>
        <v>-1.9380633101093425</v>
      </c>
      <c r="M140" s="73">
        <f>IF(COUNT($H140:L140)&gt;=Input!$Y$7,0, -SUM(M128:M139))</f>
        <v>0</v>
      </c>
      <c r="N140" s="73">
        <f>IF(COUNT($H140:M140)&gt;=Input!$Y$7,0, -SUM(N128:N139))</f>
        <v>0</v>
      </c>
      <c r="O140" s="73">
        <f>IF(COUNT($H140:N140)&gt;=Input!$Y$7,0, -SUM(O128:O139))</f>
        <v>0</v>
      </c>
      <c r="P140" s="73">
        <f>IF(COUNT($H140:O140)&gt;=Input!$Y$7,0, -SUM(P128:P139))</f>
        <v>0</v>
      </c>
      <c r="Q140" s="73">
        <f>IF(COUNT($H140:P140)&gt;=Input!$Y$7,0, -SUM(Q128:Q139))</f>
        <v>0</v>
      </c>
      <c r="R140" s="71"/>
      <c r="S140" s="109"/>
      <c r="T140" s="109"/>
      <c r="U140" s="109"/>
      <c r="V140" s="109"/>
      <c r="W140" s="109"/>
      <c r="X140" s="109"/>
      <c r="Y140" s="109"/>
      <c r="Z140" s="109"/>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73" t="str">
        <f>Asset6</f>
        <v>Non-network general assets - IT</v>
      </c>
      <c r="D141" s="162"/>
      <c r="E141" s="32" t="s">
        <v>5</v>
      </c>
      <c r="F141" s="31"/>
      <c r="G141" s="181"/>
      <c r="H141" s="72">
        <f>IF(H$3&gt;A6remlife,A6value-$G$635-SUM($G141:G141),IF(A6remlife="N/A","n/a",(A6value-$G$635)/A6remlife))</f>
        <v>25.821751228892474</v>
      </c>
      <c r="I141" s="72">
        <f>IF(I$3&gt;A6remlife,A6value-$G$635-SUM($G141:H141),IF(A6remlife="N/A","n/a",(A6value-$G$635)/A6remlife))</f>
        <v>25.821751228892474</v>
      </c>
      <c r="J141" s="72">
        <f>IF(J$3&gt;A6remlife,A6value-$G$635-SUM($G141:I141),IF(A6remlife="N/A","n/a",(A6value-$G$635)/A6remlife))</f>
        <v>25.821751228892474</v>
      </c>
      <c r="K141" s="72">
        <f>IF(K$3&gt;A6remlife,A6value-$G$635-SUM($G141:J141),IF(A6remlife="N/A","n/a",(A6value-$G$635)/A6remlife))</f>
        <v>11.854164129551265</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6"/>
      <c r="E142" s="536" t="s">
        <v>59</v>
      </c>
      <c r="F142" s="91"/>
      <c r="G142" s="125"/>
      <c r="H142" s="73"/>
      <c r="I142" s="73"/>
      <c r="J142" s="73"/>
      <c r="K142" s="73"/>
      <c r="L142" s="73"/>
      <c r="M142" s="164"/>
      <c r="N142" s="116"/>
      <c r="O142" s="73"/>
      <c r="P142" s="73"/>
      <c r="Q142" s="73"/>
      <c r="R142" s="73"/>
      <c r="S142" s="107"/>
      <c r="T142" s="107"/>
      <c r="U142" s="107"/>
      <c r="V142" s="107"/>
      <c r="W142" s="107"/>
      <c r="X142" s="107"/>
      <c r="Y142" s="107"/>
      <c r="Z142" s="107"/>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37"/>
      <c r="F143" s="91">
        <v>1</v>
      </c>
      <c r="G143" s="125"/>
      <c r="H143" s="149"/>
      <c r="I143" s="73">
        <f>IF(A6stdlife="n/a","n/a",IF(I$3&gt;(A6stdlife+$F143),(Input!$H$284*(1+vanilla1)^0.5)-SUM($H143:H143),(Input!$H$284*(1+vanilla1)^0.5)/A6stdlife))</f>
        <v>9.5127428771974998</v>
      </c>
      <c r="J143" s="73">
        <f>IF(A6stdlife="n/a","n/a",IF(J$3&gt;(A6stdlife+$F143),(Input!$H$284*(1+vanilla1)^0.5)-SUM($H143:I143),(Input!$H$284*(1+vanilla1)^0.5)/A6stdlife))</f>
        <v>9.5127428771974998</v>
      </c>
      <c r="K143" s="73">
        <f>IF(A6stdlife="n/a","n/a",IF(K$3&gt;(A6stdlife+$F143),(Input!$H$284*(1+vanilla1)^0.5)-SUM($H143:J143),(Input!$H$284*(1+vanilla1)^0.5)/A6stdlife))</f>
        <v>9.5127428771974998</v>
      </c>
      <c r="L143" s="73">
        <f>IF(A6stdlife="n/a","n/a",IF(L$3&gt;(A6stdlife+$F143),(Input!$H$284*(1+vanilla1)^0.5)-SUM($H143:K143),(Input!$H$284*(1+vanilla1)^0.5)/A6stdlife))</f>
        <v>9.5127428771974998</v>
      </c>
      <c r="M143" s="73">
        <f>IF(A6stdlife="n/a","n/a",IF(M$3&gt;(A6stdlife+$F143),(Input!$H$284*(1+vanilla1)^0.5)-SUM($H143:L143),(Input!$H$284*(1+vanilla1)^0.5)/A6stdlife))</f>
        <v>9.5127428771974998</v>
      </c>
      <c r="N143" s="73">
        <f>IF(A6stdlife="n/a","n/a",IF(N$3&gt;(A6stdlife+$F143),(Input!$H$284*(1+vanilla1)^0.5)-SUM($H143:M143),(Input!$H$284*(1+vanilla1)^0.5)/A6stdlife))</f>
        <v>0</v>
      </c>
      <c r="O143" s="73">
        <f>IF(A6stdlife="n/a","n/a",IF(O$3&gt;(A6stdlife+$F143),(Input!$H$284*(1+vanilla1)^0.5)-SUM($H143:N143),(Input!$H$284*(1+vanilla1)^0.5)/A6stdlife))</f>
        <v>0</v>
      </c>
      <c r="P143" s="73">
        <f>IF(A6stdlife="n/a","n/a",IF(P$3&gt;(A6stdlife+$F143),(Input!$H$284*(1+vanilla1)^0.5)-SUM($H143:O143),(Input!$H$284*(1+vanilla1)^0.5)/A6stdlife))</f>
        <v>0</v>
      </c>
      <c r="Q143" s="73">
        <f>IF(A6stdlife="n/a","n/a",IF(Q$3&gt;(A6stdlife+$F143),(Input!$H$284*(1+vanilla1)^0.5)-SUM($H143:P143),(Input!$H$284*(1+vanilla1)^0.5)/A6stdlife))</f>
        <v>0</v>
      </c>
      <c r="R143" s="73"/>
      <c r="S143" s="107"/>
      <c r="T143" s="107"/>
      <c r="U143" s="107"/>
      <c r="V143" s="107"/>
      <c r="W143" s="107"/>
      <c r="X143" s="107"/>
      <c r="Y143" s="107"/>
      <c r="Z143" s="107"/>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37"/>
      <c r="F144" s="91">
        <v>2</v>
      </c>
      <c r="G144" s="125"/>
      <c r="H144" s="150"/>
      <c r="I144" s="151"/>
      <c r="J144" s="73">
        <f>IF(A6stdlife="n/a","n/a",IF(J$3&gt;(A6stdlife+$F144),(Input!$I$284*(1+vanilla2)^0.5)-SUM($I144:I144),(Input!$I$284*(1+vanilla2)^0.5)/A6stdlife))</f>
        <v>9.0037588873592771</v>
      </c>
      <c r="K144" s="73">
        <f>IF(A6stdlife="n/a","n/a",IF(K$3&gt;(A6stdlife+$F144),(Input!$I$284*(1+vanilla2)^0.5)-SUM($I144:J144),(Input!$I$284*(1+vanilla2)^0.5)/A6stdlife))</f>
        <v>9.0037588873592771</v>
      </c>
      <c r="L144" s="73">
        <f>IF(A6stdlife="n/a","n/a",IF(L$3&gt;(A6stdlife+$F144),(Input!$I$284*(1+vanilla2)^0.5)-SUM($I144:K144),(Input!$I$284*(1+vanilla2)^0.5)/A6stdlife))</f>
        <v>9.0037588873592771</v>
      </c>
      <c r="M144" s="73">
        <f>IF(A6stdlife="n/a","n/a",IF(M$3&gt;(A6stdlife+$F144),(Input!$I$284*(1+vanilla2)^0.5)-SUM($I144:L144),(Input!$I$284*(1+vanilla2)^0.5)/A6stdlife))</f>
        <v>9.0037588873592771</v>
      </c>
      <c r="N144" s="73">
        <f>IF(A6stdlife="n/a","n/a",IF(N$3&gt;(A6stdlife+$F144),(Input!$I$284*(1+vanilla2)^0.5)-SUM($I144:M144),(Input!$I$284*(1+vanilla2)^0.5)/A6stdlife))</f>
        <v>9.0037588873592771</v>
      </c>
      <c r="O144" s="73">
        <f>IF(A6stdlife="n/a","n/a",IF(O$3&gt;(A6stdlife+$F144),(Input!$I$284*(1+vanilla2)^0.5)-SUM($I144:N144),(Input!$I$284*(1+vanilla2)^0.5)/A6stdlife))</f>
        <v>0</v>
      </c>
      <c r="P144" s="73">
        <f>IF(A6stdlife="n/a","n/a",IF(P$3&gt;(A6stdlife+$F144),(Input!$I$284*(1+vanilla2)^0.5)-SUM($I144:O144),(Input!$I$284*(1+vanilla2)^0.5)/A6stdlife))</f>
        <v>0</v>
      </c>
      <c r="Q144" s="73">
        <f>IF(A6stdlife="n/a","n/a",IF(Q$3&gt;(A6stdlife+$F144),(Input!$I$284*(1+vanilla2)^0.5)-SUM($I144:P144),(Input!$I$284*(1+vanilla2)^0.5)/A6stdlife))</f>
        <v>0</v>
      </c>
      <c r="R144" s="73"/>
      <c r="S144" s="107"/>
      <c r="T144" s="107"/>
      <c r="U144" s="107"/>
      <c r="V144" s="107"/>
      <c r="W144" s="107"/>
      <c r="X144" s="107"/>
      <c r="Y144" s="107"/>
      <c r="Z144" s="107"/>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37"/>
      <c r="F145" s="91">
        <v>3</v>
      </c>
      <c r="G145" s="125"/>
      <c r="H145" s="150"/>
      <c r="I145" s="152"/>
      <c r="J145" s="151"/>
      <c r="K145" s="73">
        <f>IF(A6stdlife="n/a","n/a",IF(K$3&gt;(A6stdlife+$F145),(Input!$J$284*(1+vanilla3)^0.5)-SUM($J145:J145),(Input!$J$284*(1+vanilla3)^0.5)/A6stdlife))</f>
        <v>9.6653206270149603</v>
      </c>
      <c r="L145" s="73">
        <f>IF(A6stdlife="n/a","n/a",IF(L$3&gt;(A6stdlife+$F145),(Input!$J$284*(1+vanilla3)^0.5)-SUM($J145:K145),(Input!$J$284*(1+vanilla3)^0.5)/A6stdlife))</f>
        <v>9.6653206270149603</v>
      </c>
      <c r="M145" s="73">
        <f>IF(A6stdlife="n/a","n/a",IF(M$3&gt;(A6stdlife+$F145),(Input!$J$284*(1+vanilla3)^0.5)-SUM($J145:L145),(Input!$J$284*(1+vanilla3)^0.5)/A6stdlife))</f>
        <v>9.6653206270149603</v>
      </c>
      <c r="N145" s="73">
        <f>IF(A6stdlife="n/a","n/a",IF(N$3&gt;(A6stdlife+$F145),(Input!$J$284*(1+vanilla3)^0.5)-SUM($J145:M145),(Input!$J$284*(1+vanilla3)^0.5)/A6stdlife))</f>
        <v>9.6653206270149603</v>
      </c>
      <c r="O145" s="73">
        <f>IF(A6stdlife="n/a","n/a",IF(O$3&gt;(A6stdlife+$F145),(Input!$J$284*(1+vanilla3)^0.5)-SUM($J145:N145),(Input!$J$284*(1+vanilla3)^0.5)/A6stdlife))</f>
        <v>9.6653206270149603</v>
      </c>
      <c r="P145" s="73">
        <f>IF(A6stdlife="n/a","n/a",IF(P$3&gt;(A6stdlife+$F145),(Input!$J$284*(1+vanilla3)^0.5)-SUM($J145:O145),(Input!$J$284*(1+vanilla3)^0.5)/A6stdlife))</f>
        <v>-7.1054273576010019E-15</v>
      </c>
      <c r="Q145" s="73">
        <f>IF(A6stdlife="n/a","n/a",IF(Q$3&gt;(A6stdlife+$F145),(Input!$J$284*(1+vanilla3)^0.5)-SUM($J145:P145),(Input!$J$284*(1+vanilla3)^0.5)/A6stdlife))</f>
        <v>0</v>
      </c>
      <c r="R145" s="73"/>
      <c r="S145" s="107"/>
      <c r="T145" s="107"/>
      <c r="U145" s="107"/>
      <c r="V145" s="107"/>
      <c r="W145" s="107"/>
      <c r="X145" s="107"/>
      <c r="Y145" s="107"/>
      <c r="Z145" s="107"/>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37"/>
      <c r="F146" s="91">
        <v>4</v>
      </c>
      <c r="G146" s="125"/>
      <c r="H146" s="150"/>
      <c r="I146" s="152"/>
      <c r="J146" s="152"/>
      <c r="K146" s="151"/>
      <c r="L146" s="73">
        <f>IF(A6stdlife="n/a","n/a",IF(L$3&gt;(A6stdlife+$F146),(Input!$K$284*(1+vanilla4)^0.5)-SUM($K146:K146),(Input!$K$284*(1+vanilla4)^0.5)/A6stdlife))</f>
        <v>6.2279243060895038</v>
      </c>
      <c r="M146" s="73">
        <f>IF(A6stdlife="n/a","n/a",IF(M$3&gt;(A6stdlife+$F146),(Input!$K$284*(1+vanilla4)^0.5)-SUM($K146:L146),(Input!$K$284*(1+vanilla4)^0.5)/A6stdlife))</f>
        <v>6.2279243060895038</v>
      </c>
      <c r="N146" s="73">
        <f>IF(A6stdlife="n/a","n/a",IF(N$3&gt;(A6stdlife+$F146),(Input!$K$284*(1+vanilla4)^0.5)-SUM($K146:M146),(Input!$K$284*(1+vanilla4)^0.5)/A6stdlife))</f>
        <v>6.2279243060895038</v>
      </c>
      <c r="O146" s="73">
        <f>IF(A6stdlife="n/a","n/a",IF(O$3&gt;(A6stdlife+$F146),(Input!$K$284*(1+vanilla4)^0.5)-SUM($K146:N146),(Input!$K$284*(1+vanilla4)^0.5)/A6stdlife))</f>
        <v>6.2279243060895038</v>
      </c>
      <c r="P146" s="73">
        <f>IF(A6stdlife="n/a","n/a",IF(P$3&gt;(A6stdlife+$F146),(Input!$K$284*(1+vanilla4)^0.5)-SUM($K146:O146),(Input!$K$284*(1+vanilla4)^0.5)/A6stdlife))</f>
        <v>6.2279243060895038</v>
      </c>
      <c r="Q146" s="73">
        <f>IF(A6stdlife="n/a","n/a",IF(Q$3&gt;(A6stdlife+$F146),(Input!$K$284*(1+vanilla4)^0.5)-SUM($K146:P146),(Input!$K$284*(1+vanilla4)^0.5)/A6stdlife))</f>
        <v>-3.5527136788005009E-15</v>
      </c>
      <c r="R146" s="73"/>
      <c r="S146" s="107"/>
      <c r="T146" s="107"/>
      <c r="U146" s="107"/>
      <c r="V146" s="107"/>
      <c r="W146" s="107"/>
      <c r="X146" s="107"/>
      <c r="Y146" s="107"/>
      <c r="Z146" s="107"/>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6"/>
      <c r="E147" s="537"/>
      <c r="F147" s="91">
        <v>5</v>
      </c>
      <c r="G147" s="125"/>
      <c r="H147" s="150"/>
      <c r="I147" s="152"/>
      <c r="J147" s="152"/>
      <c r="K147" s="152"/>
      <c r="L147" s="151"/>
      <c r="M147" s="73">
        <f>IF(A6stdlife="n/a","n/a",IF(M$3&gt;(A6stdlife+$F147),(Input!$L$284*(1+vanilla5)^0.5)-SUM($L147:L147),(Input!$L$284*(1+vanilla5)^0.5)/A6stdlife))</f>
        <v>3.5926848235885629</v>
      </c>
      <c r="N147" s="73">
        <f>IF(A6stdlife="n/a","n/a",IF(N$3&gt;(A6stdlife+$F147),(Input!$L$284*(1+vanilla5)^0.5)-SUM($L147:M147),(Input!$L$284*(1+vanilla5)^0.5)/A6stdlife))</f>
        <v>3.5926848235885629</v>
      </c>
      <c r="O147" s="73">
        <f>IF(A6stdlife="n/a","n/a",IF(O$3&gt;(A6stdlife+$F147),(Input!$L$284*(1+vanilla5)^0.5)-SUM($L147:N147),(Input!$L$284*(1+vanilla5)^0.5)/A6stdlife))</f>
        <v>3.5926848235885629</v>
      </c>
      <c r="P147" s="73">
        <f>IF(A6stdlife="n/a","n/a",IF(P$3&gt;(A6stdlife+$F147),(Input!$L$284*(1+vanilla5)^0.5)-SUM($L147:O147),(Input!$L$284*(1+vanilla5)^0.5)/A6stdlife))</f>
        <v>3.5926848235885629</v>
      </c>
      <c r="Q147" s="73">
        <f>IF(A6stdlife="n/a","n/a",IF(Q$3&gt;(A6stdlife+$F147),(Input!$L$284*(1+vanilla5)^0.5)-SUM($L147:P147),(Input!$L$284*(1+vanilla5)^0.5)/A6stdlife))</f>
        <v>3.5926848235885629</v>
      </c>
      <c r="R147" s="73"/>
      <c r="S147" s="107"/>
      <c r="T147" s="107"/>
      <c r="U147" s="107"/>
      <c r="V147" s="107"/>
      <c r="W147" s="107"/>
      <c r="X147" s="107"/>
      <c r="Y147" s="107"/>
      <c r="Z147" s="107"/>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6"/>
      <c r="E148" s="537"/>
      <c r="F148" s="91">
        <v>6</v>
      </c>
      <c r="G148" s="125"/>
      <c r="H148" s="150"/>
      <c r="I148" s="152"/>
      <c r="J148" s="152"/>
      <c r="K148" s="152"/>
      <c r="L148" s="152"/>
      <c r="M148" s="151"/>
      <c r="N148" s="73">
        <f>IF(A6stdlife="n/a","n/a",IF(N$3&gt;(A6stdlife+$F148),(Input!$M$284*(1+vanilla6)^0.5)-SUM($M148:M148),(Input!$M$284*(1+vanilla6)^0.5)/A6stdlife))</f>
        <v>0</v>
      </c>
      <c r="O148" s="73">
        <f>IF(A6stdlife="n/a","n/a",IF(O$3&gt;(A6stdlife+$F148),(Input!$M$284*(1+vanilla6)^0.5)-SUM($M148:N148),(Input!$M$284*(1+vanilla6)^0.5)/A6stdlife))</f>
        <v>0</v>
      </c>
      <c r="P148" s="73">
        <f>IF(A6stdlife="n/a","n/a",IF(P$3&gt;(A6stdlife+$F148),(Input!$M$284*(1+vanilla6)^0.5)-SUM($M148:O148),(Input!$M$284*(1+vanilla6)^0.5)/A6stdlife))</f>
        <v>0</v>
      </c>
      <c r="Q148" s="73">
        <f>IF(A6stdlife="n/a","n/a",IF(Q$3&gt;(A6stdlife+$F148),(Input!$M$284*(1+vanilla6)^0.5)-SUM($M148:P148),(Input!$M$284*(1+vanilla6)^0.5)/A6stdlife))</f>
        <v>0</v>
      </c>
      <c r="R148" s="73"/>
      <c r="S148" s="107"/>
      <c r="T148" s="107"/>
      <c r="U148" s="107"/>
      <c r="V148" s="107"/>
      <c r="W148" s="107"/>
      <c r="X148" s="107"/>
      <c r="Y148" s="107"/>
      <c r="Z148" s="107"/>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6"/>
      <c r="E149" s="537"/>
      <c r="F149" s="91">
        <v>7</v>
      </c>
      <c r="G149" s="125"/>
      <c r="H149" s="150"/>
      <c r="I149" s="152"/>
      <c r="J149" s="152"/>
      <c r="K149" s="152"/>
      <c r="L149" s="152"/>
      <c r="M149" s="152"/>
      <c r="N149" s="151"/>
      <c r="O149" s="73">
        <f>IF(A6stdlife="n/a","n/a",IF(O$3&gt;(A6stdlife+$F149),(Input!$N$284*(1+vanilla7)^0.5)-SUM($N149:N149),(Input!$N$284*(1+vanilla7)^0.5)/A6stdlife))</f>
        <v>0</v>
      </c>
      <c r="P149" s="73">
        <f>IF(A6stdlife="n/a","n/a",IF(P$3&gt;(A6stdlife+$F149),(Input!$N$284*(1+vanilla7)^0.5)-SUM($N149:O149),(Input!$N$284*(1+vanilla7)^0.5)/A6stdlife))</f>
        <v>0</v>
      </c>
      <c r="Q149" s="73">
        <f>IF(A6stdlife="n/a","n/a",IF(Q$3&gt;(A6stdlife+$F149),(Input!$N$284*(1+vanilla7)^0.5)-SUM($N149:P149),(Input!$N$284*(1+vanilla7)^0.5)/A6stdlife))</f>
        <v>0</v>
      </c>
      <c r="R149" s="73"/>
      <c r="S149" s="107"/>
      <c r="T149" s="107"/>
      <c r="U149" s="107"/>
      <c r="V149" s="107"/>
      <c r="W149" s="107"/>
      <c r="X149" s="107"/>
      <c r="Y149" s="107"/>
      <c r="Z149" s="107"/>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37"/>
      <c r="F150" s="91">
        <v>8</v>
      </c>
      <c r="G150" s="125"/>
      <c r="H150" s="150"/>
      <c r="I150" s="152"/>
      <c r="J150" s="152"/>
      <c r="K150" s="152"/>
      <c r="L150" s="152"/>
      <c r="M150" s="152"/>
      <c r="N150" s="152"/>
      <c r="O150" s="151"/>
      <c r="P150" s="73">
        <f>IF(A6stdlife="n/a","n/a",IF(P$3&gt;(A6stdlife+$F150),(Input!$O$284*(1+vanilla8)^0.5)-SUM($O150:O150),(Input!$O$284*(1+vanilla8)^0.5)/A6stdlife))</f>
        <v>0</v>
      </c>
      <c r="Q150" s="73">
        <f>IF(A6stdlife="n/a","n/a",IF(Q$3&gt;(A6stdlife+$F150),(Input!$O$284*(1+vanilla8)^0.5)-SUM($O150:P150),(Input!$O$284*(1+vanilla8)^0.5)/A6stdlife))</f>
        <v>0</v>
      </c>
      <c r="R150" s="73"/>
      <c r="S150" s="107"/>
      <c r="T150" s="107"/>
      <c r="U150" s="107"/>
      <c r="V150" s="107"/>
      <c r="W150" s="107"/>
      <c r="X150" s="107"/>
      <c r="Y150" s="107"/>
      <c r="Z150" s="107"/>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37"/>
      <c r="F151" s="91">
        <v>9</v>
      </c>
      <c r="G151" s="125"/>
      <c r="H151" s="150"/>
      <c r="I151" s="152"/>
      <c r="J151" s="152"/>
      <c r="K151" s="152"/>
      <c r="L151" s="152"/>
      <c r="M151" s="152"/>
      <c r="N151" s="152"/>
      <c r="O151" s="152"/>
      <c r="P151" s="151"/>
      <c r="Q151" s="73">
        <f>IF(A6stdlife="n/a","n/a",IF(Q$3&gt;(A6stdlife+$F151),(Input!$P$284*(1+vanilla9)^0.5)-SUM($P151:P151),(Input!$P$284*(1+vanilla9)^0.5)/A6stdlife))</f>
        <v>0</v>
      </c>
      <c r="R151" s="73"/>
      <c r="S151" s="107"/>
      <c r="T151" s="107"/>
      <c r="U151" s="107"/>
      <c r="V151" s="107"/>
      <c r="W151" s="107"/>
      <c r="X151" s="107"/>
      <c r="Y151" s="107"/>
      <c r="Z151" s="107"/>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37"/>
      <c r="F152" s="92">
        <v>10</v>
      </c>
      <c r="G152" s="125"/>
      <c r="H152" s="150"/>
      <c r="I152" s="152"/>
      <c r="J152" s="152"/>
      <c r="K152" s="152"/>
      <c r="L152" s="152"/>
      <c r="M152" s="152"/>
      <c r="N152" s="152"/>
      <c r="O152" s="152"/>
      <c r="P152" s="152"/>
      <c r="Q152" s="151"/>
      <c r="R152" s="73"/>
      <c r="S152" s="107"/>
      <c r="T152" s="107"/>
      <c r="U152" s="107"/>
      <c r="V152" s="107"/>
      <c r="W152" s="107"/>
      <c r="X152" s="107"/>
      <c r="Y152" s="107"/>
      <c r="Z152" s="107"/>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9"/>
      <c r="B153" s="9"/>
      <c r="C153" s="9"/>
      <c r="D153" s="272" t="str">
        <f>Asset6</f>
        <v>Non-network general assets - IT</v>
      </c>
      <c r="E153" s="9"/>
      <c r="F153" s="9"/>
      <c r="G153" s="125"/>
      <c r="H153" s="166">
        <f>-SUM(H141:H152)</f>
        <v>-25.821751228892474</v>
      </c>
      <c r="I153" s="166">
        <f>-SUM(I141:I152)</f>
        <v>-35.334494106089977</v>
      </c>
      <c r="J153" s="166">
        <f>-SUM(J141:J152)</f>
        <v>-44.338252993449252</v>
      </c>
      <c r="K153" s="166">
        <f>-SUM(K141:K152)</f>
        <v>-40.035986521123007</v>
      </c>
      <c r="L153" s="166">
        <f>-SUM(L141:L152)</f>
        <v>-34.409746697661241</v>
      </c>
      <c r="M153" s="73">
        <f>IF(COUNT($H153:L153)&gt;=Input!$Y$7,0, -SUM(M141:M152))</f>
        <v>0</v>
      </c>
      <c r="N153" s="73">
        <f>IF(COUNT($H153:M153)&gt;=Input!$Y$7,0, -SUM(N141:N152))</f>
        <v>0</v>
      </c>
      <c r="O153" s="73">
        <f>IF(COUNT($H153:N153)&gt;=Input!$Y$7,0, -SUM(O141:O152))</f>
        <v>0</v>
      </c>
      <c r="P153" s="73">
        <f>IF(COUNT($H153:O153)&gt;=Input!$Y$7,0, -SUM(P141:P152))</f>
        <v>0</v>
      </c>
      <c r="Q153" s="73">
        <f>IF(COUNT($H153:P153)&gt;=Input!$Y$7,0, -SUM(Q141:Q152))</f>
        <v>0</v>
      </c>
      <c r="R153" s="71"/>
      <c r="S153" s="109"/>
      <c r="T153" s="109"/>
      <c r="U153" s="109"/>
      <c r="V153" s="109"/>
      <c r="W153" s="109"/>
      <c r="X153" s="109"/>
      <c r="Y153" s="109"/>
      <c r="Z153" s="109"/>
      <c r="AA153" s="236"/>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73" t="str">
        <f>Asset7</f>
        <v>Non-network general assets - Other</v>
      </c>
      <c r="D154" s="162"/>
      <c r="E154" s="32" t="s">
        <v>5</v>
      </c>
      <c r="F154" s="31"/>
      <c r="G154" s="181"/>
      <c r="H154" s="72">
        <f>IF(H$3&gt;A7remlife,A7value-$G$636-SUM($G154:G154),IF(A7remlife="N/A","n/a",(A7value-$G$636)/A7remlife))</f>
        <v>34.275644401485252</v>
      </c>
      <c r="I154" s="72">
        <f>IF(I$3&gt;A7remlife,A7value-$G$636-SUM($G154:H154),IF(A7remlife="N/A","n/a",(A7value-$G$636)/A7remlife))</f>
        <v>0</v>
      </c>
      <c r="J154" s="72">
        <f>IF(J$3&gt;A7remlife,A7value-$G$636-SUM($G154:I154),IF(A7remlife="N/A","n/a",(A7value-$G$636)/A7remlife))</f>
        <v>0</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6"/>
      <c r="E155" s="536" t="s">
        <v>59</v>
      </c>
      <c r="F155" s="91"/>
      <c r="G155" s="125"/>
      <c r="H155" s="73"/>
      <c r="I155" s="73"/>
      <c r="J155" s="73"/>
      <c r="K155" s="73"/>
      <c r="L155" s="73"/>
      <c r="M155" s="164"/>
      <c r="N155" s="116"/>
      <c r="O155" s="73"/>
      <c r="P155" s="73"/>
      <c r="Q155" s="73"/>
      <c r="R155" s="73"/>
      <c r="S155" s="107"/>
      <c r="T155" s="107"/>
      <c r="U155" s="107"/>
      <c r="V155" s="107"/>
      <c r="W155" s="107"/>
      <c r="X155" s="107"/>
      <c r="Y155" s="107"/>
      <c r="Z155" s="107"/>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37"/>
      <c r="F156" s="91">
        <v>1</v>
      </c>
      <c r="G156" s="125"/>
      <c r="H156" s="149"/>
      <c r="I156" s="73">
        <f>IF(A7stdlife="n/a","n/a",IF(I$3&gt;(A7stdlife+$F156),(Input!$H$285*(1+vanilla1)^0.5)-SUM($H156:H156),(Input!$H$285*(1+vanilla1)^0.5)/A7stdlife))</f>
        <v>1.0026876607895834</v>
      </c>
      <c r="J156" s="73">
        <f>IF(A7stdlife="n/a","n/a",IF(J$3&gt;(A7stdlife+$F156),(Input!$H$285*(1+vanilla1)^0.5)-SUM($H156:I156),(Input!$H$285*(1+vanilla1)^0.5)/A7stdlife))</f>
        <v>1.0026876607895834</v>
      </c>
      <c r="K156" s="73">
        <f>IF(A7stdlife="n/a","n/a",IF(K$3&gt;(A7stdlife+$F156),(Input!$H$285*(1+vanilla1)^0.5)-SUM($H156:J156),(Input!$H$285*(1+vanilla1)^0.5)/A7stdlife))</f>
        <v>1.0026876607895834</v>
      </c>
      <c r="L156" s="73">
        <f>IF(A7stdlife="n/a","n/a",IF(L$3&gt;(A7stdlife+$F156),(Input!$H$285*(1+vanilla1)^0.5)-SUM($H156:K156),(Input!$H$285*(1+vanilla1)^0.5)/A7stdlife))</f>
        <v>1.0026876607895834</v>
      </c>
      <c r="M156" s="73">
        <f>IF(A7stdlife="n/a","n/a",IF(M$3&gt;(A7stdlife+$F156),(Input!$H$285*(1+vanilla1)^0.5)-SUM($H156:L156),(Input!$H$285*(1+vanilla1)^0.5)/A7stdlife))</f>
        <v>1.0026876607895834</v>
      </c>
      <c r="N156" s="73">
        <f>IF(A7stdlife="n/a","n/a",IF(N$3&gt;(A7stdlife+$F156),(Input!$H$285*(1+vanilla1)^0.5)-SUM($H156:M156),(Input!$H$285*(1+vanilla1)^0.5)/A7stdlife))</f>
        <v>0</v>
      </c>
      <c r="O156" s="73">
        <f>IF(A7stdlife="n/a","n/a",IF(O$3&gt;(A7stdlife+$F156),(Input!$H$285*(1+vanilla1)^0.5)-SUM($H156:N156),(Input!$H$285*(1+vanilla1)^0.5)/A7stdlife))</f>
        <v>0</v>
      </c>
      <c r="P156" s="73">
        <f>IF(A7stdlife="n/a","n/a",IF(P$3&gt;(A7stdlife+$F156),(Input!$H$285*(1+vanilla1)^0.5)-SUM($H156:O156),(Input!$H$285*(1+vanilla1)^0.5)/A7stdlife))</f>
        <v>0</v>
      </c>
      <c r="Q156" s="73">
        <f>IF(A7stdlife="n/a","n/a",IF(Q$3&gt;(A7stdlife+$F156),(Input!$H$285*(1+vanilla1)^0.5)-SUM($H156:P156),(Input!$H$285*(1+vanilla1)^0.5)/A7stdlife))</f>
        <v>0</v>
      </c>
      <c r="R156" s="73"/>
      <c r="S156" s="107"/>
      <c r="T156" s="107"/>
      <c r="U156" s="107"/>
      <c r="V156" s="107"/>
      <c r="W156" s="107"/>
      <c r="X156" s="107"/>
      <c r="Y156" s="107"/>
      <c r="Z156" s="107"/>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37"/>
      <c r="F157" s="91">
        <v>2</v>
      </c>
      <c r="G157" s="125"/>
      <c r="H157" s="150"/>
      <c r="I157" s="151"/>
      <c r="J157" s="73">
        <f>IF(A7stdlife="n/a","n/a",IF(J$3&gt;(A7stdlife+$F157),(Input!$I$285*(1+vanilla2)^0.5)-SUM($I157:I157),(Input!$I$285*(1+vanilla2)^0.5)/A7stdlife))</f>
        <v>0.73051852682252538</v>
      </c>
      <c r="K157" s="73">
        <f>IF(A7stdlife="n/a","n/a",IF(K$3&gt;(A7stdlife+$F157),(Input!$I$285*(1+vanilla2)^0.5)-SUM($I157:J157),(Input!$I$285*(1+vanilla2)^0.5)/A7stdlife))</f>
        <v>0.73051852682252538</v>
      </c>
      <c r="L157" s="73">
        <f>IF(A7stdlife="n/a","n/a",IF(L$3&gt;(A7stdlife+$F157),(Input!$I$285*(1+vanilla2)^0.5)-SUM($I157:K157),(Input!$I$285*(1+vanilla2)^0.5)/A7stdlife))</f>
        <v>0.73051852682252538</v>
      </c>
      <c r="M157" s="73">
        <f>IF(A7stdlife="n/a","n/a",IF(M$3&gt;(A7stdlife+$F157),(Input!$I$285*(1+vanilla2)^0.5)-SUM($I157:L157),(Input!$I$285*(1+vanilla2)^0.5)/A7stdlife))</f>
        <v>0.73051852682252538</v>
      </c>
      <c r="N157" s="73">
        <f>IF(A7stdlife="n/a","n/a",IF(N$3&gt;(A7stdlife+$F157),(Input!$I$285*(1+vanilla2)^0.5)-SUM($I157:M157),(Input!$I$285*(1+vanilla2)^0.5)/A7stdlife))</f>
        <v>0.73051852682252538</v>
      </c>
      <c r="O157" s="73">
        <f>IF(A7stdlife="n/a","n/a",IF(O$3&gt;(A7stdlife+$F157),(Input!$I$285*(1+vanilla2)^0.5)-SUM($I157:N157),(Input!$I$285*(1+vanilla2)^0.5)/A7stdlife))</f>
        <v>0</v>
      </c>
      <c r="P157" s="73">
        <f>IF(A7stdlife="n/a","n/a",IF(P$3&gt;(A7stdlife+$F157),(Input!$I$285*(1+vanilla2)^0.5)-SUM($I157:O157),(Input!$I$285*(1+vanilla2)^0.5)/A7stdlife))</f>
        <v>0</v>
      </c>
      <c r="Q157" s="73">
        <f>IF(A7stdlife="n/a","n/a",IF(Q$3&gt;(A7stdlife+$F157),(Input!$I$285*(1+vanilla2)^0.5)-SUM($I157:P157),(Input!$I$285*(1+vanilla2)^0.5)/A7stdlife))</f>
        <v>0</v>
      </c>
      <c r="R157" s="73"/>
      <c r="S157" s="107"/>
      <c r="T157" s="107"/>
      <c r="U157" s="107"/>
      <c r="V157" s="107"/>
      <c r="W157" s="107"/>
      <c r="X157" s="107"/>
      <c r="Y157" s="107"/>
      <c r="Z157" s="107"/>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37"/>
      <c r="F158" s="91">
        <v>3</v>
      </c>
      <c r="G158" s="125"/>
      <c r="H158" s="150"/>
      <c r="I158" s="152"/>
      <c r="J158" s="151"/>
      <c r="K158" s="73">
        <f>IF(A7stdlife="n/a","n/a",IF(K$3&gt;(A7stdlife+$F158),(Input!$J$285*(1+vanilla3)^0.5)-SUM($J158:J158),(Input!$J$285*(1+vanilla3)^0.5)/A7stdlife))</f>
        <v>1.057209144553263</v>
      </c>
      <c r="L158" s="73">
        <f>IF(A7stdlife="n/a","n/a",IF(L$3&gt;(A7stdlife+$F158),(Input!$J$285*(1+vanilla3)^0.5)-SUM($J158:K158),(Input!$J$285*(1+vanilla3)^0.5)/A7stdlife))</f>
        <v>1.057209144553263</v>
      </c>
      <c r="M158" s="73">
        <f>IF(A7stdlife="n/a","n/a",IF(M$3&gt;(A7stdlife+$F158),(Input!$J$285*(1+vanilla3)^0.5)-SUM($J158:L158),(Input!$J$285*(1+vanilla3)^0.5)/A7stdlife))</f>
        <v>1.057209144553263</v>
      </c>
      <c r="N158" s="73">
        <f>IF(A7stdlife="n/a","n/a",IF(N$3&gt;(A7stdlife+$F158),(Input!$J$285*(1+vanilla3)^0.5)-SUM($J158:M158),(Input!$J$285*(1+vanilla3)^0.5)/A7stdlife))</f>
        <v>1.057209144553263</v>
      </c>
      <c r="O158" s="73">
        <f>IF(A7stdlife="n/a","n/a",IF(O$3&gt;(A7stdlife+$F158),(Input!$J$285*(1+vanilla3)^0.5)-SUM($J158:N158),(Input!$J$285*(1+vanilla3)^0.5)/A7stdlife))</f>
        <v>1.057209144553263</v>
      </c>
      <c r="P158" s="73">
        <f>IF(A7stdlife="n/a","n/a",IF(P$3&gt;(A7stdlife+$F158),(Input!$J$285*(1+vanilla3)^0.5)-SUM($J158:O158),(Input!$J$285*(1+vanilla3)^0.5)/A7stdlife))</f>
        <v>0</v>
      </c>
      <c r="Q158" s="73">
        <f>IF(A7stdlife="n/a","n/a",IF(Q$3&gt;(A7stdlife+$F158),(Input!$J$285*(1+vanilla3)^0.5)-SUM($J158:P158),(Input!$J$285*(1+vanilla3)^0.5)/A7stdlife))</f>
        <v>0</v>
      </c>
      <c r="R158" s="73"/>
      <c r="S158" s="107"/>
      <c r="T158" s="107"/>
      <c r="U158" s="107"/>
      <c r="V158" s="107"/>
      <c r="W158" s="107"/>
      <c r="X158" s="107"/>
      <c r="Y158" s="107"/>
      <c r="Z158" s="107"/>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37"/>
      <c r="F159" s="91">
        <v>4</v>
      </c>
      <c r="G159" s="125"/>
      <c r="H159" s="150"/>
      <c r="I159" s="152"/>
      <c r="J159" s="152"/>
      <c r="K159" s="151"/>
      <c r="L159" s="73">
        <f>IF(A7stdlife="n/a","n/a",IF(L$3&gt;(A7stdlife+$F159),(Input!$K$285*(1+vanilla4)^0.5)-SUM($K159:K159),(Input!$K$285*(1+vanilla4)^0.5)/A7stdlife))</f>
        <v>0.83221042370270326</v>
      </c>
      <c r="M159" s="73">
        <f>IF(A7stdlife="n/a","n/a",IF(M$3&gt;(A7stdlife+$F159),(Input!$K$285*(1+vanilla4)^0.5)-SUM($K159:L159),(Input!$K$285*(1+vanilla4)^0.5)/A7stdlife))</f>
        <v>0.83221042370270326</v>
      </c>
      <c r="N159" s="73">
        <f>IF(A7stdlife="n/a","n/a",IF(N$3&gt;(A7stdlife+$F159),(Input!$K$285*(1+vanilla4)^0.5)-SUM($K159:M159),(Input!$K$285*(1+vanilla4)^0.5)/A7stdlife))</f>
        <v>0.83221042370270326</v>
      </c>
      <c r="O159" s="73">
        <f>IF(A7stdlife="n/a","n/a",IF(O$3&gt;(A7stdlife+$F159),(Input!$K$285*(1+vanilla4)^0.5)-SUM($K159:N159),(Input!$K$285*(1+vanilla4)^0.5)/A7stdlife))</f>
        <v>0.83221042370270326</v>
      </c>
      <c r="P159" s="73">
        <f>IF(A7stdlife="n/a","n/a",IF(P$3&gt;(A7stdlife+$F159),(Input!$K$285*(1+vanilla4)^0.5)-SUM($K159:O159),(Input!$K$285*(1+vanilla4)^0.5)/A7stdlife))</f>
        <v>0.83221042370270326</v>
      </c>
      <c r="Q159" s="73">
        <f>IF(A7stdlife="n/a","n/a",IF(Q$3&gt;(A7stdlife+$F159),(Input!$K$285*(1+vanilla4)^0.5)-SUM($K159:P159),(Input!$K$285*(1+vanilla4)^0.5)/A7stdlife))</f>
        <v>0</v>
      </c>
      <c r="R159" s="73"/>
      <c r="S159" s="107"/>
      <c r="T159" s="107"/>
      <c r="U159" s="107"/>
      <c r="V159" s="107"/>
      <c r="W159" s="107"/>
      <c r="X159" s="107"/>
      <c r="Y159" s="107"/>
      <c r="Z159" s="107"/>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6"/>
      <c r="E160" s="537"/>
      <c r="F160" s="91">
        <v>5</v>
      </c>
      <c r="G160" s="125"/>
      <c r="H160" s="150"/>
      <c r="I160" s="152"/>
      <c r="J160" s="152"/>
      <c r="K160" s="152"/>
      <c r="L160" s="151"/>
      <c r="M160" s="73">
        <f>IF(A7stdlife="n/a","n/a",IF(M$3&gt;(A7stdlife+$F160),(Input!$L$285*(1+vanilla5)^0.5)-SUM($L160:L160),(Input!$L$285*(1+vanilla5)^0.5)/A7stdlife))</f>
        <v>0.44533926962227294</v>
      </c>
      <c r="N160" s="73">
        <f>IF(A7stdlife="n/a","n/a",IF(N$3&gt;(A7stdlife+$F160),(Input!$L$285*(1+vanilla5)^0.5)-SUM($L160:M160),(Input!$L$285*(1+vanilla5)^0.5)/A7stdlife))</f>
        <v>0.44533926962227294</v>
      </c>
      <c r="O160" s="73">
        <f>IF(A7stdlife="n/a","n/a",IF(O$3&gt;(A7stdlife+$F160),(Input!$L$285*(1+vanilla5)^0.5)-SUM($L160:N160),(Input!$L$285*(1+vanilla5)^0.5)/A7stdlife))</f>
        <v>0.44533926962227294</v>
      </c>
      <c r="P160" s="73">
        <f>IF(A7stdlife="n/a","n/a",IF(P$3&gt;(A7stdlife+$F160),(Input!$L$285*(1+vanilla5)^0.5)-SUM($L160:O160),(Input!$L$285*(1+vanilla5)^0.5)/A7stdlife))</f>
        <v>0.44533926962227294</v>
      </c>
      <c r="Q160" s="73">
        <f>IF(A7stdlife="n/a","n/a",IF(Q$3&gt;(A7stdlife+$F160),(Input!$L$285*(1+vanilla5)^0.5)-SUM($L160:P160),(Input!$L$285*(1+vanilla5)^0.5)/A7stdlife))</f>
        <v>0.44533926962227294</v>
      </c>
      <c r="R160" s="73"/>
      <c r="S160" s="107"/>
      <c r="T160" s="107"/>
      <c r="U160" s="107"/>
      <c r="V160" s="107"/>
      <c r="W160" s="107"/>
      <c r="X160" s="107"/>
      <c r="Y160" s="107"/>
      <c r="Z160" s="107"/>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6"/>
      <c r="E161" s="537"/>
      <c r="F161" s="91">
        <v>6</v>
      </c>
      <c r="G161" s="125"/>
      <c r="H161" s="150"/>
      <c r="I161" s="152"/>
      <c r="J161" s="152"/>
      <c r="K161" s="152"/>
      <c r="L161" s="152"/>
      <c r="M161" s="151"/>
      <c r="N161" s="73">
        <f>IF(A7stdlife="n/a","n/a",IF(N$3&gt;(A7stdlife+$F161),(Input!$M$285*(1+vanilla6)^0.5)-SUM($M161:M161),(Input!$M$285*(1+vanilla6)^0.5)/A7stdlife))</f>
        <v>0</v>
      </c>
      <c r="O161" s="73">
        <f>IF(A7stdlife="n/a","n/a",IF(O$3&gt;(A7stdlife+$F161),(Input!$M$285*(1+vanilla6)^0.5)-SUM($M161:N161),(Input!$M$285*(1+vanilla6)^0.5)/A7stdlife))</f>
        <v>0</v>
      </c>
      <c r="P161" s="73">
        <f>IF(A7stdlife="n/a","n/a",IF(P$3&gt;(A7stdlife+$F161),(Input!$M$285*(1+vanilla6)^0.5)-SUM($M161:O161),(Input!$M$285*(1+vanilla6)^0.5)/A7stdlife))</f>
        <v>0</v>
      </c>
      <c r="Q161" s="73">
        <f>IF(A7stdlife="n/a","n/a",IF(Q$3&gt;(A7stdlife+$F161),(Input!$M$285*(1+vanilla6)^0.5)-SUM($M161:P161),(Input!$M$285*(1+vanilla6)^0.5)/A7stdlife))</f>
        <v>0</v>
      </c>
      <c r="R161" s="73"/>
      <c r="S161" s="107"/>
      <c r="T161" s="107"/>
      <c r="U161" s="107"/>
      <c r="V161" s="107"/>
      <c r="W161" s="107"/>
      <c r="X161" s="107"/>
      <c r="Y161" s="107"/>
      <c r="Z161" s="107"/>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6"/>
      <c r="E162" s="537"/>
      <c r="F162" s="91">
        <v>7</v>
      </c>
      <c r="G162" s="125"/>
      <c r="H162" s="150"/>
      <c r="I162" s="152"/>
      <c r="J162" s="152"/>
      <c r="K162" s="152"/>
      <c r="L162" s="152"/>
      <c r="M162" s="152"/>
      <c r="N162" s="151"/>
      <c r="O162" s="73">
        <f>IF(A7stdlife="n/a","n/a",IF(O$3&gt;(A7stdlife+$F162),(Input!$N$285*(1+vanilla7)^0.5)-SUM($N162:N162),(Input!$N$285*(1+vanilla7)^0.5)/A7stdlife))</f>
        <v>0</v>
      </c>
      <c r="P162" s="73">
        <f>IF(A7stdlife="n/a","n/a",IF(P$3&gt;(A7stdlife+$F162),(Input!$N$285*(1+vanilla7)^0.5)-SUM($N162:O162),(Input!$N$285*(1+vanilla7)^0.5)/A7stdlife))</f>
        <v>0</v>
      </c>
      <c r="Q162" s="73">
        <f>IF(A7stdlife="n/a","n/a",IF(Q$3&gt;(A7stdlife+$F162),(Input!$N$285*(1+vanilla7)^0.5)-SUM($N162:P162),(Input!$N$285*(1+vanilla7)^0.5)/A7stdlife))</f>
        <v>0</v>
      </c>
      <c r="R162" s="73"/>
      <c r="S162" s="107"/>
      <c r="T162" s="107"/>
      <c r="U162" s="107"/>
      <c r="V162" s="107"/>
      <c r="W162" s="107"/>
      <c r="X162" s="107"/>
      <c r="Y162" s="107"/>
      <c r="Z162" s="107"/>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37"/>
      <c r="F163" s="91">
        <v>8</v>
      </c>
      <c r="G163" s="125"/>
      <c r="H163" s="150"/>
      <c r="I163" s="152"/>
      <c r="J163" s="152"/>
      <c r="K163" s="152"/>
      <c r="L163" s="152"/>
      <c r="M163" s="152"/>
      <c r="N163" s="152"/>
      <c r="O163" s="151"/>
      <c r="P163" s="73">
        <f>IF(A7stdlife="n/a","n/a",IF(P$3&gt;(A7stdlife+$F163),(Input!$O$285*(1+vanilla8)^0.5)-SUM($O163:O163),(Input!$O$285*(1+vanilla8)^0.5)/A7stdlife))</f>
        <v>0</v>
      </c>
      <c r="Q163" s="73">
        <f>IF(A7stdlife="n/a","n/a",IF(Q$3&gt;(A7stdlife+$F163),(Input!$O$285*(1+vanilla8)^0.5)-SUM($O163:P163),(Input!$O$285*(1+vanilla8)^0.5)/A7stdlife))</f>
        <v>0</v>
      </c>
      <c r="R163" s="73"/>
      <c r="S163" s="107"/>
      <c r="T163" s="107"/>
      <c r="U163" s="107"/>
      <c r="V163" s="107"/>
      <c r="W163" s="107"/>
      <c r="X163" s="107"/>
      <c r="Y163" s="107"/>
      <c r="Z163" s="107"/>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37"/>
      <c r="F164" s="91">
        <v>9</v>
      </c>
      <c r="G164" s="125"/>
      <c r="H164" s="150"/>
      <c r="I164" s="152"/>
      <c r="J164" s="152"/>
      <c r="K164" s="152"/>
      <c r="L164" s="152"/>
      <c r="M164" s="152"/>
      <c r="N164" s="152"/>
      <c r="O164" s="152"/>
      <c r="P164" s="151"/>
      <c r="Q164" s="73">
        <f>IF(A7stdlife="n/a","n/a",IF(Q$3&gt;(A7stdlife+$F164),(Input!$P$285*(1+vanilla9)^0.5)-SUM($P164:P164),(Input!$P$285*(1+vanilla9)^0.5)/A7stdlife))</f>
        <v>0</v>
      </c>
      <c r="R164" s="73"/>
      <c r="S164" s="107"/>
      <c r="T164" s="107"/>
      <c r="U164" s="107"/>
      <c r="V164" s="107"/>
      <c r="W164" s="107"/>
      <c r="X164" s="107"/>
      <c r="Y164" s="107"/>
      <c r="Z164" s="107"/>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37"/>
      <c r="F165" s="92">
        <v>10</v>
      </c>
      <c r="G165" s="125"/>
      <c r="H165" s="150"/>
      <c r="I165" s="152"/>
      <c r="J165" s="152"/>
      <c r="K165" s="152"/>
      <c r="L165" s="152"/>
      <c r="M165" s="152"/>
      <c r="N165" s="152"/>
      <c r="O165" s="152"/>
      <c r="P165" s="152"/>
      <c r="Q165" s="151"/>
      <c r="R165" s="73"/>
      <c r="S165" s="107"/>
      <c r="T165" s="107"/>
      <c r="U165" s="107"/>
      <c r="V165" s="107"/>
      <c r="W165" s="107"/>
      <c r="X165" s="107"/>
      <c r="Y165" s="107"/>
      <c r="Z165" s="107"/>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9"/>
      <c r="B166" s="9"/>
      <c r="C166" s="9"/>
      <c r="D166" s="272" t="str">
        <f>Asset7</f>
        <v>Non-network general assets - Other</v>
      </c>
      <c r="E166" s="9"/>
      <c r="F166" s="9"/>
      <c r="G166" s="125"/>
      <c r="H166" s="166">
        <f>-SUM(H154:H165)</f>
        <v>-34.275644401485252</v>
      </c>
      <c r="I166" s="166">
        <f>-SUM(I154:I165)</f>
        <v>-1.0026876607895834</v>
      </c>
      <c r="J166" s="166">
        <f>-SUM(J154:J165)</f>
        <v>-1.7332061876121088</v>
      </c>
      <c r="K166" s="166">
        <f>-SUM(K154:K165)</f>
        <v>-2.790415332165372</v>
      </c>
      <c r="L166" s="166">
        <f>-SUM(L154:L165)</f>
        <v>-3.622625755868075</v>
      </c>
      <c r="M166" s="73">
        <f>IF(COUNT($H166:L166)&gt;=Input!$Y$7,0, -SUM(M154:M165))</f>
        <v>0</v>
      </c>
      <c r="N166" s="73">
        <f>IF(COUNT($H166:M166)&gt;=Input!$Y$7,0, -SUM(N154:N165))</f>
        <v>0</v>
      </c>
      <c r="O166" s="73">
        <f>IF(COUNT($H166:N166)&gt;=Input!$Y$7,0, -SUM(O154:O165))</f>
        <v>0</v>
      </c>
      <c r="P166" s="73">
        <f>IF(COUNT($H166:O166)&gt;=Input!$Y$7,0, -SUM(P154:P165))</f>
        <v>0</v>
      </c>
      <c r="Q166" s="73">
        <f>IF(COUNT($H166:P166)&gt;=Input!$Y$7,0, -SUM(Q154:Q165))</f>
        <v>0</v>
      </c>
      <c r="R166" s="71"/>
      <c r="S166" s="109"/>
      <c r="T166" s="109"/>
      <c r="U166" s="109"/>
      <c r="V166" s="109"/>
      <c r="W166" s="109"/>
      <c r="X166" s="109"/>
      <c r="Y166" s="109"/>
      <c r="Z166" s="109"/>
      <c r="AA166" s="236"/>
      <c r="AB166" s="236"/>
      <c r="AC166" s="236"/>
      <c r="AD166" s="236"/>
      <c r="AE166" s="236"/>
      <c r="AF166" s="236"/>
      <c r="AG166" s="236"/>
      <c r="AH166" s="236"/>
      <c r="AI166" s="236"/>
      <c r="AJ166" s="236"/>
      <c r="AK166" s="236"/>
      <c r="AL166" s="236"/>
      <c r="AM166" s="236"/>
      <c r="AN166" s="236"/>
      <c r="AO166" s="236"/>
      <c r="AP166" s="236"/>
      <c r="AQ166" s="236"/>
      <c r="AR166" s="236"/>
      <c r="AS166" s="236"/>
      <c r="AT166" s="236"/>
      <c r="AU166" s="236"/>
      <c r="AV166" s="236"/>
      <c r="AW166" s="236"/>
      <c r="AX166" s="236"/>
      <c r="AY166" s="236"/>
      <c r="AZ166" s="236"/>
      <c r="BA166" s="236"/>
      <c r="BB166" s="236"/>
      <c r="BC166" s="236"/>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73" t="str">
        <f>Asset8</f>
        <v>Equity Raising Costs</v>
      </c>
      <c r="D167" s="162"/>
      <c r="E167" s="32" t="s">
        <v>5</v>
      </c>
      <c r="F167" s="31"/>
      <c r="G167" s="181"/>
      <c r="H167" s="72" t="str">
        <f>IF(H$3&gt;A8remlife,A8value-$G$637-SUM($G167:G167),IF(A8remlife="N/A","n/a",(A8value-$G$637)/A8remlife))</f>
        <v>n/a</v>
      </c>
      <c r="I167" s="72" t="str">
        <f>IF(I$3&gt;A8remlife,A8value-$G$637-SUM($G167:H167),IF(A8remlife="N/A","n/a",(A8value-$G$637)/A8remlife))</f>
        <v>n/a</v>
      </c>
      <c r="J167" s="72" t="str">
        <f>IF(J$3&gt;A8remlife,A8value-$G$637-SUM($G167:I167),IF(A8remlife="N/A","n/a",(A8value-$G$637)/A8remlife))</f>
        <v>n/a</v>
      </c>
      <c r="K167" s="72" t="str">
        <f>IF(K$3&gt;A8remlife,A8value-$G$637-SUM($G167:J167),IF(A8remlife="N/A","n/a",(A8value-$G$637)/A8remlife))</f>
        <v>n/a</v>
      </c>
      <c r="L167" s="72" t="str">
        <f>IF(L$3&gt;A8remlife,A8value-$G$637-SUM($G167:K167),IF(A8remlife="N/A","n/a",(A8value-$G$637)/A8remlife))</f>
        <v>n/a</v>
      </c>
      <c r="M167" s="72" t="str">
        <f>IF(M$3&gt;A8remlife,A8value-$G$637-SUM($G167:L167),IF(A8remlife="N/A","n/a",(A8value-$G$637)/A8remlife))</f>
        <v>n/a</v>
      </c>
      <c r="N167" s="72" t="str">
        <f>IF(N$3&gt;A8remlife,A8value-$G$637-SUM($G167:M167),IF(A8remlife="N/A","n/a",(A8value-$G$637)/A8remlife))</f>
        <v>n/a</v>
      </c>
      <c r="O167" s="72" t="str">
        <f>IF(O$3&gt;A8remlife,A8value-$G$637-SUM($G167:N167),IF(A8remlife="N/A","n/a",(A8value-$G$637)/A8remlife))</f>
        <v>n/a</v>
      </c>
      <c r="P167" s="72" t="str">
        <f>IF(P$3&gt;A8remlife,A8value-$G$637-SUM($G167:O167),IF(A8remlife="N/A","n/a",(A8value-$G$637)/A8remlife))</f>
        <v>n/a</v>
      </c>
      <c r="Q167" s="72" t="str">
        <f>IF(Q$3&gt;A8remlife,A8value-$G$637-SUM($G167:P167),IF(A8remlife="N/A","n/a",(A8value-$G$637)/A8remlife))</f>
        <v>n/a</v>
      </c>
      <c r="R167" s="72"/>
      <c r="S167" s="107"/>
      <c r="T167" s="107"/>
      <c r="U167" s="107"/>
      <c r="V167" s="107"/>
      <c r="W167" s="107"/>
      <c r="X167" s="107"/>
      <c r="Y167" s="107"/>
      <c r="Z167" s="107"/>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6"/>
      <c r="E168" s="536" t="s">
        <v>59</v>
      </c>
      <c r="F168" s="91"/>
      <c r="G168" s="125"/>
      <c r="H168" s="73"/>
      <c r="I168" s="73"/>
      <c r="J168" s="73"/>
      <c r="K168" s="73"/>
      <c r="L168" s="73"/>
      <c r="M168" s="164"/>
      <c r="N168" s="116"/>
      <c r="O168" s="73"/>
      <c r="P168" s="73"/>
      <c r="Q168" s="73"/>
      <c r="R168" s="73"/>
      <c r="S168" s="107"/>
      <c r="T168" s="107"/>
      <c r="U168" s="107"/>
      <c r="V168" s="107"/>
      <c r="W168" s="107"/>
      <c r="X168" s="107"/>
      <c r="Y168" s="107"/>
      <c r="Z168" s="107"/>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37"/>
      <c r="F169" s="91">
        <v>1</v>
      </c>
      <c r="G169" s="125"/>
      <c r="H169" s="149"/>
      <c r="I169" s="73">
        <f>IF(A8stdlife="n/a","n/a",IF(I$3&gt;(A8stdlife+$F169),(Input!$H$286*(1+vanilla1)^0.5)-SUM($H169:H169),(Input!$H$286*(1+vanilla1)^0.5)/A8stdlife))</f>
        <v>3.2558859048178047E-2</v>
      </c>
      <c r="J169" s="73">
        <f>IF(A8stdlife="n/a","n/a",IF(J$3&gt;(A8stdlife+$F169),(Input!$H$286*(1+vanilla1)^0.5)-SUM($H169:I169),(Input!$H$286*(1+vanilla1)^0.5)/A8stdlife))</f>
        <v>3.2558859048178047E-2</v>
      </c>
      <c r="K169" s="73">
        <f>IF(A8stdlife="n/a","n/a",IF(K$3&gt;(A8stdlife+$F169),(Input!$H$286*(1+vanilla1)^0.5)-SUM($H169:J169),(Input!$H$286*(1+vanilla1)^0.5)/A8stdlife))</f>
        <v>3.2558859048178047E-2</v>
      </c>
      <c r="L169" s="73">
        <f>IF(A8stdlife="n/a","n/a",IF(L$3&gt;(A8stdlife+$F169),(Input!$H$286*(1+vanilla1)^0.5)-SUM($H169:K169),(Input!$H$286*(1+vanilla1)^0.5)/A8stdlife))</f>
        <v>3.2558859048178047E-2</v>
      </c>
      <c r="M169" s="73">
        <f>IF(A8stdlife="n/a","n/a",IF(M$3&gt;(A8stdlife+$F169),(Input!$H$286*(1+vanilla1)^0.5)-SUM($H169:L169),(Input!$H$286*(1+vanilla1)^0.5)/A8stdlife))</f>
        <v>3.2558859048178047E-2</v>
      </c>
      <c r="N169" s="73">
        <f>IF(A8stdlife="n/a","n/a",IF(N$3&gt;(A8stdlife+$F169),(Input!$H$286*(1+vanilla1)^0.5)-SUM($H169:M169),(Input!$H$286*(1+vanilla1)^0.5)/A8stdlife))</f>
        <v>3.2558859048178047E-2</v>
      </c>
      <c r="O169" s="73">
        <f>IF(A8stdlife="n/a","n/a",IF(O$3&gt;(A8stdlife+$F169),(Input!$H$286*(1+vanilla1)^0.5)-SUM($H169:N169),(Input!$H$286*(1+vanilla1)^0.5)/A8stdlife))</f>
        <v>3.2558859048178047E-2</v>
      </c>
      <c r="P169" s="73">
        <f>IF(A8stdlife="n/a","n/a",IF(P$3&gt;(A8stdlife+$F169),(Input!$H$286*(1+vanilla1)^0.5)-SUM($H169:O169),(Input!$H$286*(1+vanilla1)^0.5)/A8stdlife))</f>
        <v>3.2558859048178047E-2</v>
      </c>
      <c r="Q169" s="73">
        <f>IF(A8stdlife="n/a","n/a",IF(Q$3&gt;(A8stdlife+$F169),(Input!$H$286*(1+vanilla1)^0.5)-SUM($H169:P169),(Input!$H$286*(1+vanilla1)^0.5)/A8stdlife))</f>
        <v>3.2558859048178047E-2</v>
      </c>
      <c r="R169" s="73"/>
      <c r="S169" s="107"/>
      <c r="T169" s="107"/>
      <c r="U169" s="107"/>
      <c r="V169" s="107"/>
      <c r="W169" s="107"/>
      <c r="X169" s="107"/>
      <c r="Y169" s="107"/>
      <c r="Z169" s="107"/>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37"/>
      <c r="F170" s="91">
        <v>2</v>
      </c>
      <c r="G170" s="125"/>
      <c r="H170" s="150"/>
      <c r="I170" s="151"/>
      <c r="J170" s="73">
        <f>IF(A8stdlife="n/a","n/a",IF(J$3&gt;(A8stdlife+$F170),(Input!$I$286*(1+vanilla2)^0.5)-SUM($I170:I170),(Input!$I$286*(1+vanilla2)^0.5)/A8stdlife))</f>
        <v>0</v>
      </c>
      <c r="K170" s="73">
        <f>IF(A8stdlife="n/a","n/a",IF(K$3&gt;(A8stdlife+$F170),(Input!$I$286*(1+vanilla2)^0.5)-SUM($I170:J170),(Input!$I$286*(1+vanilla2)^0.5)/A8stdlife))</f>
        <v>0</v>
      </c>
      <c r="L170" s="73">
        <f>IF(A8stdlife="n/a","n/a",IF(L$3&gt;(A8stdlife+$F170),(Input!$I$286*(1+vanilla2)^0.5)-SUM($I170:K170),(Input!$I$286*(1+vanilla2)^0.5)/A8stdlife))</f>
        <v>0</v>
      </c>
      <c r="M170" s="73">
        <f>IF(A8stdlife="n/a","n/a",IF(M$3&gt;(A8stdlife+$F170),(Input!$I$286*(1+vanilla2)^0.5)-SUM($I170:L170),(Input!$I$286*(1+vanilla2)^0.5)/A8stdlife))</f>
        <v>0</v>
      </c>
      <c r="N170" s="73">
        <f>IF(A8stdlife="n/a","n/a",IF(N$3&gt;(A8stdlife+$F170),(Input!$I$286*(1+vanilla2)^0.5)-SUM($I170:M170),(Input!$I$286*(1+vanilla2)^0.5)/A8stdlife))</f>
        <v>0</v>
      </c>
      <c r="O170" s="73">
        <f>IF(A8stdlife="n/a","n/a",IF(O$3&gt;(A8stdlife+$F170),(Input!$I$286*(1+vanilla2)^0.5)-SUM($I170:N170),(Input!$I$286*(1+vanilla2)^0.5)/A8stdlife))</f>
        <v>0</v>
      </c>
      <c r="P170" s="73">
        <f>IF(A8stdlife="n/a","n/a",IF(P$3&gt;(A8stdlife+$F170),(Input!$I$286*(1+vanilla2)^0.5)-SUM($I170:O170),(Input!$I$286*(1+vanilla2)^0.5)/A8stdlife))</f>
        <v>0</v>
      </c>
      <c r="Q170" s="73">
        <f>IF(A8stdlife="n/a","n/a",IF(Q$3&gt;(A8stdlife+$F170),(Input!$I$286*(1+vanilla2)^0.5)-SUM($I170:P170),(Input!$I$286*(1+vanilla2)^0.5)/A8stdlife))</f>
        <v>0</v>
      </c>
      <c r="R170" s="73"/>
      <c r="S170" s="107"/>
      <c r="T170" s="107"/>
      <c r="U170" s="107"/>
      <c r="V170" s="107"/>
      <c r="W170" s="107"/>
      <c r="X170" s="107"/>
      <c r="Y170" s="107"/>
      <c r="Z170" s="107"/>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37"/>
      <c r="F171" s="91">
        <v>3</v>
      </c>
      <c r="G171" s="125"/>
      <c r="H171" s="150"/>
      <c r="I171" s="152"/>
      <c r="J171" s="151"/>
      <c r="K171" s="73">
        <f>IF(A8stdlife="n/a","n/a",IF(K$3&gt;(A8stdlife+$F171),(Input!$J$286*(1+vanilla3)^0.5)-SUM($J171:J171),(Input!$J$286*(1+vanilla3)^0.5)/A8stdlife))</f>
        <v>0</v>
      </c>
      <c r="L171" s="73">
        <f>IF(A8stdlife="n/a","n/a",IF(L$3&gt;(A8stdlife+$F171),(Input!$J$286*(1+vanilla3)^0.5)-SUM($J171:K171),(Input!$J$286*(1+vanilla3)^0.5)/A8stdlife))</f>
        <v>0</v>
      </c>
      <c r="M171" s="73">
        <f>IF(A8stdlife="n/a","n/a",IF(M$3&gt;(A8stdlife+$F171),(Input!$J$286*(1+vanilla3)^0.5)-SUM($J171:L171),(Input!$J$286*(1+vanilla3)^0.5)/A8stdlife))</f>
        <v>0</v>
      </c>
      <c r="N171" s="73">
        <f>IF(A8stdlife="n/a","n/a",IF(N$3&gt;(A8stdlife+$F171),(Input!$J$286*(1+vanilla3)^0.5)-SUM($J171:M171),(Input!$J$286*(1+vanilla3)^0.5)/A8stdlife))</f>
        <v>0</v>
      </c>
      <c r="O171" s="73">
        <f>IF(A8stdlife="n/a","n/a",IF(O$3&gt;(A8stdlife+$F171),(Input!$J$286*(1+vanilla3)^0.5)-SUM($J171:N171),(Input!$J$286*(1+vanilla3)^0.5)/A8stdlife))</f>
        <v>0</v>
      </c>
      <c r="P171" s="73">
        <f>IF(A8stdlife="n/a","n/a",IF(P$3&gt;(A8stdlife+$F171),(Input!$J$286*(1+vanilla3)^0.5)-SUM($J171:O171),(Input!$J$286*(1+vanilla3)^0.5)/A8stdlife))</f>
        <v>0</v>
      </c>
      <c r="Q171" s="73">
        <f>IF(A8stdlife="n/a","n/a",IF(Q$3&gt;(A8stdlife+$F171),(Input!$J$286*(1+vanilla3)^0.5)-SUM($J171:P171),(Input!$J$286*(1+vanilla3)^0.5)/A8stdlife))</f>
        <v>0</v>
      </c>
      <c r="R171" s="73"/>
      <c r="S171" s="107"/>
      <c r="T171" s="107"/>
      <c r="U171" s="107"/>
      <c r="V171" s="107"/>
      <c r="W171" s="107"/>
      <c r="X171" s="107"/>
      <c r="Y171" s="107"/>
      <c r="Z171" s="107"/>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37"/>
      <c r="F172" s="91">
        <v>4</v>
      </c>
      <c r="G172" s="125"/>
      <c r="H172" s="150"/>
      <c r="I172" s="152"/>
      <c r="J172" s="152"/>
      <c r="K172" s="151"/>
      <c r="L172" s="73">
        <f>IF(A8stdlife="n/a","n/a",IF(L$3&gt;(A8stdlife+$F172),(Input!$K$286*(1+vanilla4)^0.5)-SUM($K172:K172),(Input!$K$286*(1+vanilla4)^0.5)/A8stdlife))</f>
        <v>0</v>
      </c>
      <c r="M172" s="73">
        <f>IF(A8stdlife="n/a","n/a",IF(M$3&gt;(A8stdlife+$F172),(Input!$K$286*(1+vanilla4)^0.5)-SUM($K172:L172),(Input!$K$286*(1+vanilla4)^0.5)/A8stdlife))</f>
        <v>0</v>
      </c>
      <c r="N172" s="73">
        <f>IF(A8stdlife="n/a","n/a",IF(N$3&gt;(A8stdlife+$F172),(Input!$K$286*(1+vanilla4)^0.5)-SUM($K172:M172),(Input!$K$286*(1+vanilla4)^0.5)/A8stdlife))</f>
        <v>0</v>
      </c>
      <c r="O172" s="73">
        <f>IF(A8stdlife="n/a","n/a",IF(O$3&gt;(A8stdlife+$F172),(Input!$K$286*(1+vanilla4)^0.5)-SUM($K172:N172),(Input!$K$286*(1+vanilla4)^0.5)/A8stdlife))</f>
        <v>0</v>
      </c>
      <c r="P172" s="73">
        <f>IF(A8stdlife="n/a","n/a",IF(P$3&gt;(A8stdlife+$F172),(Input!$K$286*(1+vanilla4)^0.5)-SUM($K172:O172),(Input!$K$286*(1+vanilla4)^0.5)/A8stdlife))</f>
        <v>0</v>
      </c>
      <c r="Q172" s="73">
        <f>IF(A8stdlife="n/a","n/a",IF(Q$3&gt;(A8stdlife+$F172),(Input!$K$286*(1+vanilla4)^0.5)-SUM($K172:P172),(Input!$K$286*(1+vanilla4)^0.5)/A8stdlife))</f>
        <v>0</v>
      </c>
      <c r="R172" s="73"/>
      <c r="S172" s="107"/>
      <c r="T172" s="107"/>
      <c r="U172" s="107"/>
      <c r="V172" s="107"/>
      <c r="W172" s="107"/>
      <c r="X172" s="107"/>
      <c r="Y172" s="107"/>
      <c r="Z172" s="107"/>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6"/>
      <c r="E173" s="537"/>
      <c r="F173" s="91">
        <v>5</v>
      </c>
      <c r="G173" s="125"/>
      <c r="H173" s="150"/>
      <c r="I173" s="152"/>
      <c r="J173" s="152"/>
      <c r="K173" s="152"/>
      <c r="L173" s="151"/>
      <c r="M173" s="73">
        <f>IF(A8stdlife="n/a","n/a",IF(M$3&gt;(A8stdlife+$F173),(Input!$L$286*(1+vanilla5)^0.5)-SUM($L173:L173),(Input!$L$286*(1+vanilla5)^0.5)/A8stdlife))</f>
        <v>0</v>
      </c>
      <c r="N173" s="73">
        <f>IF(A8stdlife="n/a","n/a",IF(N$3&gt;(A8stdlife+$F173),(Input!$L$286*(1+vanilla5)^0.5)-SUM($L173:M173),(Input!$L$286*(1+vanilla5)^0.5)/A8stdlife))</f>
        <v>0</v>
      </c>
      <c r="O173" s="73">
        <f>IF(A8stdlife="n/a","n/a",IF(O$3&gt;(A8stdlife+$F173),(Input!$L$286*(1+vanilla5)^0.5)-SUM($L173:N173),(Input!$L$286*(1+vanilla5)^0.5)/A8stdlife))</f>
        <v>0</v>
      </c>
      <c r="P173" s="73">
        <f>IF(A8stdlife="n/a","n/a",IF(P$3&gt;(A8stdlife+$F173),(Input!$L$286*(1+vanilla5)^0.5)-SUM($L173:O173),(Input!$L$286*(1+vanilla5)^0.5)/A8stdlife))</f>
        <v>0</v>
      </c>
      <c r="Q173" s="73">
        <f>IF(A8stdlife="n/a","n/a",IF(Q$3&gt;(A8stdlife+$F173),(Input!$L$286*(1+vanilla5)^0.5)-SUM($L173:P173),(Input!$L$286*(1+vanilla5)^0.5)/A8stdlife))</f>
        <v>0</v>
      </c>
      <c r="R173" s="73"/>
      <c r="S173" s="107"/>
      <c r="T173" s="107"/>
      <c r="U173" s="107"/>
      <c r="V173" s="107"/>
      <c r="W173" s="107"/>
      <c r="X173" s="107"/>
      <c r="Y173" s="107"/>
      <c r="Z173" s="107"/>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6"/>
      <c r="E174" s="537"/>
      <c r="F174" s="91">
        <v>6</v>
      </c>
      <c r="G174" s="125"/>
      <c r="H174" s="150"/>
      <c r="I174" s="152"/>
      <c r="J174" s="152"/>
      <c r="K174" s="152"/>
      <c r="L174" s="152"/>
      <c r="M174" s="151"/>
      <c r="N174" s="73">
        <f>IF(A8stdlife="n/a","n/a",IF(N$3&gt;(A8stdlife+$F174),(Input!$M$286*(1+vanilla6)^0.5)-SUM($M174:M174),(Input!$M$286*(1+vanilla6)^0.5)/A8stdlife))</f>
        <v>0</v>
      </c>
      <c r="O174" s="73">
        <f>IF(A8stdlife="n/a","n/a",IF(O$3&gt;(A8stdlife+$F174),(Input!$M$286*(1+vanilla6)^0.5)-SUM($M174:N174),(Input!$M$286*(1+vanilla6)^0.5)/A8stdlife))</f>
        <v>0</v>
      </c>
      <c r="P174" s="73">
        <f>IF(A8stdlife="n/a","n/a",IF(P$3&gt;(A8stdlife+$F174),(Input!$M$286*(1+vanilla6)^0.5)-SUM($M174:O174),(Input!$M$286*(1+vanilla6)^0.5)/A8stdlife))</f>
        <v>0</v>
      </c>
      <c r="Q174" s="73">
        <f>IF(A8stdlife="n/a","n/a",IF(Q$3&gt;(A8stdlife+$F174),(Input!$M$286*(1+vanilla6)^0.5)-SUM($M174:P174),(Input!$M$286*(1+vanilla6)^0.5)/A8stdlife))</f>
        <v>0</v>
      </c>
      <c r="R174" s="73"/>
      <c r="S174" s="107"/>
      <c r="T174" s="107"/>
      <c r="U174" s="107"/>
      <c r="V174" s="107"/>
      <c r="W174" s="107"/>
      <c r="X174" s="107"/>
      <c r="Y174" s="107"/>
      <c r="Z174" s="107"/>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6"/>
      <c r="E175" s="537"/>
      <c r="F175" s="91">
        <v>7</v>
      </c>
      <c r="G175" s="125"/>
      <c r="H175" s="150"/>
      <c r="I175" s="152"/>
      <c r="J175" s="152"/>
      <c r="K175" s="152"/>
      <c r="L175" s="152"/>
      <c r="M175" s="152"/>
      <c r="N175" s="151"/>
      <c r="O175" s="73">
        <f>IF(A8stdlife="n/a","n/a",IF(O$3&gt;(A8stdlife+$F175),(Input!$N$286*(1+vanilla7)^0.5)-SUM($N175:N175),(Input!$N$286*(1+vanilla7)^0.5)/A8stdlife))</f>
        <v>0</v>
      </c>
      <c r="P175" s="73">
        <f>IF(A8stdlife="n/a","n/a",IF(P$3&gt;(A8stdlife+$F175),(Input!$N$286*(1+vanilla7)^0.5)-SUM($N175:O175),(Input!$N$286*(1+vanilla7)^0.5)/A8stdlife))</f>
        <v>0</v>
      </c>
      <c r="Q175" s="73">
        <f>IF(A8stdlife="n/a","n/a",IF(Q$3&gt;(A8stdlife+$F175),(Input!$N$286*(1+vanilla7)^0.5)-SUM($N175:P175),(Input!$N$286*(1+vanilla7)^0.5)/A8stdlife))</f>
        <v>0</v>
      </c>
      <c r="R175" s="73"/>
      <c r="S175" s="107"/>
      <c r="T175" s="107"/>
      <c r="U175" s="107"/>
      <c r="V175" s="107"/>
      <c r="W175" s="107"/>
      <c r="X175" s="107"/>
      <c r="Y175" s="107"/>
      <c r="Z175" s="107"/>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37"/>
      <c r="F176" s="91">
        <v>8</v>
      </c>
      <c r="G176" s="125"/>
      <c r="H176" s="150"/>
      <c r="I176" s="152"/>
      <c r="J176" s="152"/>
      <c r="K176" s="152"/>
      <c r="L176" s="152"/>
      <c r="M176" s="152"/>
      <c r="N176" s="152"/>
      <c r="O176" s="151"/>
      <c r="P176" s="73">
        <f>IF(A8stdlife="n/a","n/a",IF(P$3&gt;(A8stdlife+$F176),(Input!$O$286*(1+vanilla8)^0.5)-SUM($O176:O176),(Input!$O$286*(1+vanilla8)^0.5)/A8stdlife))</f>
        <v>0</v>
      </c>
      <c r="Q176" s="73">
        <f>IF(A8stdlife="n/a","n/a",IF(Q$3&gt;(A8stdlife+$F176),(Input!$O$286*(1+vanilla8)^0.5)-SUM($O176:P176),(Input!$O$286*(1+vanilla8)^0.5)/A8stdlife))</f>
        <v>0</v>
      </c>
      <c r="R176" s="73"/>
      <c r="S176" s="107"/>
      <c r="T176" s="107"/>
      <c r="U176" s="107"/>
      <c r="V176" s="107"/>
      <c r="W176" s="107"/>
      <c r="X176" s="107"/>
      <c r="Y176" s="107"/>
      <c r="Z176" s="107"/>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37"/>
      <c r="F177" s="91">
        <v>9</v>
      </c>
      <c r="G177" s="125"/>
      <c r="H177" s="150"/>
      <c r="I177" s="152"/>
      <c r="J177" s="152"/>
      <c r="K177" s="152"/>
      <c r="L177" s="152"/>
      <c r="M177" s="152"/>
      <c r="N177" s="152"/>
      <c r="O177" s="152"/>
      <c r="P177" s="151"/>
      <c r="Q177" s="73">
        <f>IF(A8stdlife="n/a","n/a",IF(Q$3&gt;(A8stdlife+$F177),(Input!$P$286*(1+vanilla9)^0.5)-SUM($P177:P177),(Input!$P$286*(1+vanilla9)^0.5)/A8stdlife))</f>
        <v>0</v>
      </c>
      <c r="R177" s="73"/>
      <c r="S177" s="107"/>
      <c r="T177" s="107"/>
      <c r="U177" s="107"/>
      <c r="V177" s="107"/>
      <c r="W177" s="107"/>
      <c r="X177" s="107"/>
      <c r="Y177" s="107"/>
      <c r="Z177" s="107"/>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37"/>
      <c r="F178" s="92">
        <v>10</v>
      </c>
      <c r="G178" s="125"/>
      <c r="H178" s="150"/>
      <c r="I178" s="152"/>
      <c r="J178" s="152"/>
      <c r="K178" s="152"/>
      <c r="L178" s="152"/>
      <c r="M178" s="152"/>
      <c r="N178" s="152"/>
      <c r="O178" s="152"/>
      <c r="P178" s="152"/>
      <c r="Q178" s="151"/>
      <c r="R178" s="73"/>
      <c r="S178" s="107"/>
      <c r="T178" s="107"/>
      <c r="U178" s="107"/>
      <c r="V178" s="107"/>
      <c r="W178" s="107"/>
      <c r="X178" s="107"/>
      <c r="Y178" s="107"/>
      <c r="Z178" s="107"/>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9"/>
      <c r="B179" s="9"/>
      <c r="C179" s="9"/>
      <c r="D179" s="272" t="str">
        <f>Asset8</f>
        <v>Equity Raising Costs</v>
      </c>
      <c r="E179" s="9"/>
      <c r="F179" s="9"/>
      <c r="G179" s="125"/>
      <c r="H179" s="166">
        <f>-SUM(H167:H178)</f>
        <v>0</v>
      </c>
      <c r="I179" s="166">
        <f>-SUM(I167:I178)</f>
        <v>-3.2558859048178047E-2</v>
      </c>
      <c r="J179" s="166">
        <f>-SUM(J167:J178)</f>
        <v>-3.2558859048178047E-2</v>
      </c>
      <c r="K179" s="166">
        <f>-SUM(K167:K178)</f>
        <v>-3.2558859048178047E-2</v>
      </c>
      <c r="L179" s="166">
        <f>-SUM(L167:L178)</f>
        <v>-3.2558859048178047E-2</v>
      </c>
      <c r="M179" s="73">
        <f>IF(COUNT($H179:L179)&gt;=Input!$Y$7,0, -SUM(M167:M178))</f>
        <v>0</v>
      </c>
      <c r="N179" s="73">
        <f>IF(COUNT($H179:M179)&gt;=Input!$Y$7,0, -SUM(N167:N178))</f>
        <v>0</v>
      </c>
      <c r="O179" s="73">
        <f>IF(COUNT($H179:N179)&gt;=Input!$Y$7,0, -SUM(O167:O178))</f>
        <v>0</v>
      </c>
      <c r="P179" s="73">
        <f>IF(COUNT($H179:O179)&gt;=Input!$Y$7,0, -SUM(P167:P178))</f>
        <v>0</v>
      </c>
      <c r="Q179" s="73">
        <f>IF(COUNT($H179:P179)&gt;=Input!$Y$7,0, -SUM(Q167:Q178))</f>
        <v>0</v>
      </c>
      <c r="R179" s="71"/>
      <c r="S179" s="109"/>
      <c r="T179" s="109"/>
      <c r="U179" s="109"/>
      <c r="V179" s="109"/>
      <c r="W179" s="109"/>
      <c r="X179" s="109"/>
      <c r="Y179" s="109"/>
      <c r="Z179" s="109"/>
      <c r="AA179" s="236"/>
      <c r="AB179" s="236"/>
      <c r="AC179" s="236"/>
      <c r="AD179" s="236"/>
      <c r="AE179" s="236"/>
      <c r="AF179" s="236"/>
      <c r="AG179" s="236"/>
      <c r="AH179" s="236"/>
      <c r="AI179" s="236"/>
      <c r="AJ179" s="236"/>
      <c r="AK179" s="236"/>
      <c r="AL179" s="236"/>
      <c r="AM179" s="236"/>
      <c r="AN179" s="236"/>
      <c r="AO179" s="236"/>
      <c r="AP179" s="236"/>
      <c r="AQ179" s="236"/>
      <c r="AR179" s="236"/>
      <c r="AS179" s="236"/>
      <c r="AT179" s="236"/>
      <c r="AU179" s="236"/>
      <c r="AV179" s="236"/>
      <c r="AW179" s="236"/>
      <c r="AX179" s="236"/>
      <c r="AY179" s="236"/>
      <c r="AZ179" s="236"/>
      <c r="BA179" s="236"/>
      <c r="BB179" s="236"/>
      <c r="BC179" s="236"/>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73">
        <f>Asset9</f>
        <v>0</v>
      </c>
      <c r="D180" s="162"/>
      <c r="E180" s="32" t="s">
        <v>5</v>
      </c>
      <c r="F180" s="31"/>
      <c r="G180" s="181"/>
      <c r="H180" s="72">
        <f>IF(H$3&gt;A9remlife,A9value-$G$638-SUM($G180:G180),IF(A9remlife="N/A","n/a",(A9value-$G$638)/A9remlife))</f>
        <v>0</v>
      </c>
      <c r="I180" s="72">
        <f>IF(I$3&gt;A9remlife,A9value-$G$638-SUM($G180:H180),IF(A9remlife="N/A","n/a",(A9value-$G$638)/A9remlife))</f>
        <v>0</v>
      </c>
      <c r="J180" s="72">
        <f>IF(J$3&gt;A9remlife,A9value-$G$638-SUM($G180:I180),IF(A9remlife="N/A","n/a",(A9value-$G$638)/A9remlife))</f>
        <v>0</v>
      </c>
      <c r="K180" s="72">
        <f>IF(K$3&gt;A9remlife,A9value-$G$638-SUM($G180:J180),IF(A9remlife="N/A","n/a",(A9value-$G$638)/A9remlife))</f>
        <v>0</v>
      </c>
      <c r="L180" s="72">
        <f>IF(L$3&gt;A9remlife,A9value-$G$638-SUM($G180:K180),IF(A9remlife="N/A","n/a",(A9value-$G$638)/A9remlife))</f>
        <v>0</v>
      </c>
      <c r="M180" s="72">
        <f>IF(M$3&gt;A9remlife,A9value-$G$638-SUM($G180:L180),IF(A9remlife="N/A","n/a",(A9value-$G$638)/A9remlife))</f>
        <v>0</v>
      </c>
      <c r="N180" s="72">
        <f>IF(N$3&gt;A9remlife,A9value-$G$638-SUM($G180:M180),IF(A9remlife="N/A","n/a",(A9value-$G$638)/A9remlife))</f>
        <v>0</v>
      </c>
      <c r="O180" s="72">
        <f>IF(O$3&gt;A9remlife,A9value-$G$638-SUM($G180:N180),IF(A9remlife="N/A","n/a",(A9value-$G$638)/A9remlife))</f>
        <v>0</v>
      </c>
      <c r="P180" s="72">
        <f>IF(P$3&gt;A9remlife,A9value-$G$638-SUM($G180:O180),IF(A9remlife="N/A","n/a",(A9value-$G$638)/A9remlife))</f>
        <v>0</v>
      </c>
      <c r="Q180" s="72">
        <f>IF(Q$3&gt;A9remlife,A9value-$G$638-SUM($G180:P180),IF(A9remlife="N/A","n/a",(A9value-$G$638)/A9remlife))</f>
        <v>0</v>
      </c>
      <c r="R180" s="72"/>
      <c r="S180" s="107"/>
      <c r="T180" s="107"/>
      <c r="U180" s="107"/>
      <c r="V180" s="107"/>
      <c r="W180" s="107"/>
      <c r="X180" s="107"/>
      <c r="Y180" s="107"/>
      <c r="Z180" s="107"/>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6"/>
      <c r="E181" s="536" t="s">
        <v>59</v>
      </c>
      <c r="F181" s="91"/>
      <c r="G181" s="125"/>
      <c r="H181" s="73"/>
      <c r="I181" s="73"/>
      <c r="J181" s="73"/>
      <c r="K181" s="73"/>
      <c r="L181" s="73"/>
      <c r="M181" s="164"/>
      <c r="N181" s="116"/>
      <c r="O181" s="73"/>
      <c r="P181" s="73"/>
      <c r="Q181" s="73"/>
      <c r="R181" s="73"/>
      <c r="S181" s="107"/>
      <c r="T181" s="107"/>
      <c r="U181" s="107"/>
      <c r="V181" s="107"/>
      <c r="W181" s="107"/>
      <c r="X181" s="107"/>
      <c r="Y181" s="107"/>
      <c r="Z181" s="107"/>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37"/>
      <c r="F182" s="91">
        <v>1</v>
      </c>
      <c r="G182" s="125"/>
      <c r="H182" s="149"/>
      <c r="I182" s="73">
        <f>IF(A9stdlife="n/a","n/a",IF(I$3&gt;(A9stdlife+$F182),(Input!$H$287*(1+vanilla1)^0.5)-SUM($H182:H182),(Input!$H$287*(1+vanilla1)^0.5)/A9stdlife))</f>
        <v>0</v>
      </c>
      <c r="J182" s="73">
        <f>IF(A9stdlife="n/a","n/a",IF(J$3&gt;(A9stdlife+$F182),(Input!$H$287*(1+vanilla1)^0.5)-SUM($H182:I182),(Input!$H$287*(1+vanilla1)^0.5)/A9stdlife))</f>
        <v>0</v>
      </c>
      <c r="K182" s="73">
        <f>IF(A9stdlife="n/a","n/a",IF(K$3&gt;(A9stdlife+$F182),(Input!$H$287*(1+vanilla1)^0.5)-SUM($H182:J182),(Input!$H$287*(1+vanilla1)^0.5)/A9stdlife))</f>
        <v>0</v>
      </c>
      <c r="L182" s="73">
        <f>IF(A9stdlife="n/a","n/a",IF(L$3&gt;(A9stdlife+$F182),(Input!$H$287*(1+vanilla1)^0.5)-SUM($H182:K182),(Input!$H$287*(1+vanilla1)^0.5)/A9stdlife))</f>
        <v>0</v>
      </c>
      <c r="M182" s="73">
        <f>IF(A9stdlife="n/a","n/a",IF(M$3&gt;(A9stdlife+$F182),(Input!$H$287*(1+vanilla1)^0.5)-SUM($H182:L182),(Input!$H$287*(1+vanilla1)^0.5)/A9stdlife))</f>
        <v>0</v>
      </c>
      <c r="N182" s="73">
        <f>IF(A9stdlife="n/a","n/a",IF(N$3&gt;(A9stdlife+$F182),(Input!$H$287*(1+vanilla1)^0.5)-SUM($H182:M182),(Input!$H$287*(1+vanilla1)^0.5)/A9stdlife))</f>
        <v>0</v>
      </c>
      <c r="O182" s="73">
        <f>IF(A9stdlife="n/a","n/a",IF(O$3&gt;(A9stdlife+$F182),(Input!$H$287*(1+vanilla1)^0.5)-SUM($H182:N182),(Input!$H$287*(1+vanilla1)^0.5)/A9stdlife))</f>
        <v>0</v>
      </c>
      <c r="P182" s="73">
        <f>IF(A9stdlife="n/a","n/a",IF(P$3&gt;(A9stdlife+$F182),(Input!$H$287*(1+vanilla1)^0.5)-SUM($H182:O182),(Input!$H$287*(1+vanilla1)^0.5)/A9stdlife))</f>
        <v>0</v>
      </c>
      <c r="Q182" s="73">
        <f>IF(A9stdlife="n/a","n/a",IF(Q$3&gt;(A9stdlife+$F182),(Input!$H$287*(1+vanilla1)^0.5)-SUM($H182:P182),(Input!$H$287*(1+vanilla1)^0.5)/A9stdlife))</f>
        <v>0</v>
      </c>
      <c r="R182" s="73"/>
      <c r="S182" s="107"/>
      <c r="T182" s="107"/>
      <c r="U182" s="107"/>
      <c r="V182" s="107"/>
      <c r="W182" s="107"/>
      <c r="X182" s="107"/>
      <c r="Y182" s="107"/>
      <c r="Z182" s="107"/>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37"/>
      <c r="F183" s="91">
        <v>2</v>
      </c>
      <c r="G183" s="125"/>
      <c r="H183" s="150"/>
      <c r="I183" s="151"/>
      <c r="J183" s="73">
        <f>IF(A9stdlife="n/a","n/a",IF(J$3&gt;(A9stdlife+$F183),(Input!$I$287*(1+vanilla2)^0.5)-SUM($I183:I183),(Input!$I$287*(1+vanilla2)^0.5)/A9stdlife))</f>
        <v>0</v>
      </c>
      <c r="K183" s="73">
        <f>IF(A9stdlife="n/a","n/a",IF(K$3&gt;(A9stdlife+$F183),(Input!$I$287*(1+vanilla2)^0.5)-SUM($I183:J183),(Input!$I$287*(1+vanilla2)^0.5)/A9stdlife))</f>
        <v>0</v>
      </c>
      <c r="L183" s="73">
        <f>IF(A9stdlife="n/a","n/a",IF(L$3&gt;(A9stdlife+$F183),(Input!$I$287*(1+vanilla2)^0.5)-SUM($I183:K183),(Input!$I$287*(1+vanilla2)^0.5)/A9stdlife))</f>
        <v>0</v>
      </c>
      <c r="M183" s="73">
        <f>IF(A9stdlife="n/a","n/a",IF(M$3&gt;(A9stdlife+$F183),(Input!$I$287*(1+vanilla2)^0.5)-SUM($I183:L183),(Input!$I$287*(1+vanilla2)^0.5)/A9stdlife))</f>
        <v>0</v>
      </c>
      <c r="N183" s="73">
        <f>IF(A9stdlife="n/a","n/a",IF(N$3&gt;(A9stdlife+$F183),(Input!$I$287*(1+vanilla2)^0.5)-SUM($I183:M183),(Input!$I$287*(1+vanilla2)^0.5)/A9stdlife))</f>
        <v>0</v>
      </c>
      <c r="O183" s="73">
        <f>IF(A9stdlife="n/a","n/a",IF(O$3&gt;(A9stdlife+$F183),(Input!$I$287*(1+vanilla2)^0.5)-SUM($I183:N183),(Input!$I$287*(1+vanilla2)^0.5)/A9stdlife))</f>
        <v>0</v>
      </c>
      <c r="P183" s="73">
        <f>IF(A9stdlife="n/a","n/a",IF(P$3&gt;(A9stdlife+$F183),(Input!$I$287*(1+vanilla2)^0.5)-SUM($I183:O183),(Input!$I$287*(1+vanilla2)^0.5)/A9stdlife))</f>
        <v>0</v>
      </c>
      <c r="Q183" s="73">
        <f>IF(A9stdlife="n/a","n/a",IF(Q$3&gt;(A9stdlife+$F183),(Input!$I$287*(1+vanilla2)^0.5)-SUM($I183:P183),(Input!$I$287*(1+vanilla2)^0.5)/A9stdlife))</f>
        <v>0</v>
      </c>
      <c r="R183" s="73"/>
      <c r="S183" s="107"/>
      <c r="T183" s="107"/>
      <c r="U183" s="107"/>
      <c r="V183" s="107"/>
      <c r="W183" s="107"/>
      <c r="X183" s="107"/>
      <c r="Y183" s="107"/>
      <c r="Z183" s="107"/>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37"/>
      <c r="F184" s="91">
        <v>3</v>
      </c>
      <c r="G184" s="125"/>
      <c r="H184" s="150"/>
      <c r="I184" s="152"/>
      <c r="J184" s="151"/>
      <c r="K184" s="73">
        <f>IF(A9stdlife="n/a","n/a",IF(K$3&gt;(A9stdlife+$F184),(Input!$J$287*(1+vanilla3)^0.5)-SUM($J184:J184),(Input!$J$287*(1+vanilla3)^0.5)/A9stdlife))</f>
        <v>0</v>
      </c>
      <c r="L184" s="73">
        <f>IF(A9stdlife="n/a","n/a",IF(L$3&gt;(A9stdlife+$F184),(Input!$J$287*(1+vanilla3)^0.5)-SUM($J184:K184),(Input!$J$287*(1+vanilla3)^0.5)/A9stdlife))</f>
        <v>0</v>
      </c>
      <c r="M184" s="73">
        <f>IF(A9stdlife="n/a","n/a",IF(M$3&gt;(A9stdlife+$F184),(Input!$J$287*(1+vanilla3)^0.5)-SUM($J184:L184),(Input!$J$287*(1+vanilla3)^0.5)/A9stdlife))</f>
        <v>0</v>
      </c>
      <c r="N184" s="73">
        <f>IF(A9stdlife="n/a","n/a",IF(N$3&gt;(A9stdlife+$F184),(Input!$J$287*(1+vanilla3)^0.5)-SUM($J184:M184),(Input!$J$287*(1+vanilla3)^0.5)/A9stdlife))</f>
        <v>0</v>
      </c>
      <c r="O184" s="73">
        <f>IF(A9stdlife="n/a","n/a",IF(O$3&gt;(A9stdlife+$F184),(Input!$J$287*(1+vanilla3)^0.5)-SUM($J184:N184),(Input!$J$287*(1+vanilla3)^0.5)/A9stdlife))</f>
        <v>0</v>
      </c>
      <c r="P184" s="73">
        <f>IF(A9stdlife="n/a","n/a",IF(P$3&gt;(A9stdlife+$F184),(Input!$J$287*(1+vanilla3)^0.5)-SUM($J184:O184),(Input!$J$287*(1+vanilla3)^0.5)/A9stdlife))</f>
        <v>0</v>
      </c>
      <c r="Q184" s="73">
        <f>IF(A9stdlife="n/a","n/a",IF(Q$3&gt;(A9stdlife+$F184),(Input!$J$287*(1+vanilla3)^0.5)-SUM($J184:P184),(Input!$J$287*(1+vanilla3)^0.5)/A9stdlife))</f>
        <v>0</v>
      </c>
      <c r="R184" s="73"/>
      <c r="S184" s="107"/>
      <c r="T184" s="107"/>
      <c r="U184" s="107"/>
      <c r="V184" s="107"/>
      <c r="W184" s="107"/>
      <c r="X184" s="107"/>
      <c r="Y184" s="107"/>
      <c r="Z184" s="107"/>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37"/>
      <c r="F185" s="91">
        <v>4</v>
      </c>
      <c r="G185" s="125"/>
      <c r="H185" s="150"/>
      <c r="I185" s="152"/>
      <c r="J185" s="152"/>
      <c r="K185" s="151"/>
      <c r="L185" s="73">
        <f>IF(A9stdlife="n/a","n/a",IF(L$3&gt;(A9stdlife+$F185),(Input!$K$287*(1+vanilla4)^0.5)-SUM($K185:K185),(Input!$K$287*(1+vanilla4)^0.5)/A9stdlife))</f>
        <v>0</v>
      </c>
      <c r="M185" s="73">
        <f>IF(A9stdlife="n/a","n/a",IF(M$3&gt;(A9stdlife+$F185),(Input!$K$287*(1+vanilla4)^0.5)-SUM($K185:L185),(Input!$K$287*(1+vanilla4)^0.5)/A9stdlife))</f>
        <v>0</v>
      </c>
      <c r="N185" s="73">
        <f>IF(A9stdlife="n/a","n/a",IF(N$3&gt;(A9stdlife+$F185),(Input!$K$287*(1+vanilla4)^0.5)-SUM($K185:M185),(Input!$K$287*(1+vanilla4)^0.5)/A9stdlife))</f>
        <v>0</v>
      </c>
      <c r="O185" s="73">
        <f>IF(A9stdlife="n/a","n/a",IF(O$3&gt;(A9stdlife+$F185),(Input!$K$287*(1+vanilla4)^0.5)-SUM($K185:N185),(Input!$K$287*(1+vanilla4)^0.5)/A9stdlife))</f>
        <v>0</v>
      </c>
      <c r="P185" s="73">
        <f>IF(A9stdlife="n/a","n/a",IF(P$3&gt;(A9stdlife+$F185),(Input!$K$287*(1+vanilla4)^0.5)-SUM($K185:O185),(Input!$K$287*(1+vanilla4)^0.5)/A9stdlife))</f>
        <v>0</v>
      </c>
      <c r="Q185" s="73">
        <f>IF(A9stdlife="n/a","n/a",IF(Q$3&gt;(A9stdlife+$F185),(Input!$K$287*(1+vanilla4)^0.5)-SUM($K185:P185),(Input!$K$287*(1+vanilla4)^0.5)/A9stdlife))</f>
        <v>0</v>
      </c>
      <c r="R185" s="73"/>
      <c r="S185" s="107"/>
      <c r="T185" s="107"/>
      <c r="U185" s="107"/>
      <c r="V185" s="107"/>
      <c r="W185" s="107"/>
      <c r="X185" s="107"/>
      <c r="Y185" s="107"/>
      <c r="Z185" s="107"/>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6"/>
      <c r="E186" s="537"/>
      <c r="F186" s="91">
        <v>5</v>
      </c>
      <c r="G186" s="125"/>
      <c r="H186" s="150"/>
      <c r="I186" s="152"/>
      <c r="J186" s="152"/>
      <c r="K186" s="152"/>
      <c r="L186" s="151"/>
      <c r="M186" s="73">
        <f>IF(A9stdlife="n/a","n/a",IF(M$3&gt;(A9stdlife+$F186),(Input!$L$287*(1+vanilla5)^0.5)-SUM($L186:L186),(Input!$L$287*(1+vanilla5)^0.5)/A9stdlife))</f>
        <v>0</v>
      </c>
      <c r="N186" s="73">
        <f>IF(A9stdlife="n/a","n/a",IF(N$3&gt;(A9stdlife+$F186),(Input!$L$287*(1+vanilla5)^0.5)-SUM($L186:M186),(Input!$L$287*(1+vanilla5)^0.5)/A9stdlife))</f>
        <v>0</v>
      </c>
      <c r="O186" s="73">
        <f>IF(A9stdlife="n/a","n/a",IF(O$3&gt;(A9stdlife+$F186),(Input!$L$287*(1+vanilla5)^0.5)-SUM($L186:N186),(Input!$L$287*(1+vanilla5)^0.5)/A9stdlife))</f>
        <v>0</v>
      </c>
      <c r="P186" s="73">
        <f>IF(A9stdlife="n/a","n/a",IF(P$3&gt;(A9stdlife+$F186),(Input!$L$287*(1+vanilla5)^0.5)-SUM($L186:O186),(Input!$L$287*(1+vanilla5)^0.5)/A9stdlife))</f>
        <v>0</v>
      </c>
      <c r="Q186" s="73">
        <f>IF(A9stdlife="n/a","n/a",IF(Q$3&gt;(A9stdlife+$F186),(Input!$L$287*(1+vanilla5)^0.5)-SUM($L186:P186),(Input!$L$287*(1+vanilla5)^0.5)/A9stdlife))</f>
        <v>0</v>
      </c>
      <c r="R186" s="73"/>
      <c r="S186" s="107"/>
      <c r="T186" s="107"/>
      <c r="U186" s="107"/>
      <c r="V186" s="107"/>
      <c r="W186" s="107"/>
      <c r="X186" s="107"/>
      <c r="Y186" s="107"/>
      <c r="Z186" s="107"/>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6"/>
      <c r="E187" s="537"/>
      <c r="F187" s="91">
        <v>6</v>
      </c>
      <c r="G187" s="125"/>
      <c r="H187" s="150"/>
      <c r="I187" s="152"/>
      <c r="J187" s="152"/>
      <c r="K187" s="152"/>
      <c r="L187" s="152"/>
      <c r="M187" s="151"/>
      <c r="N187" s="73">
        <f>IF(A9stdlife="n/a","n/a",IF(N$3&gt;(A9stdlife+$F187),(Input!$M$287*(1+vanilla6)^0.5)-SUM($M187:M187),(Input!$M$287*(1+vanilla6)^0.5)/A9stdlife))</f>
        <v>0</v>
      </c>
      <c r="O187" s="73">
        <f>IF(A9stdlife="n/a","n/a",IF(O$3&gt;(A9stdlife+$F187),(Input!$M$287*(1+vanilla6)^0.5)-SUM($M187:N187),(Input!$M$287*(1+vanilla6)^0.5)/A9stdlife))</f>
        <v>0</v>
      </c>
      <c r="P187" s="73">
        <f>IF(A9stdlife="n/a","n/a",IF(P$3&gt;(A9stdlife+$F187),(Input!$M$287*(1+vanilla6)^0.5)-SUM($M187:O187),(Input!$M$287*(1+vanilla6)^0.5)/A9stdlife))</f>
        <v>0</v>
      </c>
      <c r="Q187" s="73">
        <f>IF(A9stdlife="n/a","n/a",IF(Q$3&gt;(A9stdlife+$F187),(Input!$M$287*(1+vanilla6)^0.5)-SUM($M187:P187),(Input!$M$287*(1+vanilla6)^0.5)/A9stdlife))</f>
        <v>0</v>
      </c>
      <c r="R187" s="73"/>
      <c r="S187" s="107"/>
      <c r="T187" s="107"/>
      <c r="U187" s="107"/>
      <c r="V187" s="107"/>
      <c r="W187" s="107"/>
      <c r="X187" s="107"/>
      <c r="Y187" s="107"/>
      <c r="Z187" s="107"/>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6"/>
      <c r="E188" s="537"/>
      <c r="F188" s="91">
        <v>7</v>
      </c>
      <c r="G188" s="125"/>
      <c r="H188" s="150"/>
      <c r="I188" s="152"/>
      <c r="J188" s="152"/>
      <c r="K188" s="152"/>
      <c r="L188" s="152"/>
      <c r="M188" s="152"/>
      <c r="N188" s="151"/>
      <c r="O188" s="73">
        <f>IF(A9stdlife="n/a","n/a",IF(O$3&gt;(A9stdlife+$F188),(Input!$N$287*(1+vanilla7)^0.5)-SUM($N188:N188),(Input!$N$287*(1+vanilla7)^0.5)/A9stdlife))</f>
        <v>0</v>
      </c>
      <c r="P188" s="73">
        <f>IF(A9stdlife="n/a","n/a",IF(P$3&gt;(A9stdlife+$F188),(Input!$N$287*(1+vanilla7)^0.5)-SUM($N188:O188),(Input!$N$287*(1+vanilla7)^0.5)/A9stdlife))</f>
        <v>0</v>
      </c>
      <c r="Q188" s="73">
        <f>IF(A9stdlife="n/a","n/a",IF(Q$3&gt;(A9stdlife+$F188),(Input!$N$287*(1+vanilla7)^0.5)-SUM($N188:P188),(Input!$N$287*(1+vanilla7)^0.5)/A9stdlife))</f>
        <v>0</v>
      </c>
      <c r="R188" s="73"/>
      <c r="S188" s="107"/>
      <c r="T188" s="107"/>
      <c r="U188" s="107"/>
      <c r="V188" s="107"/>
      <c r="W188" s="107"/>
      <c r="X188" s="107"/>
      <c r="Y188" s="107"/>
      <c r="Z188" s="107"/>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37"/>
      <c r="F189" s="91">
        <v>8</v>
      </c>
      <c r="G189" s="125"/>
      <c r="H189" s="150"/>
      <c r="I189" s="152"/>
      <c r="J189" s="152"/>
      <c r="K189" s="152"/>
      <c r="L189" s="152"/>
      <c r="M189" s="152"/>
      <c r="N189" s="152"/>
      <c r="O189" s="151"/>
      <c r="P189" s="73">
        <f>IF(A9stdlife="n/a","n/a",IF(P$3&gt;(A9stdlife+$F189),(Input!$O$287*(1+vanilla8)^0.5)-SUM($O189:O189),(Input!$O$287*(1+vanilla8)^0.5)/A9stdlife))</f>
        <v>0</v>
      </c>
      <c r="Q189" s="73">
        <f>IF(A9stdlife="n/a","n/a",IF(Q$3&gt;(A9stdlife+$F189),(Input!$O$287*(1+vanilla8)^0.5)-SUM($O189:P189),(Input!$O$287*(1+vanilla8)^0.5)/A9stdlife))</f>
        <v>0</v>
      </c>
      <c r="R189" s="73"/>
      <c r="S189" s="107"/>
      <c r="T189" s="107"/>
      <c r="U189" s="107"/>
      <c r="V189" s="107"/>
      <c r="W189" s="107"/>
      <c r="X189" s="107"/>
      <c r="Y189" s="107"/>
      <c r="Z189" s="107"/>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37"/>
      <c r="F190" s="91">
        <v>9</v>
      </c>
      <c r="G190" s="125"/>
      <c r="H190" s="150"/>
      <c r="I190" s="152"/>
      <c r="J190" s="152"/>
      <c r="K190" s="152"/>
      <c r="L190" s="152"/>
      <c r="M190" s="152"/>
      <c r="N190" s="152"/>
      <c r="O190" s="152"/>
      <c r="P190" s="151"/>
      <c r="Q190" s="73">
        <f>IF(A9stdlife="n/a","n/a",IF(Q$3&gt;(A9stdlife+$F190),(Input!$P$287*(1+vanilla9)^0.5)-SUM($P190:P190),(Input!$P$287*(1+vanilla9)^0.5)/A9stdlife))</f>
        <v>0</v>
      </c>
      <c r="R190" s="73"/>
      <c r="S190" s="107"/>
      <c r="T190" s="107"/>
      <c r="U190" s="107"/>
      <c r="V190" s="107"/>
      <c r="W190" s="107"/>
      <c r="X190" s="107"/>
      <c r="Y190" s="107"/>
      <c r="Z190" s="107"/>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37"/>
      <c r="F191" s="92">
        <v>10</v>
      </c>
      <c r="G191" s="125"/>
      <c r="H191" s="150"/>
      <c r="I191" s="152"/>
      <c r="J191" s="152"/>
      <c r="K191" s="152"/>
      <c r="L191" s="152"/>
      <c r="M191" s="152"/>
      <c r="N191" s="152"/>
      <c r="O191" s="152"/>
      <c r="P191" s="152"/>
      <c r="Q191" s="151"/>
      <c r="R191" s="73"/>
      <c r="S191" s="107"/>
      <c r="T191" s="107"/>
      <c r="U191" s="107"/>
      <c r="V191" s="107"/>
      <c r="W191" s="107"/>
      <c r="X191" s="107"/>
      <c r="Y191" s="107"/>
      <c r="Z191" s="107"/>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9"/>
      <c r="B192" s="9"/>
      <c r="C192" s="9"/>
      <c r="D192" s="272">
        <f>Asset9</f>
        <v>0</v>
      </c>
      <c r="E192" s="9"/>
      <c r="F192" s="9"/>
      <c r="G192" s="125"/>
      <c r="H192" s="166">
        <f>-SUM(H180:H191)</f>
        <v>0</v>
      </c>
      <c r="I192" s="166">
        <f>-SUM(I180:I191)</f>
        <v>0</v>
      </c>
      <c r="J192" s="166">
        <f>-SUM(J180:J191)</f>
        <v>0</v>
      </c>
      <c r="K192" s="166">
        <f>-SUM(K180:K191)</f>
        <v>0</v>
      </c>
      <c r="L192" s="166">
        <f>-SUM(L180:L191)</f>
        <v>0</v>
      </c>
      <c r="M192" s="73">
        <f>IF(COUNT($H192:L192)&gt;=Input!$Y$7,0, -SUM(M180:M191))</f>
        <v>0</v>
      </c>
      <c r="N192" s="73">
        <f>IF(COUNT($H192:M192)&gt;=Input!$Y$7,0, -SUM(N180:N191))</f>
        <v>0</v>
      </c>
      <c r="O192" s="73">
        <f>IF(COUNT($H192:N192)&gt;=Input!$Y$7,0, -SUM(O180:O191))</f>
        <v>0</v>
      </c>
      <c r="P192" s="73">
        <f>IF(COUNT($H192:O192)&gt;=Input!$Y$7,0, -SUM(P180:P191))</f>
        <v>0</v>
      </c>
      <c r="Q192" s="73">
        <f>IF(COUNT($H192:P192)&gt;=Input!$Y$7,0, -SUM(Q180:Q191))</f>
        <v>0</v>
      </c>
      <c r="R192" s="71"/>
      <c r="S192" s="109"/>
      <c r="T192" s="109"/>
      <c r="U192" s="109"/>
      <c r="V192" s="109"/>
      <c r="W192" s="109"/>
      <c r="X192" s="109"/>
      <c r="Y192" s="109"/>
      <c r="Z192" s="109"/>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73">
        <f>Asset10</f>
        <v>0</v>
      </c>
      <c r="D193" s="162"/>
      <c r="E193" s="32" t="s">
        <v>5</v>
      </c>
      <c r="F193" s="31"/>
      <c r="G193" s="181"/>
      <c r="H193" s="72">
        <f>IF(H$3&gt;A10remlife,A10value-$G$639-SUM($G193:G193),IF(A10remlife="N/A","n/a",(A10value-$G$639)/A10remlife))</f>
        <v>0</v>
      </c>
      <c r="I193" s="72">
        <f>IF(I$3&gt;A10remlife,A10value-$G$639-SUM($G193:H193),IF(A10remlife="N/A","n/a",(A10value-$G$639)/A10remlife))</f>
        <v>0</v>
      </c>
      <c r="J193" s="72">
        <f>IF(J$3&gt;A10remlife,A10value-$G$639-SUM($G193:I193),IF(A10remlife="N/A","n/a",(A10value-$G$639)/A10remlife))</f>
        <v>0</v>
      </c>
      <c r="K193" s="72">
        <f>IF(K$3&gt;A10remlife,A10value-$G$639-SUM($G193:J193),IF(A10remlife="N/A","n/a",(A10value-$G$639)/A10remlife))</f>
        <v>0</v>
      </c>
      <c r="L193" s="72">
        <f>IF(L$3&gt;A10remlife,A10value-$G$639-SUM($G193:K193),IF(A10remlife="N/A","n/a",(A10value-$G$639)/A10remlife))</f>
        <v>0</v>
      </c>
      <c r="M193" s="72">
        <f>IF(M$3&gt;A10remlife,A10value-$G$639-SUM($G193:L193),IF(A10remlife="N/A","n/a",(A10value-$G$639)/A10remlife))</f>
        <v>0</v>
      </c>
      <c r="N193" s="72">
        <f>IF(N$3&gt;A10remlife,A10value-$G$639-SUM($G193:M193),IF(A10remlife="N/A","n/a",(A10value-$G$639)/A10remlife))</f>
        <v>0</v>
      </c>
      <c r="O193" s="72">
        <f>IF(O$3&gt;A10remlife,A10value-$G$639-SUM($G193:N193),IF(A10remlife="N/A","n/a",(A10value-$G$639)/A10remlife))</f>
        <v>0</v>
      </c>
      <c r="P193" s="72">
        <f>IF(P$3&gt;A10remlife,A10value-$G$639-SUM($G193:O193),IF(A10remlife="N/A","n/a",(A10value-$G$639)/A10remlife))</f>
        <v>0</v>
      </c>
      <c r="Q193" s="72">
        <f>IF(Q$3&gt;A10remlife,A10value-$G$639-SUM($G193:P193),IF(A10remlife="N/A","n/a",(A10value-$G$639)/A10remlife))</f>
        <v>0</v>
      </c>
      <c r="R193" s="72"/>
      <c r="S193" s="107"/>
      <c r="T193" s="107"/>
      <c r="U193" s="107"/>
      <c r="V193" s="107"/>
      <c r="W193" s="107"/>
      <c r="X193" s="107"/>
      <c r="Y193" s="107"/>
      <c r="Z193" s="107"/>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63"/>
      <c r="E194" s="536" t="s">
        <v>59</v>
      </c>
      <c r="F194" s="91"/>
      <c r="G194" s="125"/>
      <c r="H194" s="73"/>
      <c r="I194" s="73"/>
      <c r="J194" s="73"/>
      <c r="K194" s="73"/>
      <c r="L194" s="73"/>
      <c r="M194" s="164"/>
      <c r="N194" s="116"/>
      <c r="O194" s="73"/>
      <c r="P194" s="73"/>
      <c r="Q194" s="73"/>
      <c r="R194" s="73"/>
      <c r="S194" s="107"/>
      <c r="T194" s="107"/>
      <c r="U194" s="107"/>
      <c r="V194" s="107"/>
      <c r="W194" s="107"/>
      <c r="X194" s="107"/>
      <c r="Y194" s="107"/>
      <c r="Z194" s="107"/>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37"/>
      <c r="F195" s="91">
        <v>1</v>
      </c>
      <c r="G195" s="125"/>
      <c r="H195" s="149"/>
      <c r="I195" s="73">
        <f>IF(A10stdlife="n/a","n/a",IF(I$3&gt;(A10stdlife+$F195),(Input!$H$288*(1+vanilla1)^0.5)-SUM($H195:H195),(Input!$H$288*(1+vanilla1)^0.5)/A10stdlife))</f>
        <v>0</v>
      </c>
      <c r="J195" s="73">
        <f>IF(A10stdlife="n/a","n/a",IF(J$3&gt;(A10stdlife+$F195),(Input!$H$288*(1+vanilla1)^0.5)-SUM($H195:I195),(Input!$H$288*(1+vanilla1)^0.5)/A10stdlife))</f>
        <v>0</v>
      </c>
      <c r="K195" s="73">
        <f>IF(A10stdlife="n/a","n/a",IF(K$3&gt;(A10stdlife+$F195),(Input!$H$288*(1+vanilla1)^0.5)-SUM($H195:J195),(Input!$H$288*(1+vanilla1)^0.5)/A10stdlife))</f>
        <v>0</v>
      </c>
      <c r="L195" s="73">
        <f>IF(A10stdlife="n/a","n/a",IF(L$3&gt;(A10stdlife+$F195),(Input!$H$288*(1+vanilla1)^0.5)-SUM($H195:K195),(Input!$H$288*(1+vanilla1)^0.5)/A10stdlife))</f>
        <v>0</v>
      </c>
      <c r="M195" s="73">
        <f>IF(A10stdlife="n/a","n/a",IF(M$3&gt;(A10stdlife+$F195),(Input!$H$288*(1+vanilla1)^0.5)-SUM($H195:L195),(Input!$H$288*(1+vanilla1)^0.5)/A10stdlife))</f>
        <v>0</v>
      </c>
      <c r="N195" s="73">
        <f>IF(A10stdlife="n/a","n/a",IF(N$3&gt;(A10stdlife+$F195),(Input!$H$288*(1+vanilla1)^0.5)-SUM($H195:M195),(Input!$H$288*(1+vanilla1)^0.5)/A10stdlife))</f>
        <v>0</v>
      </c>
      <c r="O195" s="73">
        <f>IF(A10stdlife="n/a","n/a",IF(O$3&gt;(A10stdlife+$F195),(Input!$H$288*(1+vanilla1)^0.5)-SUM($H195:N195),(Input!$H$288*(1+vanilla1)^0.5)/A10stdlife))</f>
        <v>0</v>
      </c>
      <c r="P195" s="73">
        <f>IF(A10stdlife="n/a","n/a",IF(P$3&gt;(A10stdlife+$F195),(Input!$H$288*(1+vanilla1)^0.5)-SUM($H195:O195),(Input!$H$288*(1+vanilla1)^0.5)/A10stdlife))</f>
        <v>0</v>
      </c>
      <c r="Q195" s="73">
        <f>IF(A10stdlife="n/a","n/a",IF(Q$3&gt;(A10stdlife+$F195),(Input!$H$288*(1+vanilla1)^0.5)-SUM($H195:P195),(Input!$H$288*(1+vanilla1)^0.5)/A10stdlife))</f>
        <v>0</v>
      </c>
      <c r="R195" s="73"/>
      <c r="S195" s="107"/>
      <c r="T195" s="107"/>
      <c r="U195" s="107"/>
      <c r="V195" s="107"/>
      <c r="W195" s="107"/>
      <c r="X195" s="107"/>
      <c r="Y195" s="107"/>
      <c r="Z195" s="107"/>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37"/>
      <c r="F196" s="91">
        <v>2</v>
      </c>
      <c r="G196" s="125"/>
      <c r="H196" s="150"/>
      <c r="I196" s="151"/>
      <c r="J196" s="73">
        <f>IF(A10stdlife="n/a","n/a",IF(J$3&gt;(A10stdlife+$F196),(Input!$I$288*(1+vanilla2)^0.5)-SUM($I196:I196),(Input!$I$288*(1+vanilla2)^0.5)/A10stdlife))</f>
        <v>0</v>
      </c>
      <c r="K196" s="73">
        <f>IF(A10stdlife="n/a","n/a",IF(K$3&gt;(A10stdlife+$F196),(Input!$I$288*(1+vanilla2)^0.5)-SUM($I196:J196),(Input!$I$288*(1+vanilla2)^0.5)/A10stdlife))</f>
        <v>0</v>
      </c>
      <c r="L196" s="73">
        <f>IF(A10stdlife="n/a","n/a",IF(L$3&gt;(A10stdlife+$F196),(Input!$I$288*(1+vanilla2)^0.5)-SUM($I196:K196),(Input!$I$288*(1+vanilla2)^0.5)/A10stdlife))</f>
        <v>0</v>
      </c>
      <c r="M196" s="73">
        <f>IF(A10stdlife="n/a","n/a",IF(M$3&gt;(A10stdlife+$F196),(Input!$I$288*(1+vanilla2)^0.5)-SUM($I196:L196),(Input!$I$288*(1+vanilla2)^0.5)/A10stdlife))</f>
        <v>0</v>
      </c>
      <c r="N196" s="73">
        <f>IF(A10stdlife="n/a","n/a",IF(N$3&gt;(A10stdlife+$F196),(Input!$I$288*(1+vanilla2)^0.5)-SUM($I196:M196),(Input!$I$288*(1+vanilla2)^0.5)/A10stdlife))</f>
        <v>0</v>
      </c>
      <c r="O196" s="73">
        <f>IF(A10stdlife="n/a","n/a",IF(O$3&gt;(A10stdlife+$F196),(Input!$I$288*(1+vanilla2)^0.5)-SUM($I196:N196),(Input!$I$288*(1+vanilla2)^0.5)/A10stdlife))</f>
        <v>0</v>
      </c>
      <c r="P196" s="73">
        <f>IF(A10stdlife="n/a","n/a",IF(P$3&gt;(A10stdlife+$F196),(Input!$I$288*(1+vanilla2)^0.5)-SUM($I196:O196),(Input!$I$288*(1+vanilla2)^0.5)/A10stdlife))</f>
        <v>0</v>
      </c>
      <c r="Q196" s="73">
        <f>IF(A10stdlife="n/a","n/a",IF(Q$3&gt;(A10stdlife+$F196),(Input!$I$288*(1+vanilla2)^0.5)-SUM($I196:P196),(Input!$I$288*(1+vanilla2)^0.5)/A10stdlife))</f>
        <v>0</v>
      </c>
      <c r="R196" s="73"/>
      <c r="S196" s="107"/>
      <c r="T196" s="107"/>
      <c r="U196" s="107"/>
      <c r="V196" s="107"/>
      <c r="W196" s="107"/>
      <c r="X196" s="107"/>
      <c r="Y196" s="107"/>
      <c r="Z196" s="107"/>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37"/>
      <c r="F197" s="91">
        <v>3</v>
      </c>
      <c r="G197" s="125"/>
      <c r="H197" s="150"/>
      <c r="I197" s="152"/>
      <c r="J197" s="151"/>
      <c r="K197" s="73">
        <f>IF(A10stdlife="n/a","n/a",IF(K$3&gt;(A10stdlife+$F197),(Input!$J$288*(1+vanilla3)^0.5)-SUM($J197:J197),(Input!$J$288*(1+vanilla3)^0.5)/A10stdlife))</f>
        <v>0</v>
      </c>
      <c r="L197" s="73">
        <f>IF(A10stdlife="n/a","n/a",IF(L$3&gt;(A10stdlife+$F197),(Input!$J$288*(1+vanilla3)^0.5)-SUM($J197:K197),(Input!$J$288*(1+vanilla3)^0.5)/A10stdlife))</f>
        <v>0</v>
      </c>
      <c r="M197" s="73">
        <f>IF(A10stdlife="n/a","n/a",IF(M$3&gt;(A10stdlife+$F197),(Input!$J$288*(1+vanilla3)^0.5)-SUM($J197:L197),(Input!$J$288*(1+vanilla3)^0.5)/A10stdlife))</f>
        <v>0</v>
      </c>
      <c r="N197" s="73">
        <f>IF(A10stdlife="n/a","n/a",IF(N$3&gt;(A10stdlife+$F197),(Input!$J$288*(1+vanilla3)^0.5)-SUM($J197:M197),(Input!$J$288*(1+vanilla3)^0.5)/A10stdlife))</f>
        <v>0</v>
      </c>
      <c r="O197" s="73">
        <f>IF(A10stdlife="n/a","n/a",IF(O$3&gt;(A10stdlife+$F197),(Input!$J$288*(1+vanilla3)^0.5)-SUM($J197:N197),(Input!$J$288*(1+vanilla3)^0.5)/A10stdlife))</f>
        <v>0</v>
      </c>
      <c r="P197" s="73">
        <f>IF(A10stdlife="n/a","n/a",IF(P$3&gt;(A10stdlife+$F197),(Input!$J$288*(1+vanilla3)^0.5)-SUM($J197:O197),(Input!$J$288*(1+vanilla3)^0.5)/A10stdlife))</f>
        <v>0</v>
      </c>
      <c r="Q197" s="73">
        <f>IF(A10stdlife="n/a","n/a",IF(Q$3&gt;(A10stdlife+$F197),(Input!$J$288*(1+vanilla3)^0.5)-SUM($J197:P197),(Input!$J$288*(1+vanilla3)^0.5)/A10stdlife))</f>
        <v>0</v>
      </c>
      <c r="R197" s="73"/>
      <c r="S197" s="107"/>
      <c r="T197" s="107"/>
      <c r="U197" s="107"/>
      <c r="V197" s="107"/>
      <c r="W197" s="107"/>
      <c r="X197" s="107"/>
      <c r="Y197" s="107"/>
      <c r="Z197" s="107"/>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37"/>
      <c r="F198" s="91">
        <v>4</v>
      </c>
      <c r="G198" s="125"/>
      <c r="H198" s="150"/>
      <c r="I198" s="152"/>
      <c r="J198" s="152"/>
      <c r="K198" s="151"/>
      <c r="L198" s="73">
        <f>IF(A10stdlife="n/a","n/a",IF(L$3&gt;(A10stdlife+$F198),(Input!$K$288*(1+vanilla4)^0.5)-SUM($K198:K198),(Input!$K$288*(1+vanilla4)^0.5)/A10stdlife))</f>
        <v>0</v>
      </c>
      <c r="M198" s="73">
        <f>IF(A10stdlife="n/a","n/a",IF(M$3&gt;(A10stdlife+$F198),(Input!$K$288*(1+vanilla4)^0.5)-SUM($K198:L198),(Input!$K$288*(1+vanilla4)^0.5)/A10stdlife))</f>
        <v>0</v>
      </c>
      <c r="N198" s="73">
        <f>IF(A10stdlife="n/a","n/a",IF(N$3&gt;(A10stdlife+$F198),(Input!$K$288*(1+vanilla4)^0.5)-SUM($K198:M198),(Input!$K$288*(1+vanilla4)^0.5)/A10stdlife))</f>
        <v>0</v>
      </c>
      <c r="O198" s="73">
        <f>IF(A10stdlife="n/a","n/a",IF(O$3&gt;(A10stdlife+$F198),(Input!$K$288*(1+vanilla4)^0.5)-SUM($K198:N198),(Input!$K$288*(1+vanilla4)^0.5)/A10stdlife))</f>
        <v>0</v>
      </c>
      <c r="P198" s="73">
        <f>IF(A10stdlife="n/a","n/a",IF(P$3&gt;(A10stdlife+$F198),(Input!$K$288*(1+vanilla4)^0.5)-SUM($K198:O198),(Input!$K$288*(1+vanilla4)^0.5)/A10stdlife))</f>
        <v>0</v>
      </c>
      <c r="Q198" s="73">
        <f>IF(A10stdlife="n/a","n/a",IF(Q$3&gt;(A10stdlife+$F198),(Input!$K$288*(1+vanilla4)^0.5)-SUM($K198:P198),(Input!$K$288*(1+vanilla4)^0.5)/A10stdlife))</f>
        <v>0</v>
      </c>
      <c r="R198" s="73"/>
      <c r="S198" s="107"/>
      <c r="T198" s="107"/>
      <c r="U198" s="107"/>
      <c r="V198" s="107"/>
      <c r="W198" s="107"/>
      <c r="X198" s="107"/>
      <c r="Y198" s="107"/>
      <c r="Z198" s="107"/>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6"/>
      <c r="E199" s="537"/>
      <c r="F199" s="91">
        <v>5</v>
      </c>
      <c r="G199" s="27"/>
      <c r="H199" s="150"/>
      <c r="I199" s="152"/>
      <c r="J199" s="152"/>
      <c r="K199" s="152"/>
      <c r="L199" s="151"/>
      <c r="M199" s="73">
        <f>IF(A10stdlife="n/a","n/a",IF(M$3&gt;(A10stdlife+$F199),(Input!$L$288*(1+vanilla5)^0.5)-SUM($L199:L199),(Input!$L$288*(1+vanilla5)^0.5)/A10stdlife))</f>
        <v>0</v>
      </c>
      <c r="N199" s="73">
        <f>IF(A10stdlife="n/a","n/a",IF(N$3&gt;(A10stdlife+$F199),(Input!$L$288*(1+vanilla5)^0.5)-SUM($L199:M199),(Input!$L$288*(1+vanilla5)^0.5)/A10stdlife))</f>
        <v>0</v>
      </c>
      <c r="O199" s="73">
        <f>IF(A10stdlife="n/a","n/a",IF(O$3&gt;(A10stdlife+$F199),(Input!$L$288*(1+vanilla5)^0.5)-SUM($L199:N199),(Input!$L$288*(1+vanilla5)^0.5)/A10stdlife))</f>
        <v>0</v>
      </c>
      <c r="P199" s="73">
        <f>IF(A10stdlife="n/a","n/a",IF(P$3&gt;(A10stdlife+$F199),(Input!$L$288*(1+vanilla5)^0.5)-SUM($L199:O199),(Input!$L$288*(1+vanilla5)^0.5)/A10stdlife))</f>
        <v>0</v>
      </c>
      <c r="Q199" s="73">
        <f>IF(A10stdlife="n/a","n/a",IF(Q$3&gt;(A10stdlife+$F199),(Input!$L$288*(1+vanilla5)^0.5)-SUM($L199:P199),(Input!$L$288*(1+vanilla5)^0.5)/A10stdlife))</f>
        <v>0</v>
      </c>
      <c r="R199" s="73"/>
      <c r="S199" s="107"/>
      <c r="T199" s="107"/>
      <c r="U199" s="107"/>
      <c r="V199" s="107"/>
      <c r="W199" s="107"/>
      <c r="X199" s="107"/>
      <c r="Y199" s="107"/>
      <c r="Z199" s="107"/>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6"/>
      <c r="E200" s="537"/>
      <c r="F200" s="91">
        <v>6</v>
      </c>
      <c r="G200" s="27"/>
      <c r="H200" s="150"/>
      <c r="I200" s="152"/>
      <c r="J200" s="152"/>
      <c r="K200" s="152"/>
      <c r="L200" s="152"/>
      <c r="M200" s="151"/>
      <c r="N200" s="73">
        <f>IF(A10stdlife="n/a","n/a",IF(N$3&gt;(A10stdlife+$F200),(Input!$M$288*(1+vanilla6)^0.5)-SUM($M200:M200),(Input!$M$288*(1+vanilla6)^0.5)/A10stdlife))</f>
        <v>0</v>
      </c>
      <c r="O200" s="73">
        <f>IF(A10stdlife="n/a","n/a",IF(O$3&gt;(A10stdlife+$F200),(Input!$M$288*(1+vanilla6)^0.5)-SUM($M200:N200),(Input!$M$288*(1+vanilla6)^0.5)/A10stdlife))</f>
        <v>0</v>
      </c>
      <c r="P200" s="73">
        <f>IF(A10stdlife="n/a","n/a",IF(P$3&gt;(A10stdlife+$F200),(Input!$M$288*(1+vanilla6)^0.5)-SUM($M200:O200),(Input!$M$288*(1+vanilla6)^0.5)/A10stdlife))</f>
        <v>0</v>
      </c>
      <c r="Q200" s="73">
        <f>IF(A10stdlife="n/a","n/a",IF(Q$3&gt;(A10stdlife+$F200),(Input!$M$288*(1+vanilla6)^0.5)-SUM($M200:P200),(Input!$M$288*(1+vanilla6)^0.5)/A10stdlife))</f>
        <v>0</v>
      </c>
      <c r="R200" s="73"/>
      <c r="S200" s="107"/>
      <c r="T200" s="107"/>
      <c r="U200" s="107"/>
      <c r="V200" s="107"/>
      <c r="W200" s="107"/>
      <c r="X200" s="107"/>
      <c r="Y200" s="107"/>
      <c r="Z200" s="107"/>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6"/>
      <c r="E201" s="537"/>
      <c r="F201" s="91">
        <v>7</v>
      </c>
      <c r="G201" s="27"/>
      <c r="H201" s="150"/>
      <c r="I201" s="152"/>
      <c r="J201" s="152"/>
      <c r="K201" s="152"/>
      <c r="L201" s="152"/>
      <c r="M201" s="152"/>
      <c r="N201" s="151"/>
      <c r="O201" s="73">
        <f>IF(A10stdlife="n/a","n/a",IF(O$3&gt;(A10stdlife+$F201),(Input!$N$288*(1+vanilla7)^0.5)-SUM($N201:N201),(Input!$N$288*(1+vanilla7)^0.5)/A10stdlife))</f>
        <v>0</v>
      </c>
      <c r="P201" s="73">
        <f>IF(A10stdlife="n/a","n/a",IF(P$3&gt;(A10stdlife+$F201),(Input!$N$288*(1+vanilla7)^0.5)-SUM($N201:O201),(Input!$N$288*(1+vanilla7)^0.5)/A10stdlife))</f>
        <v>0</v>
      </c>
      <c r="Q201" s="73">
        <f>IF(A10stdlife="n/a","n/a",IF(Q$3&gt;(A10stdlife+$F201),(Input!$N$288*(1+vanilla7)^0.5)-SUM($N201:P201),(Input!$N$288*(1+vanilla7)^0.5)/A10stdlife))</f>
        <v>0</v>
      </c>
      <c r="R201" s="73"/>
      <c r="S201" s="107"/>
      <c r="T201" s="107"/>
      <c r="U201" s="107"/>
      <c r="V201" s="107"/>
      <c r="W201" s="107"/>
      <c r="X201" s="107"/>
      <c r="Y201" s="107"/>
      <c r="Z201" s="107"/>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37"/>
      <c r="F202" s="91">
        <v>8</v>
      </c>
      <c r="G202" s="27"/>
      <c r="H202" s="150"/>
      <c r="I202" s="152"/>
      <c r="J202" s="152"/>
      <c r="K202" s="152"/>
      <c r="L202" s="152"/>
      <c r="M202" s="152"/>
      <c r="N202" s="152"/>
      <c r="O202" s="151"/>
      <c r="P202" s="73">
        <f>IF(A10stdlife="n/a","n/a",IF(P$3&gt;(A10stdlife+$F202),(Input!$O$288*(1+vanilla8)^0.5)-SUM($O202:O202),(Input!$O$288*(1+vanilla8)^0.5)/A10stdlife))</f>
        <v>0</v>
      </c>
      <c r="Q202" s="73">
        <f>IF(A10stdlife="n/a","n/a",IF(Q$3&gt;(A10stdlife+$F202),(Input!$O$288*(1+vanilla8)^0.5)-SUM($O202:P202),(Input!$O$288*(1+vanilla8)^0.5)/A10stdlife))</f>
        <v>0</v>
      </c>
      <c r="R202" s="73"/>
      <c r="S202" s="107"/>
      <c r="T202" s="107"/>
      <c r="U202" s="107"/>
      <c r="V202" s="107"/>
      <c r="W202" s="107"/>
      <c r="X202" s="107"/>
      <c r="Y202" s="107"/>
      <c r="Z202" s="107"/>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37"/>
      <c r="F203" s="91">
        <v>9</v>
      </c>
      <c r="G203" s="27"/>
      <c r="H203" s="150"/>
      <c r="I203" s="152"/>
      <c r="J203" s="152"/>
      <c r="K203" s="152"/>
      <c r="L203" s="152"/>
      <c r="M203" s="152"/>
      <c r="N203" s="152"/>
      <c r="O203" s="152"/>
      <c r="P203" s="151"/>
      <c r="Q203" s="73">
        <f>IF(A10stdlife="n/a","n/a",IF(Q$3&gt;(A10stdlife+$F203),(Input!$P$288*(1+vanilla9)^0.5)-SUM($P203:P203),(Input!$P$288*(1+vanilla9)^0.5)/A10stdlife))</f>
        <v>0</v>
      </c>
      <c r="R203" s="73"/>
      <c r="S203" s="107"/>
      <c r="T203" s="107"/>
      <c r="U203" s="107"/>
      <c r="V203" s="107"/>
      <c r="W203" s="107"/>
      <c r="X203" s="107"/>
      <c r="Y203" s="107"/>
      <c r="Z203" s="107"/>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37"/>
      <c r="F204" s="92">
        <v>10</v>
      </c>
      <c r="G204" s="27"/>
      <c r="H204" s="150"/>
      <c r="I204" s="152"/>
      <c r="J204" s="152"/>
      <c r="K204" s="152"/>
      <c r="L204" s="152"/>
      <c r="M204" s="152"/>
      <c r="N204" s="152"/>
      <c r="O204" s="152"/>
      <c r="P204" s="152"/>
      <c r="Q204" s="151"/>
      <c r="R204" s="73"/>
      <c r="S204" s="107"/>
      <c r="T204" s="107"/>
      <c r="U204" s="107"/>
      <c r="V204" s="107"/>
      <c r="W204" s="107"/>
      <c r="X204" s="107"/>
      <c r="Y204" s="107"/>
      <c r="Z204" s="107"/>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9"/>
      <c r="B205" s="9"/>
      <c r="C205" s="9"/>
      <c r="D205" s="272">
        <f>Asset10</f>
        <v>0</v>
      </c>
      <c r="E205" s="9"/>
      <c r="F205" s="9"/>
      <c r="G205" s="125"/>
      <c r="H205" s="166">
        <f>-SUM(H193:H204)</f>
        <v>0</v>
      </c>
      <c r="I205" s="166">
        <f>-SUM(I193:I204)</f>
        <v>0</v>
      </c>
      <c r="J205" s="166">
        <f>-SUM(J193:J204)</f>
        <v>0</v>
      </c>
      <c r="K205" s="166">
        <f>-SUM(K193:K204)</f>
        <v>0</v>
      </c>
      <c r="L205" s="166">
        <f>-SUM(L193:L204)</f>
        <v>0</v>
      </c>
      <c r="M205" s="73">
        <f>IF(COUNT($H205:L205)&gt;=Input!$Y$7,0, -SUM(M193:M204))</f>
        <v>0</v>
      </c>
      <c r="N205" s="73">
        <f>IF(COUNT($H205:M205)&gt;=Input!$Y$7,0, -SUM(N193:N204))</f>
        <v>0</v>
      </c>
      <c r="O205" s="73">
        <f>IF(COUNT($H205:N205)&gt;=Input!$Y$7,0, -SUM(O193:O204))</f>
        <v>0</v>
      </c>
      <c r="P205" s="73">
        <f>IF(COUNT($H205:O205)&gt;=Input!$Y$7,0, -SUM(P193:P204))</f>
        <v>0</v>
      </c>
      <c r="Q205" s="73">
        <f>IF(COUNT($H205:P205)&gt;=Input!$Y$7,0, -SUM(Q193:Q204))</f>
        <v>0</v>
      </c>
      <c r="R205" s="71"/>
      <c r="S205" s="109"/>
      <c r="T205" s="109"/>
      <c r="U205" s="109"/>
      <c r="V205" s="109"/>
      <c r="W205" s="109"/>
      <c r="X205" s="109"/>
      <c r="Y205" s="109"/>
      <c r="Z205" s="109"/>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73">
        <f>Asset11</f>
        <v>0</v>
      </c>
      <c r="D206" s="162"/>
      <c r="E206" s="32" t="s">
        <v>5</v>
      </c>
      <c r="F206" s="31"/>
      <c r="G206" s="181"/>
      <c r="H206" s="72">
        <f>IF(H$3&gt;A11remlife,A11value-$G$640-SUM($G206:G206),IF(A11remlife="N/A","n/a",(A11value-$G$640)/A11remlife))</f>
        <v>0</v>
      </c>
      <c r="I206" s="72">
        <f>IF(I$3&gt;A11remlife,A11value-$G$640-SUM($G206:H206),IF(A11remlife="N/A","n/a",(A11value-$G$640)/A11remlife))</f>
        <v>0</v>
      </c>
      <c r="J206" s="72">
        <f>IF(J$3&gt;A11remlife,A11value-$G$640-SUM($G206:I206),IF(A11remlife="N/A","n/a",(A11value-$G$640)/A11remlife))</f>
        <v>0</v>
      </c>
      <c r="K206" s="72">
        <f>IF(K$3&gt;A11remlife,A11value-$G$640-SUM($G206:J206),IF(A11remlife="N/A","n/a",(A11value-$G$640)/A11remlife))</f>
        <v>0</v>
      </c>
      <c r="L206" s="72">
        <f>IF(L$3&gt;A11remlife,A11value-$G$640-SUM($G206:K206),IF(A11remlife="N/A","n/a",(A11value-$G$640)/A11remlife))</f>
        <v>0</v>
      </c>
      <c r="M206" s="72">
        <f>IF(M$3&gt;A11remlife,A11value-$G$640-SUM($G206:L206),IF(A11remlife="N/A","n/a",(A11value-$G$640)/A11remlife))</f>
        <v>0</v>
      </c>
      <c r="N206" s="72">
        <f>IF(N$3&gt;A11remlife,A11value-$G$640-SUM($G206:M206),IF(A11remlife="N/A","n/a",(A11value-$G$640)/A11remlife))</f>
        <v>0</v>
      </c>
      <c r="O206" s="72">
        <f>IF(O$3&gt;A11remlife,A11value-$G$640-SUM($G206:N206),IF(A11remlife="N/A","n/a",(A11value-$G$640)/A11remlife))</f>
        <v>0</v>
      </c>
      <c r="P206" s="72">
        <f>IF(P$3&gt;A11remlife,A11value-$G$640-SUM($G206:O206),IF(A11remlife="N/A","n/a",(A11value-$G$640)/A11remlife))</f>
        <v>0</v>
      </c>
      <c r="Q206" s="72">
        <f>IF(Q$3&gt;A11remlife,A11value-$G$640-SUM($G206:P206),IF(A11remlife="N/A","n/a",(A11value-$G$640)/A11remlife))</f>
        <v>0</v>
      </c>
      <c r="R206" s="72"/>
      <c r="S206" s="107"/>
      <c r="T206" s="107"/>
      <c r="U206" s="107"/>
      <c r="V206" s="107"/>
      <c r="W206" s="107"/>
      <c r="X206" s="107"/>
      <c r="Y206" s="107"/>
      <c r="Z206" s="107"/>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6"/>
      <c r="E207" s="536" t="s">
        <v>59</v>
      </c>
      <c r="F207" s="91"/>
      <c r="G207" s="125"/>
      <c r="H207" s="73"/>
      <c r="I207" s="73"/>
      <c r="J207" s="73"/>
      <c r="K207" s="73"/>
      <c r="L207" s="73"/>
      <c r="M207" s="164"/>
      <c r="N207" s="116"/>
      <c r="O207" s="73"/>
      <c r="P207" s="73"/>
      <c r="Q207" s="73"/>
      <c r="R207" s="73"/>
      <c r="S207" s="107"/>
      <c r="T207" s="107"/>
      <c r="U207" s="107"/>
      <c r="V207" s="107"/>
      <c r="W207" s="107"/>
      <c r="X207" s="107"/>
      <c r="Y207" s="107"/>
      <c r="Z207" s="107"/>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37"/>
      <c r="F208" s="91">
        <v>1</v>
      </c>
      <c r="G208" s="125"/>
      <c r="H208" s="149"/>
      <c r="I208" s="73">
        <f>IF(A11stdlife="n/a","n/a",IF(I$3&gt;(A11stdlife+$F208),(Input!$H$289*(1+vanilla1)^0.5)-SUM($H208:H208),(Input!$H$289*(1+vanilla1)^0.5)/A11stdlife))</f>
        <v>0</v>
      </c>
      <c r="J208" s="73">
        <f>IF(A11stdlife="n/a","n/a",IF(J$3&gt;(A11stdlife+$F208),(Input!$H$289*(1+vanilla1)^0.5)-SUM($H208:I208),(Input!$H$289*(1+vanilla1)^0.5)/A11stdlife))</f>
        <v>0</v>
      </c>
      <c r="K208" s="73">
        <f>IF(A11stdlife="n/a","n/a",IF(K$3&gt;(A11stdlife+$F208),(Input!$H$289*(1+vanilla1)^0.5)-SUM($H208:J208),(Input!$H$289*(1+vanilla1)^0.5)/A11stdlife))</f>
        <v>0</v>
      </c>
      <c r="L208" s="73">
        <f>IF(A11stdlife="n/a","n/a",IF(L$3&gt;(A11stdlife+$F208),(Input!$H$289*(1+vanilla1)^0.5)-SUM($H208:K208),(Input!$H$289*(1+vanilla1)^0.5)/A11stdlife))</f>
        <v>0</v>
      </c>
      <c r="M208" s="73">
        <f>IF(A11stdlife="n/a","n/a",IF(M$3&gt;(A11stdlife+$F208),(Input!$H$289*(1+vanilla1)^0.5)-SUM($H208:L208),(Input!$H$289*(1+vanilla1)^0.5)/A11stdlife))</f>
        <v>0</v>
      </c>
      <c r="N208" s="73">
        <f>IF(A11stdlife="n/a","n/a",IF(N$3&gt;(A11stdlife+$F208),(Input!$H$289*(1+vanilla1)^0.5)-SUM($H208:M208),(Input!$H$289*(1+vanilla1)^0.5)/A11stdlife))</f>
        <v>0</v>
      </c>
      <c r="O208" s="73">
        <f>IF(A11stdlife="n/a","n/a",IF(O$3&gt;(A11stdlife+$F208),(Input!$H$289*(1+vanilla1)^0.5)-SUM($H208:N208),(Input!$H$289*(1+vanilla1)^0.5)/A11stdlife))</f>
        <v>0</v>
      </c>
      <c r="P208" s="73">
        <f>IF(A11stdlife="n/a","n/a",IF(P$3&gt;(A11stdlife+$F208),(Input!$H$289*(1+vanilla1)^0.5)-SUM($H208:O208),(Input!$H$289*(1+vanilla1)^0.5)/A11stdlife))</f>
        <v>0</v>
      </c>
      <c r="Q208" s="73">
        <f>IF(A11stdlife="n/a","n/a",IF(Q$3&gt;(A11stdlife+$F208),(Input!$H$289*(1+vanilla1)^0.5)-SUM($H208:P208),(Input!$H$289*(1+vanilla1)^0.5)/A11stdlife))</f>
        <v>0</v>
      </c>
      <c r="R208" s="73"/>
      <c r="S208" s="107"/>
      <c r="T208" s="107"/>
      <c r="U208" s="107"/>
      <c r="V208" s="107"/>
      <c r="W208" s="107"/>
      <c r="X208" s="107"/>
      <c r="Y208" s="107"/>
      <c r="Z208" s="107"/>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37"/>
      <c r="F209" s="91">
        <v>2</v>
      </c>
      <c r="G209" s="125"/>
      <c r="H209" s="150"/>
      <c r="I209" s="151"/>
      <c r="J209" s="73">
        <f>IF(A11stdlife="n/a","n/a",IF(J$3&gt;(A11stdlife+$F209),(Input!$I$289*(1+vanilla2)^0.5)-SUM($I209:I209),(Input!$I$289*(1+vanilla2)^0.5)/A11stdlife))</f>
        <v>0</v>
      </c>
      <c r="K209" s="73">
        <f>IF(A11stdlife="n/a","n/a",IF(K$3&gt;(A11stdlife+$F209),(Input!$I$289*(1+vanilla2)^0.5)-SUM($I209:J209),(Input!$I$289*(1+vanilla2)^0.5)/A11stdlife))</f>
        <v>0</v>
      </c>
      <c r="L209" s="73">
        <f>IF(A11stdlife="n/a","n/a",IF(L$3&gt;(A11stdlife+$F209),(Input!$I$289*(1+vanilla2)^0.5)-SUM($I209:K209),(Input!$I$289*(1+vanilla2)^0.5)/A11stdlife))</f>
        <v>0</v>
      </c>
      <c r="M209" s="73">
        <f>IF(A11stdlife="n/a","n/a",IF(M$3&gt;(A11stdlife+$F209),(Input!$I$289*(1+vanilla2)^0.5)-SUM($I209:L209),(Input!$I$289*(1+vanilla2)^0.5)/A11stdlife))</f>
        <v>0</v>
      </c>
      <c r="N209" s="73">
        <f>IF(A11stdlife="n/a","n/a",IF(N$3&gt;(A11stdlife+$F209),(Input!$I$289*(1+vanilla2)^0.5)-SUM($I209:M209),(Input!$I$289*(1+vanilla2)^0.5)/A11stdlife))</f>
        <v>0</v>
      </c>
      <c r="O209" s="73">
        <f>IF(A11stdlife="n/a","n/a",IF(O$3&gt;(A11stdlife+$F209),(Input!$I$289*(1+vanilla2)^0.5)-SUM($I209:N209),(Input!$I$289*(1+vanilla2)^0.5)/A11stdlife))</f>
        <v>0</v>
      </c>
      <c r="P209" s="73">
        <f>IF(A11stdlife="n/a","n/a",IF(P$3&gt;(A11stdlife+$F209),(Input!$I$289*(1+vanilla2)^0.5)-SUM($I209:O209),(Input!$I$289*(1+vanilla2)^0.5)/A11stdlife))</f>
        <v>0</v>
      </c>
      <c r="Q209" s="73">
        <f>IF(A11stdlife="n/a","n/a",IF(Q$3&gt;(A11stdlife+$F209),(Input!$I$289*(1+vanilla2)^0.5)-SUM($I209:P209),(Input!$I$289*(1+vanilla2)^0.5)/A11stdlife))</f>
        <v>0</v>
      </c>
      <c r="R209" s="73"/>
      <c r="S209" s="107"/>
      <c r="T209" s="107"/>
      <c r="U209" s="107"/>
      <c r="V209" s="107"/>
      <c r="W209" s="107"/>
      <c r="X209" s="107"/>
      <c r="Y209" s="107"/>
      <c r="Z209" s="107"/>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37"/>
      <c r="F210" s="91">
        <v>3</v>
      </c>
      <c r="G210" s="125"/>
      <c r="H210" s="150"/>
      <c r="I210" s="152"/>
      <c r="J210" s="151"/>
      <c r="K210" s="73">
        <f>IF(A11stdlife="n/a","n/a",IF(K$3&gt;(A11stdlife+$F210),(Input!$J$289*(1+vanilla3)^0.5)-SUM($J210:J210),(Input!$J$289*(1+vanilla3)^0.5)/A11stdlife))</f>
        <v>0</v>
      </c>
      <c r="L210" s="73">
        <f>IF(A11stdlife="n/a","n/a",IF(L$3&gt;(A11stdlife+$F210),(Input!$J$289*(1+vanilla3)^0.5)-SUM($J210:K210),(Input!$J$289*(1+vanilla3)^0.5)/A11stdlife))</f>
        <v>0</v>
      </c>
      <c r="M210" s="73">
        <f>IF(A11stdlife="n/a","n/a",IF(M$3&gt;(A11stdlife+$F210),(Input!$J$289*(1+vanilla3)^0.5)-SUM($J210:L210),(Input!$J$289*(1+vanilla3)^0.5)/A11stdlife))</f>
        <v>0</v>
      </c>
      <c r="N210" s="73">
        <f>IF(A11stdlife="n/a","n/a",IF(N$3&gt;(A11stdlife+$F210),(Input!$J$289*(1+vanilla3)^0.5)-SUM($J210:M210),(Input!$J$289*(1+vanilla3)^0.5)/A11stdlife))</f>
        <v>0</v>
      </c>
      <c r="O210" s="73">
        <f>IF(A11stdlife="n/a","n/a",IF(O$3&gt;(A11stdlife+$F210),(Input!$J$289*(1+vanilla3)^0.5)-SUM($J210:N210),(Input!$J$289*(1+vanilla3)^0.5)/A11stdlife))</f>
        <v>0</v>
      </c>
      <c r="P210" s="73">
        <f>IF(A11stdlife="n/a","n/a",IF(P$3&gt;(A11stdlife+$F210),(Input!$J$289*(1+vanilla3)^0.5)-SUM($J210:O210),(Input!$J$289*(1+vanilla3)^0.5)/A11stdlife))</f>
        <v>0</v>
      </c>
      <c r="Q210" s="73">
        <f>IF(A11stdlife="n/a","n/a",IF(Q$3&gt;(A11stdlife+$F210),(Input!$J$289*(1+vanilla3)^0.5)-SUM($J210:P210),(Input!$J$289*(1+vanilla3)^0.5)/A11stdlife))</f>
        <v>0</v>
      </c>
      <c r="R210" s="73"/>
      <c r="S210" s="107"/>
      <c r="T210" s="107"/>
      <c r="U210" s="107"/>
      <c r="V210" s="107"/>
      <c r="W210" s="107"/>
      <c r="X210" s="107"/>
      <c r="Y210" s="107"/>
      <c r="Z210" s="107"/>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37"/>
      <c r="F211" s="91">
        <v>4</v>
      </c>
      <c r="G211" s="125"/>
      <c r="H211" s="150"/>
      <c r="I211" s="152"/>
      <c r="J211" s="152"/>
      <c r="K211" s="151"/>
      <c r="L211" s="73">
        <f>IF(A11stdlife="n/a","n/a",IF(L$3&gt;(A11stdlife+$F211),(Input!$K$289*(1+vanilla4)^0.5)-SUM($K211:K211),(Input!$K$289*(1+vanilla4)^0.5)/A11stdlife))</f>
        <v>0</v>
      </c>
      <c r="M211" s="73">
        <f>IF(A11stdlife="n/a","n/a",IF(M$3&gt;(A11stdlife+$F211),(Input!$K$289*(1+vanilla4)^0.5)-SUM($K211:L211),(Input!$K$289*(1+vanilla4)^0.5)/A11stdlife))</f>
        <v>0</v>
      </c>
      <c r="N211" s="73">
        <f>IF(A11stdlife="n/a","n/a",IF(N$3&gt;(A11stdlife+$F211),(Input!$K$289*(1+vanilla4)^0.5)-SUM($K211:M211),(Input!$K$289*(1+vanilla4)^0.5)/A11stdlife))</f>
        <v>0</v>
      </c>
      <c r="O211" s="73">
        <f>IF(A11stdlife="n/a","n/a",IF(O$3&gt;(A11stdlife+$F211),(Input!$K$289*(1+vanilla4)^0.5)-SUM($K211:N211),(Input!$K$289*(1+vanilla4)^0.5)/A11stdlife))</f>
        <v>0</v>
      </c>
      <c r="P211" s="73">
        <f>IF(A11stdlife="n/a","n/a",IF(P$3&gt;(A11stdlife+$F211),(Input!$K$289*(1+vanilla4)^0.5)-SUM($K211:O211),(Input!$K$289*(1+vanilla4)^0.5)/A11stdlife))</f>
        <v>0</v>
      </c>
      <c r="Q211" s="73">
        <f>IF(A11stdlife="n/a","n/a",IF(Q$3&gt;(A11stdlife+$F211),(Input!$K$289*(1+vanilla4)^0.5)-SUM($K211:P211),(Input!$K$289*(1+vanilla4)^0.5)/A11stdlife))</f>
        <v>0</v>
      </c>
      <c r="R211" s="73"/>
      <c r="S211" s="107"/>
      <c r="T211" s="107"/>
      <c r="U211" s="107"/>
      <c r="V211" s="107"/>
      <c r="W211" s="107"/>
      <c r="X211" s="107"/>
      <c r="Y211" s="107"/>
      <c r="Z211" s="107"/>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6"/>
      <c r="E212" s="537"/>
      <c r="F212" s="91">
        <v>5</v>
      </c>
      <c r="G212" s="27"/>
      <c r="H212" s="150"/>
      <c r="I212" s="152"/>
      <c r="J212" s="152"/>
      <c r="K212" s="152"/>
      <c r="L212" s="151"/>
      <c r="M212" s="73">
        <f>IF(A11stdlife="n/a","n/a",IF(M$3&gt;(A11stdlife+$F212),(Input!$L$289*(1+vanilla5)^0.5)-SUM($L212:L212),(Input!$L289*(1+vanilla5)^0.5)/A11stdlife))</f>
        <v>0</v>
      </c>
      <c r="N212" s="73">
        <f>IF(A11stdlife="n/a","n/a",IF(N$3&gt;(A11stdlife+$F212),(Input!$L$289*(1+vanilla5)^0.5)-SUM($L212:M212),(Input!$L289*(1+vanilla5)^0.5)/A11stdlife))</f>
        <v>0</v>
      </c>
      <c r="O212" s="73">
        <f>IF(A11stdlife="n/a","n/a",IF(O$3&gt;(A11stdlife+$F212),(Input!$L$289*(1+vanilla5)^0.5)-SUM($L212:N212),(Input!$L289*(1+vanilla5)^0.5)/A11stdlife))</f>
        <v>0</v>
      </c>
      <c r="P212" s="73">
        <f>IF(A11stdlife="n/a","n/a",IF(P$3&gt;(A11stdlife+$F212),(Input!$L$289*(1+vanilla5)^0.5)-SUM($L212:O212),(Input!$L289*(1+vanilla5)^0.5)/A11stdlife))</f>
        <v>0</v>
      </c>
      <c r="Q212" s="73">
        <f>IF(A11stdlife="n/a","n/a",IF(Q$3&gt;(A11stdlife+$F212),(Input!$L$289*(1+vanilla5)^0.5)-SUM($L212:P212),(Input!$L289*(1+vanilla5)^0.5)/A11stdlife))</f>
        <v>0</v>
      </c>
      <c r="R212" s="73"/>
      <c r="S212" s="107"/>
      <c r="T212" s="107"/>
      <c r="U212" s="107"/>
      <c r="V212" s="107"/>
      <c r="W212" s="107"/>
      <c r="X212" s="107"/>
      <c r="Y212" s="107"/>
      <c r="Z212" s="107"/>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6"/>
      <c r="E213" s="537"/>
      <c r="F213" s="91">
        <v>6</v>
      </c>
      <c r="G213" s="27"/>
      <c r="H213" s="150"/>
      <c r="I213" s="152"/>
      <c r="J213" s="152"/>
      <c r="K213" s="152"/>
      <c r="L213" s="152"/>
      <c r="M213" s="151"/>
      <c r="N213" s="73">
        <f>IF(A11stdlife="n/a","n/a",IF(N$3&gt;(A11stdlife+$F213),(Input!$M$289*(1+vanilla6)^0.5)-SUM($M213:M213),(Input!$M$289*(1+vanilla6)^0.5)/A11stdlife))</f>
        <v>0</v>
      </c>
      <c r="O213" s="73">
        <f>IF(A11stdlife="n/a","n/a",IF(O$3&gt;(A11stdlife+$F213),(Input!$M$289*(1+vanilla6)^0.5)-SUM($M213:N213),(Input!$M$289*(1+vanilla6)^0.5)/A11stdlife))</f>
        <v>0</v>
      </c>
      <c r="P213" s="73">
        <f>IF(A11stdlife="n/a","n/a",IF(P$3&gt;(A11stdlife+$F213),(Input!$M$289*(1+vanilla6)^0.5)-SUM($M213:O213),(Input!$M$289*(1+vanilla6)^0.5)/A11stdlife))</f>
        <v>0</v>
      </c>
      <c r="Q213" s="73">
        <f>IF(A11stdlife="n/a","n/a",IF(Q$3&gt;(A11stdlife+$F213),(Input!$M$289*(1+vanilla6)^0.5)-SUM($M213:P213),(Input!$M$289*(1+vanilla6)^0.5)/A11stdlife))</f>
        <v>0</v>
      </c>
      <c r="R213" s="73"/>
      <c r="S213" s="107"/>
      <c r="T213" s="107"/>
      <c r="U213" s="107"/>
      <c r="V213" s="107"/>
      <c r="W213" s="107"/>
      <c r="X213" s="107"/>
      <c r="Y213" s="107"/>
      <c r="Z213" s="107"/>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6"/>
      <c r="E214" s="537"/>
      <c r="F214" s="91">
        <v>7</v>
      </c>
      <c r="G214" s="27"/>
      <c r="H214" s="150"/>
      <c r="I214" s="152"/>
      <c r="J214" s="152"/>
      <c r="K214" s="152"/>
      <c r="L214" s="152"/>
      <c r="M214" s="152"/>
      <c r="N214" s="151"/>
      <c r="O214" s="73">
        <f>IF(A11stdlife="n/a","n/a",IF(O$3&gt;(A11stdlife+$F214),(Input!$N$289*(1+vanilla7)^0.5)-SUM($N214:N214),(Input!$N$289*(1+vanilla7)^0.5)/A11stdlife))</f>
        <v>0</v>
      </c>
      <c r="P214" s="73">
        <f>IF(A11stdlife="n/a","n/a",IF(P$3&gt;(A11stdlife+$F214),(Input!$N$289*(1+vanilla7)^0.5)-SUM($N214:O214),(Input!$N$289*(1+vanilla7)^0.5)/A11stdlife))</f>
        <v>0</v>
      </c>
      <c r="Q214" s="73">
        <f>IF(A11stdlife="n/a","n/a",IF(Q$3&gt;(A11stdlife+$F214),(Input!$N$289*(1+vanilla7)^0.5)-SUM($N214:P214),(Input!$N$289*(1+vanilla7)^0.5)/A11stdlife))</f>
        <v>0</v>
      </c>
      <c r="R214" s="73"/>
      <c r="S214" s="107"/>
      <c r="T214" s="107"/>
      <c r="U214" s="107"/>
      <c r="V214" s="107"/>
      <c r="W214" s="107"/>
      <c r="X214" s="107"/>
      <c r="Y214" s="107"/>
      <c r="Z214" s="107"/>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37"/>
      <c r="F215" s="91">
        <v>8</v>
      </c>
      <c r="G215" s="27"/>
      <c r="H215" s="150"/>
      <c r="I215" s="152"/>
      <c r="J215" s="152"/>
      <c r="K215" s="152"/>
      <c r="L215" s="152"/>
      <c r="M215" s="152"/>
      <c r="N215" s="152"/>
      <c r="O215" s="151"/>
      <c r="P215" s="73">
        <f>IF(A11stdlife="n/a","n/a",IF(P$3&gt;(A11stdlife+$F215),(Input!$O$289*(1+vanilla8)^0.5)-SUM($O215:O215),(Input!$O$289*(1+vanilla8)^0.5)/A11stdlife))</f>
        <v>0</v>
      </c>
      <c r="Q215" s="73">
        <f>IF(A11stdlife="n/a","n/a",IF(Q$3&gt;(A11stdlife+$F215),(Input!$O$289*(1+vanilla8)^0.5)-SUM($O215:P215),(Input!$O$289*(1+vanilla8)^0.5)/A11stdlife))</f>
        <v>0</v>
      </c>
      <c r="R215" s="73"/>
      <c r="S215" s="107"/>
      <c r="T215" s="107"/>
      <c r="U215" s="107"/>
      <c r="V215" s="107"/>
      <c r="W215" s="107"/>
      <c r="X215" s="107"/>
      <c r="Y215" s="107"/>
      <c r="Z215" s="107"/>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37"/>
      <c r="F216" s="91">
        <v>9</v>
      </c>
      <c r="G216" s="27"/>
      <c r="H216" s="150"/>
      <c r="I216" s="152"/>
      <c r="J216" s="152"/>
      <c r="K216" s="152"/>
      <c r="L216" s="152"/>
      <c r="M216" s="152"/>
      <c r="N216" s="152"/>
      <c r="O216" s="152"/>
      <c r="P216" s="151"/>
      <c r="Q216" s="73">
        <f>IF(A11stdlife="n/a","n/a",IF(Q$3&gt;(A11stdlife+$F216),(Input!$P$289*(1+vanilla9)^0.5)-SUM($P216:P216),(Input!$P$289*(1+vanilla9)^0.5)/A11stdlife))</f>
        <v>0</v>
      </c>
      <c r="R216" s="73"/>
      <c r="S216" s="107"/>
      <c r="T216" s="107"/>
      <c r="U216" s="107"/>
      <c r="V216" s="107"/>
      <c r="W216" s="107"/>
      <c r="X216" s="107"/>
      <c r="Y216" s="107"/>
      <c r="Z216" s="107"/>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37"/>
      <c r="F217" s="92">
        <v>10</v>
      </c>
      <c r="G217" s="27"/>
      <c r="H217" s="150"/>
      <c r="I217" s="152"/>
      <c r="J217" s="152"/>
      <c r="K217" s="152"/>
      <c r="L217" s="152"/>
      <c r="M217" s="152"/>
      <c r="N217" s="152"/>
      <c r="O217" s="152"/>
      <c r="P217" s="152"/>
      <c r="Q217" s="151"/>
      <c r="R217" s="73"/>
      <c r="S217" s="107"/>
      <c r="T217" s="107"/>
      <c r="U217" s="107"/>
      <c r="V217" s="107"/>
      <c r="W217" s="107"/>
      <c r="X217" s="107"/>
      <c r="Y217" s="107"/>
      <c r="Z217" s="107"/>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9"/>
      <c r="B218" s="9"/>
      <c r="C218" s="9"/>
      <c r="D218" s="272">
        <f>Asset11</f>
        <v>0</v>
      </c>
      <c r="E218" s="9"/>
      <c r="F218" s="9"/>
      <c r="G218" s="125"/>
      <c r="H218" s="166">
        <f>-SUM(H206:H217)</f>
        <v>0</v>
      </c>
      <c r="I218" s="166">
        <f>-SUM(I206:I217)</f>
        <v>0</v>
      </c>
      <c r="J218" s="166">
        <f>-SUM(J206:J217)</f>
        <v>0</v>
      </c>
      <c r="K218" s="166">
        <f>-SUM(K206:K217)</f>
        <v>0</v>
      </c>
      <c r="L218" s="166">
        <f>-SUM(L206:L217)</f>
        <v>0</v>
      </c>
      <c r="M218" s="73">
        <f>IF(COUNT($H218:L218)&gt;=Input!$Y$7,0, -SUM(M206:M217))</f>
        <v>0</v>
      </c>
      <c r="N218" s="73">
        <f>IF(COUNT($H218:M218)&gt;=Input!$Y$7,0, -SUM(N206:N217))</f>
        <v>0</v>
      </c>
      <c r="O218" s="73">
        <f>IF(COUNT($H218:N218)&gt;=Input!$Y$7,0, -SUM(O206:O217))</f>
        <v>0</v>
      </c>
      <c r="P218" s="73">
        <f>IF(COUNT($H218:O218)&gt;=Input!$Y$7,0, -SUM(P206:P217))</f>
        <v>0</v>
      </c>
      <c r="Q218" s="73">
        <f>IF(COUNT($H218:P218)&gt;=Input!$Y$7,0, -SUM(Q206:Q217))</f>
        <v>0</v>
      </c>
      <c r="R218" s="71"/>
      <c r="S218" s="109"/>
      <c r="T218" s="109"/>
      <c r="U218" s="109"/>
      <c r="V218" s="109"/>
      <c r="W218" s="109"/>
      <c r="X218" s="109"/>
      <c r="Y218" s="109"/>
      <c r="Z218" s="109"/>
      <c r="AA218" s="236"/>
      <c r="AB218" s="236"/>
      <c r="AC218" s="236"/>
      <c r="AD218" s="236"/>
      <c r="AE218" s="236"/>
      <c r="AF218" s="236"/>
      <c r="AG218" s="236"/>
      <c r="AH218" s="236"/>
      <c r="AI218" s="236"/>
      <c r="AJ218" s="236"/>
      <c r="AK218" s="236"/>
      <c r="AL218" s="236"/>
      <c r="AM218" s="236"/>
      <c r="AN218" s="236"/>
      <c r="AO218" s="236"/>
      <c r="AP218" s="236"/>
      <c r="AQ218" s="236"/>
      <c r="AR218" s="236"/>
      <c r="AS218" s="236"/>
      <c r="AT218" s="236"/>
      <c r="AU218" s="236"/>
      <c r="AV218" s="236"/>
      <c r="AW218" s="236"/>
      <c r="AX218" s="236"/>
      <c r="AY218" s="236"/>
      <c r="AZ218" s="236"/>
      <c r="BA218" s="236"/>
      <c r="BB218" s="236"/>
      <c r="BC218" s="236"/>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73">
        <f>Asset12</f>
        <v>0</v>
      </c>
      <c r="D219" s="162"/>
      <c r="E219" s="32" t="s">
        <v>5</v>
      </c>
      <c r="F219" s="31"/>
      <c r="G219" s="181"/>
      <c r="H219" s="72">
        <f>IF(H$3&gt;A12remlife,A12value-$G$641-SUM($G219:G219),IF(A12remlife="N/A","n/a",(A12value-$G$641)/A12remlife))</f>
        <v>0</v>
      </c>
      <c r="I219" s="72">
        <f>IF(I$3&gt;A12remlife,A12value-$G$641-SUM($G219:H219),IF(A12remlife="N/A","n/a",(A12value-$G$641)/A12remlife))</f>
        <v>0</v>
      </c>
      <c r="J219" s="72">
        <f>IF(J$3&gt;A12remlife,A12value-$G$641-SUM($G219:I219),IF(A12remlife="N/A","n/a",(A12value-$G$641)/A12remlife))</f>
        <v>0</v>
      </c>
      <c r="K219" s="72">
        <f>IF(K$3&gt;A12remlife,A12value-$G$641-SUM($G219:J219),IF(A12remlife="N/A","n/a",(A12value-$G$641)/A12remlife))</f>
        <v>0</v>
      </c>
      <c r="L219" s="72">
        <f>IF(L$3&gt;A12remlife,A12value-$G$641-SUM($G219:K219),IF(A12remlife="N/A","n/a",(A12value-$G$641)/A12remlife))</f>
        <v>0</v>
      </c>
      <c r="M219" s="72">
        <f>IF(M$3&gt;A12remlife,A12value-$G$641-SUM($G219:L219),IF(A12remlife="N/A","n/a",(A12value-$G$641)/A12remlife))</f>
        <v>0</v>
      </c>
      <c r="N219" s="72">
        <f>IF(N$3&gt;A12remlife,A12value-$G$641-SUM($G219:M219),IF(A12remlife="N/A","n/a",(A12value-$G$641)/A12remlife))</f>
        <v>0</v>
      </c>
      <c r="O219" s="72">
        <f>IF(O$3&gt;A12remlife,A12value-$G$641-SUM($G219:N219),IF(A12remlife="N/A","n/a",(A12value-$G$641)/A12remlife))</f>
        <v>0</v>
      </c>
      <c r="P219" s="72">
        <f>IF(P$3&gt;A12remlife,A12value-$G$641-SUM($G219:O219),IF(A12remlife="N/A","n/a",(A12value-$G$641)/A12remlife))</f>
        <v>0</v>
      </c>
      <c r="Q219" s="72">
        <f>IF(Q$3&gt;A12remlife,A12value-$G$641-SUM($G219:P219),IF(A12remlife="N/A","n/a",(A12value-$G$641)/A12remlife))</f>
        <v>0</v>
      </c>
      <c r="R219" s="72"/>
      <c r="S219" s="107"/>
      <c r="T219" s="107"/>
      <c r="U219" s="107"/>
      <c r="V219" s="107"/>
      <c r="W219" s="107"/>
      <c r="X219" s="107"/>
      <c r="Y219" s="107"/>
      <c r="Z219" s="107"/>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6"/>
      <c r="E220" s="536" t="s">
        <v>59</v>
      </c>
      <c r="F220" s="91"/>
      <c r="G220" s="125"/>
      <c r="H220" s="73"/>
      <c r="I220" s="73"/>
      <c r="J220" s="73"/>
      <c r="K220" s="73"/>
      <c r="L220" s="73"/>
      <c r="M220" s="164"/>
      <c r="N220" s="116"/>
      <c r="O220" s="73"/>
      <c r="P220" s="73"/>
      <c r="Q220" s="73"/>
      <c r="R220" s="73"/>
      <c r="S220" s="107"/>
      <c r="T220" s="107"/>
      <c r="U220" s="107"/>
      <c r="V220" s="107"/>
      <c r="W220" s="107"/>
      <c r="X220" s="107"/>
      <c r="Y220" s="107"/>
      <c r="Z220" s="107"/>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37"/>
      <c r="F221" s="91">
        <v>1</v>
      </c>
      <c r="G221" s="125"/>
      <c r="H221" s="149"/>
      <c r="I221" s="73">
        <f>IF(A12stdlife="n/a","n/a",IF(I$3&gt;(A12stdlife+$F221),(Input!$H$290*(1+vanilla1)^0.5)-SUM($H221:H221),(Input!$H$290*(1+vanilla1)^0.5)/A12stdlife))</f>
        <v>0</v>
      </c>
      <c r="J221" s="73">
        <f>IF(A12stdlife="n/a","n/a",IF(J$3&gt;(A12stdlife+$F221),(Input!$H$290*(1+vanilla1)^0.5)-SUM($H221:I221),(Input!$H$290*(1+vanilla1)^0.5)/A12stdlife))</f>
        <v>0</v>
      </c>
      <c r="K221" s="73">
        <f>IF(A12stdlife="n/a","n/a",IF(K$3&gt;(A12stdlife+$F221),(Input!$H$290*(1+vanilla1)^0.5)-SUM($H221:J221),(Input!$H$290*(1+vanilla1)^0.5)/A12stdlife))</f>
        <v>0</v>
      </c>
      <c r="L221" s="73">
        <f>IF(A12stdlife="n/a","n/a",IF(L$3&gt;(A12stdlife+$F221),(Input!$H$290*(1+vanilla1)^0.5)-SUM($H221:K221),(Input!$H$290*(1+vanilla1)^0.5)/A12stdlife))</f>
        <v>0</v>
      </c>
      <c r="M221" s="73">
        <f>IF(A12stdlife="n/a","n/a",IF(M$3&gt;(A12stdlife+$F221),(Input!$H$290*(1+vanilla1)^0.5)-SUM($H221:L221),(Input!$H$290*(1+vanilla1)^0.5)/A12stdlife))</f>
        <v>0</v>
      </c>
      <c r="N221" s="73">
        <f>IF(A12stdlife="n/a","n/a",IF(N$3&gt;(A12stdlife+$F221),(Input!$H$290*(1+vanilla1)^0.5)-SUM($H221:M221),(Input!$H$290*(1+vanilla1)^0.5)/A12stdlife))</f>
        <v>0</v>
      </c>
      <c r="O221" s="73">
        <f>IF(A12stdlife="n/a","n/a",IF(O$3&gt;(A12stdlife+$F221),(Input!$H$290*(1+vanilla1)^0.5)-SUM($H221:N221),(Input!$H$290*(1+vanilla1)^0.5)/A12stdlife))</f>
        <v>0</v>
      </c>
      <c r="P221" s="73">
        <f>IF(A12stdlife="n/a","n/a",IF(P$3&gt;(A12stdlife+$F221),(Input!$H$290*(1+vanilla1)^0.5)-SUM($H221:O221),(Input!$H$290*(1+vanilla1)^0.5)/A12stdlife))</f>
        <v>0</v>
      </c>
      <c r="Q221" s="73">
        <f>IF(A12stdlife="n/a","n/a",IF(Q$3&gt;(A12stdlife+$F221),(Input!$H$290*(1+vanilla1)^0.5)-SUM($H221:P221),(Input!$H$290*(1+vanilla1)^0.5)/A12stdlife))</f>
        <v>0</v>
      </c>
      <c r="R221" s="73"/>
      <c r="S221" s="107"/>
      <c r="T221" s="107"/>
      <c r="U221" s="107"/>
      <c r="V221" s="107"/>
      <c r="W221" s="107"/>
      <c r="X221" s="107"/>
      <c r="Y221" s="107"/>
      <c r="Z221" s="107"/>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37"/>
      <c r="F222" s="91">
        <v>2</v>
      </c>
      <c r="G222" s="125"/>
      <c r="H222" s="150"/>
      <c r="I222" s="151"/>
      <c r="J222" s="73">
        <f>IF(A12stdlife="n/a","n/a",IF(J$3&gt;(A12stdlife+$F222),(Input!$I$290*(1+vanilla2)^0.5)-SUM($I222:I222),(Input!$I$290*(1+vanilla2)^0.5)/A12stdlife))</f>
        <v>0</v>
      </c>
      <c r="K222" s="73">
        <f>IF(A12stdlife="n/a","n/a",IF(K$3&gt;(A12stdlife+$F222),(Input!$I$290*(1+vanilla2)^0.5)-SUM($I222:J222),(Input!$I$290*(1+vanilla2)^0.5)/A12stdlife))</f>
        <v>0</v>
      </c>
      <c r="L222" s="73">
        <f>IF(A12stdlife="n/a","n/a",IF(L$3&gt;(A12stdlife+$F222),(Input!$I$290*(1+vanilla2)^0.5)-SUM($I222:K222),(Input!$I$290*(1+vanilla2)^0.5)/A12stdlife))</f>
        <v>0</v>
      </c>
      <c r="M222" s="73">
        <f>IF(A12stdlife="n/a","n/a",IF(M$3&gt;(A12stdlife+$F222),(Input!$I$290*(1+vanilla2)^0.5)-SUM($I222:L222),(Input!$I$290*(1+vanilla2)^0.5)/A12stdlife))</f>
        <v>0</v>
      </c>
      <c r="N222" s="73">
        <f>IF(A12stdlife="n/a","n/a",IF(N$3&gt;(A12stdlife+$F222),(Input!$I$290*(1+vanilla2)^0.5)-SUM($I222:M222),(Input!$I$290*(1+vanilla2)^0.5)/A12stdlife))</f>
        <v>0</v>
      </c>
      <c r="O222" s="73">
        <f>IF(A12stdlife="n/a","n/a",IF(O$3&gt;(A12stdlife+$F222),(Input!$I$290*(1+vanilla2)^0.5)-SUM($I222:N222),(Input!$I$290*(1+vanilla2)^0.5)/A12stdlife))</f>
        <v>0</v>
      </c>
      <c r="P222" s="73">
        <f>IF(A12stdlife="n/a","n/a",IF(P$3&gt;(A12stdlife+$F222),(Input!$I$290*(1+vanilla2)^0.5)-SUM($I222:O222),(Input!$I$290*(1+vanilla2)^0.5)/A12stdlife))</f>
        <v>0</v>
      </c>
      <c r="Q222" s="73">
        <f>IF(A12stdlife="n/a","n/a",IF(Q$3&gt;(A12stdlife+$F222),(Input!$I$290*(1+vanilla2)^0.5)-SUM($I222:P222),(Input!$I$290*(1+vanilla2)^0.5)/A12stdlife))</f>
        <v>0</v>
      </c>
      <c r="R222" s="73"/>
      <c r="S222" s="107"/>
      <c r="T222" s="107"/>
      <c r="U222" s="107"/>
      <c r="V222" s="107"/>
      <c r="W222" s="107"/>
      <c r="X222" s="107"/>
      <c r="Y222" s="107"/>
      <c r="Z222" s="107"/>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37"/>
      <c r="F223" s="91">
        <v>3</v>
      </c>
      <c r="G223" s="125"/>
      <c r="H223" s="150"/>
      <c r="I223" s="152"/>
      <c r="J223" s="151"/>
      <c r="K223" s="73">
        <f>IF(A12stdlife="n/a","n/a",IF(K$3&gt;(A12stdlife+$F223),(Input!$J$290*(1+vanilla3)^0.5)-SUM($J223:J223),(Input!$J$290*(1+vanilla3)^0.5)/A12stdlife))</f>
        <v>0</v>
      </c>
      <c r="L223" s="73">
        <f>IF(A12stdlife="n/a","n/a",IF(L$3&gt;(A12stdlife+$F223),(Input!$J$290*(1+vanilla3)^0.5)-SUM($J223:K223),(Input!$J$290*(1+vanilla3)^0.5)/A12stdlife))</f>
        <v>0</v>
      </c>
      <c r="M223" s="73">
        <f>IF(A12stdlife="n/a","n/a",IF(M$3&gt;(A12stdlife+$F223),(Input!$J$290*(1+vanilla3)^0.5)-SUM($J223:L223),(Input!$J$290*(1+vanilla3)^0.5)/A12stdlife))</f>
        <v>0</v>
      </c>
      <c r="N223" s="73">
        <f>IF(A12stdlife="n/a","n/a",IF(N$3&gt;(A12stdlife+$F223),(Input!$J$290*(1+vanilla3)^0.5)-SUM($J223:M223),(Input!$J$290*(1+vanilla3)^0.5)/A12stdlife))</f>
        <v>0</v>
      </c>
      <c r="O223" s="73">
        <f>IF(A12stdlife="n/a","n/a",IF(O$3&gt;(A12stdlife+$F223),(Input!$J$290*(1+vanilla3)^0.5)-SUM($J223:N223),(Input!$J$290*(1+vanilla3)^0.5)/A12stdlife))</f>
        <v>0</v>
      </c>
      <c r="P223" s="73">
        <f>IF(A12stdlife="n/a","n/a",IF(P$3&gt;(A12stdlife+$F223),(Input!$J$290*(1+vanilla3)^0.5)-SUM($J223:O223),(Input!$J$290*(1+vanilla3)^0.5)/A12stdlife))</f>
        <v>0</v>
      </c>
      <c r="Q223" s="73">
        <f>IF(A12stdlife="n/a","n/a",IF(Q$3&gt;(A12stdlife+$F223),(Input!$J$290*(1+vanilla3)^0.5)-SUM($J223:P223),(Input!$J$290*(1+vanilla3)^0.5)/A12stdlife))</f>
        <v>0</v>
      </c>
      <c r="R223" s="73"/>
      <c r="S223" s="107"/>
      <c r="T223" s="107"/>
      <c r="U223" s="107"/>
      <c r="V223" s="107"/>
      <c r="W223" s="107"/>
      <c r="X223" s="107"/>
      <c r="Y223" s="107"/>
      <c r="Z223" s="107"/>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37"/>
      <c r="F224" s="91">
        <v>4</v>
      </c>
      <c r="G224" s="125"/>
      <c r="H224" s="150"/>
      <c r="I224" s="152"/>
      <c r="J224" s="152"/>
      <c r="K224" s="151"/>
      <c r="L224" s="73">
        <f>IF(A12stdlife="n/a","n/a",IF(L$3&gt;(A12stdlife+$F224),(Input!$K$290*(1+vanilla4)^0.5)-SUM($K224:K224),(Input!$K$290*(1+vanilla4)^0.5)/A12stdlife))</f>
        <v>0</v>
      </c>
      <c r="M224" s="73">
        <f>IF(A12stdlife="n/a","n/a",IF(M$3&gt;(A12stdlife+$F224),(Input!$K$290*(1+vanilla4)^0.5)-SUM($K224:L224),(Input!$K$290*(1+vanilla4)^0.5)/A12stdlife))</f>
        <v>0</v>
      </c>
      <c r="N224" s="73">
        <f>IF(A12stdlife="n/a","n/a",IF(N$3&gt;(A12stdlife+$F224),(Input!$K$290*(1+vanilla4)^0.5)-SUM($K224:M224),(Input!$K$290*(1+vanilla4)^0.5)/A12stdlife))</f>
        <v>0</v>
      </c>
      <c r="O224" s="73">
        <f>IF(A12stdlife="n/a","n/a",IF(O$3&gt;(A12stdlife+$F224),(Input!$K$290*(1+vanilla4)^0.5)-SUM($K224:N224),(Input!$K$290*(1+vanilla4)^0.5)/A12stdlife))</f>
        <v>0</v>
      </c>
      <c r="P224" s="73">
        <f>IF(A12stdlife="n/a","n/a",IF(P$3&gt;(A12stdlife+$F224),(Input!$K$290*(1+vanilla4)^0.5)-SUM($K224:O224),(Input!$K$290*(1+vanilla4)^0.5)/A12stdlife))</f>
        <v>0</v>
      </c>
      <c r="Q224" s="73">
        <f>IF(A12stdlife="n/a","n/a",IF(Q$3&gt;(A12stdlife+$F224),(Input!$K$290*(1+vanilla4)^0.5)-SUM($K224:P224),(Input!$K$290*(1+vanilla4)^0.5)/A12stdlife))</f>
        <v>0</v>
      </c>
      <c r="R224" s="73"/>
      <c r="S224" s="107"/>
      <c r="T224" s="107"/>
      <c r="U224" s="107"/>
      <c r="V224" s="107"/>
      <c r="W224" s="107"/>
      <c r="X224" s="107"/>
      <c r="Y224" s="107"/>
      <c r="Z224" s="107"/>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6"/>
      <c r="E225" s="537"/>
      <c r="F225" s="91">
        <v>5</v>
      </c>
      <c r="G225" s="27"/>
      <c r="H225" s="150"/>
      <c r="I225" s="152"/>
      <c r="J225" s="152"/>
      <c r="K225" s="152"/>
      <c r="L225" s="151"/>
      <c r="M225" s="73">
        <f>IF(A12stdlife="n/a","n/a",IF(M$3&gt;(A12stdlife+$F225),(Input!$L$290*(1+vanilla5)^0.5)-SUM($L225:L225),(Input!$L$290*(1+vanilla5)^0.5)/A12stdlife))</f>
        <v>0</v>
      </c>
      <c r="N225" s="73">
        <f>IF(A12stdlife="n/a","n/a",IF(N$3&gt;(A12stdlife+$F225),(Input!$L$290*(1+vanilla5)^0.5)-SUM($L225:M225),(Input!$L$290*(1+vanilla5)^0.5)/A12stdlife))</f>
        <v>0</v>
      </c>
      <c r="O225" s="73">
        <f>IF(A12stdlife="n/a","n/a",IF(O$3&gt;(A12stdlife+$F225),(Input!$L$290*(1+vanilla5)^0.5)-SUM($L225:N225),(Input!$L$290*(1+vanilla5)^0.5)/A12stdlife))</f>
        <v>0</v>
      </c>
      <c r="P225" s="73">
        <f>IF(A12stdlife="n/a","n/a",IF(P$3&gt;(A12stdlife+$F225),(Input!$L$290*(1+vanilla5)^0.5)-SUM($L225:O225),(Input!$L$290*(1+vanilla5)^0.5)/A12stdlife))</f>
        <v>0</v>
      </c>
      <c r="Q225" s="73">
        <f>IF(A12stdlife="n/a","n/a",IF(Q$3&gt;(A12stdlife+$F225),(Input!$L$290*(1+vanilla5)^0.5)-SUM($L225:P225),(Input!$L$290*(1+vanilla5)^0.5)/A12stdlife))</f>
        <v>0</v>
      </c>
      <c r="R225" s="73"/>
      <c r="S225" s="107"/>
      <c r="T225" s="107"/>
      <c r="U225" s="107"/>
      <c r="V225" s="107"/>
      <c r="W225" s="107"/>
      <c r="X225" s="107"/>
      <c r="Y225" s="107"/>
      <c r="Z225" s="107"/>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6"/>
      <c r="E226" s="537"/>
      <c r="F226" s="91">
        <v>6</v>
      </c>
      <c r="G226" s="27"/>
      <c r="H226" s="150"/>
      <c r="I226" s="152"/>
      <c r="J226" s="152"/>
      <c r="K226" s="152"/>
      <c r="L226" s="152"/>
      <c r="M226" s="151"/>
      <c r="N226" s="73">
        <f>IF(A12stdlife="n/a","n/a",IF(N$3&gt;(A12stdlife+$F226),(Input!$M$290*(1+vanilla6)^0.5)-SUM($M226:M226),(Input!$M$290*(1+vanilla6)^0.5)/A12stdlife))</f>
        <v>0</v>
      </c>
      <c r="O226" s="73">
        <f>IF(A12stdlife="n/a","n/a",IF(O$3&gt;(A12stdlife+$F226),(Input!$M$290*(1+vanilla6)^0.5)-SUM($M226:N226),(Input!$M$290*(1+vanilla6)^0.5)/A12stdlife))</f>
        <v>0</v>
      </c>
      <c r="P226" s="73">
        <f>IF(A12stdlife="n/a","n/a",IF(P$3&gt;(A12stdlife+$F226),(Input!$M$290*(1+vanilla6)^0.5)-SUM($M226:O226),(Input!$M$290*(1+vanilla6)^0.5)/A12stdlife))</f>
        <v>0</v>
      </c>
      <c r="Q226" s="73">
        <f>IF(A12stdlife="n/a","n/a",IF(Q$3&gt;(A12stdlife+$F226),(Input!$M$290*(1+vanilla6)^0.5)-SUM($M226:P226),(Input!$M$290*(1+vanilla6)^0.5)/A12stdlife))</f>
        <v>0</v>
      </c>
      <c r="R226" s="73"/>
      <c r="S226" s="107"/>
      <c r="T226" s="107"/>
      <c r="U226" s="107"/>
      <c r="V226" s="107"/>
      <c r="W226" s="107"/>
      <c r="X226" s="107"/>
      <c r="Y226" s="107"/>
      <c r="Z226" s="107"/>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6"/>
      <c r="E227" s="537"/>
      <c r="F227" s="91">
        <v>7</v>
      </c>
      <c r="G227" s="27"/>
      <c r="H227" s="150"/>
      <c r="I227" s="152"/>
      <c r="J227" s="152"/>
      <c r="K227" s="152"/>
      <c r="L227" s="152"/>
      <c r="M227" s="152"/>
      <c r="N227" s="151"/>
      <c r="O227" s="73">
        <f>IF(A12stdlife="n/a","n/a",IF(O$3&gt;(A12stdlife+$F227),(Input!$N$290*(1+vanilla7)^0.5)-SUM($N227:N227),(Input!$N$290*(1+vanilla7)^0.5)/A12stdlife))</f>
        <v>0</v>
      </c>
      <c r="P227" s="73">
        <f>IF(A12stdlife="n/a","n/a",IF(P$3&gt;(A12stdlife+$F227),(Input!$N$290*(1+vanilla7)^0.5)-SUM($N227:O227),(Input!$N$290*(1+vanilla7)^0.5)/A12stdlife))</f>
        <v>0</v>
      </c>
      <c r="Q227" s="73">
        <f>IF(A12stdlife="n/a","n/a",IF(Q$3&gt;(A12stdlife+$F227),(Input!$N$290*(1+vanilla7)^0.5)-SUM($N227:P227),(Input!$N$290*(1+vanilla7)^0.5)/A12stdlife))</f>
        <v>0</v>
      </c>
      <c r="R227" s="73"/>
      <c r="S227" s="107"/>
      <c r="T227" s="107"/>
      <c r="U227" s="107"/>
      <c r="V227" s="107"/>
      <c r="W227" s="107"/>
      <c r="X227" s="107"/>
      <c r="Y227" s="107"/>
      <c r="Z227" s="107"/>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37"/>
      <c r="F228" s="91">
        <v>8</v>
      </c>
      <c r="G228" s="27"/>
      <c r="H228" s="150"/>
      <c r="I228" s="152"/>
      <c r="J228" s="152"/>
      <c r="K228" s="152"/>
      <c r="L228" s="152"/>
      <c r="M228" s="152"/>
      <c r="N228" s="152"/>
      <c r="O228" s="151"/>
      <c r="P228" s="73">
        <f>IF(A12stdlife="n/a","n/a",IF(P$3&gt;(A12stdlife+$F228),(Input!$O$290*(1+vanilla8)^0.5)-SUM($O228:O228),(Input!$O$290*(1+vanilla8)^0.5)/A12stdlife))</f>
        <v>0</v>
      </c>
      <c r="Q228" s="73">
        <f>IF(A12stdlife="n/a","n/a",IF(Q$3&gt;(A12stdlife+$F228),(Input!$O$290*(1+vanilla8)^0.5)-SUM($O228:P228),(Input!$O$290*(1+vanilla8)^0.5)/A12stdlife))</f>
        <v>0</v>
      </c>
      <c r="R228" s="73"/>
      <c r="S228" s="107"/>
      <c r="T228" s="107"/>
      <c r="U228" s="107"/>
      <c r="V228" s="107"/>
      <c r="W228" s="107"/>
      <c r="X228" s="107"/>
      <c r="Y228" s="107"/>
      <c r="Z228" s="107"/>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37"/>
      <c r="F229" s="91">
        <v>9</v>
      </c>
      <c r="G229" s="27"/>
      <c r="H229" s="150"/>
      <c r="I229" s="152"/>
      <c r="J229" s="152"/>
      <c r="K229" s="152"/>
      <c r="L229" s="152"/>
      <c r="M229" s="152"/>
      <c r="N229" s="152"/>
      <c r="O229" s="152"/>
      <c r="P229" s="151"/>
      <c r="Q229" s="73">
        <f>IF(A12stdlife="n/a","n/a",IF(Q$3&gt;(A12stdlife+$F229),(Input!$P$290*(1+vanilla9)^0.5)-SUM($P229:P229),(Input!$P$290*(1+vanilla9)^0.5)/A12stdlife))</f>
        <v>0</v>
      </c>
      <c r="R229" s="73"/>
      <c r="S229" s="107"/>
      <c r="T229" s="107"/>
      <c r="U229" s="107"/>
      <c r="V229" s="107"/>
      <c r="W229" s="107"/>
      <c r="X229" s="107"/>
      <c r="Y229" s="107"/>
      <c r="Z229" s="107"/>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37"/>
      <c r="F230" s="92">
        <v>10</v>
      </c>
      <c r="G230" s="27"/>
      <c r="H230" s="150"/>
      <c r="I230" s="152"/>
      <c r="J230" s="152"/>
      <c r="K230" s="152"/>
      <c r="L230" s="152"/>
      <c r="M230" s="152"/>
      <c r="N230" s="152"/>
      <c r="O230" s="152"/>
      <c r="P230" s="152"/>
      <c r="Q230" s="151"/>
      <c r="R230" s="73"/>
      <c r="S230" s="107"/>
      <c r="T230" s="107"/>
      <c r="U230" s="107"/>
      <c r="V230" s="107"/>
      <c r="W230" s="107"/>
      <c r="X230" s="107"/>
      <c r="Y230" s="107"/>
      <c r="Z230" s="107"/>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9"/>
      <c r="B231" s="9"/>
      <c r="C231" s="9"/>
      <c r="D231" s="272">
        <f>Asset12</f>
        <v>0</v>
      </c>
      <c r="E231" s="9"/>
      <c r="F231" s="9"/>
      <c r="G231" s="125"/>
      <c r="H231" s="166">
        <f>-SUM(H219:H230)</f>
        <v>0</v>
      </c>
      <c r="I231" s="166">
        <f>-SUM(I219:I230)</f>
        <v>0</v>
      </c>
      <c r="J231" s="166">
        <f>-SUM(J219:J230)</f>
        <v>0</v>
      </c>
      <c r="K231" s="166">
        <f>-SUM(K219:K230)</f>
        <v>0</v>
      </c>
      <c r="L231" s="166">
        <f>-SUM(L219:L230)</f>
        <v>0</v>
      </c>
      <c r="M231" s="73">
        <f>IF(COUNT($H231:L231)&gt;=Input!$Y$7,0, -SUM(M219:M230))</f>
        <v>0</v>
      </c>
      <c r="N231" s="73">
        <f>IF(COUNT($H231:M231)&gt;=Input!$Y$7,0, -SUM(N219:N230))</f>
        <v>0</v>
      </c>
      <c r="O231" s="73">
        <f>IF(COUNT($H231:N231)&gt;=Input!$Y$7,0, -SUM(O219:O230))</f>
        <v>0</v>
      </c>
      <c r="P231" s="73">
        <f>IF(COUNT($H231:O231)&gt;=Input!$Y$7,0, -SUM(P219:P230))</f>
        <v>0</v>
      </c>
      <c r="Q231" s="73">
        <f>IF(COUNT($H231:P231)&gt;=Input!$Y$7,0, -SUM(Q219:Q230))</f>
        <v>0</v>
      </c>
      <c r="R231" s="71"/>
      <c r="S231" s="109"/>
      <c r="T231" s="109"/>
      <c r="U231" s="109"/>
      <c r="V231" s="109"/>
      <c r="W231" s="109"/>
      <c r="X231" s="109"/>
      <c r="Y231" s="109"/>
      <c r="Z231" s="109"/>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73">
        <f>Asset13</f>
        <v>0</v>
      </c>
      <c r="D232" s="162"/>
      <c r="E232" s="32" t="s">
        <v>5</v>
      </c>
      <c r="F232" s="31"/>
      <c r="G232" s="181"/>
      <c r="H232" s="72">
        <f>IF(H$3&gt;A13remlife,A13value-$G$642-SUM($G232:G232),IF(A13remlife="N/A","n/a",(A13value-$G$642)/A13remlife))</f>
        <v>0</v>
      </c>
      <c r="I232" s="72">
        <f>IF(I$3&gt;A13remlife,A13value-$G$642-SUM($G232:H232),IF(A13remlife="N/A","n/a",(A13value-$G$642)/A13remlife))</f>
        <v>0</v>
      </c>
      <c r="J232" s="72">
        <f>IF(J$3&gt;A13remlife,A13value-$G$642-SUM($G232:I232),IF(A13remlife="N/A","n/a",(A13value-$G$642)/A13remlife))</f>
        <v>0</v>
      </c>
      <c r="K232" s="72">
        <f>IF(K$3&gt;A13remlife,A13value-$G$642-SUM($G232:J232),IF(A13remlife="N/A","n/a",(A13value-$G$642)/A13remlife))</f>
        <v>0</v>
      </c>
      <c r="L232" s="72">
        <f>IF(L$3&gt;A13remlife,A13value-$G$642-SUM($G232:K232),IF(A13remlife="N/A","n/a",(A13value-$G$642)/A13remlife))</f>
        <v>0</v>
      </c>
      <c r="M232" s="72">
        <f>IF(M$3&gt;A13remlife,A13value-$G$642-SUM($G232:L232),IF(A13remlife="N/A","n/a",(A13value-$G$642)/A13remlife))</f>
        <v>0</v>
      </c>
      <c r="N232" s="72">
        <f>IF(N$3&gt;A13remlife,A13value-$G$642-SUM($G232:M232),IF(A13remlife="N/A","n/a",(A13value-$G$642)/A13remlife))</f>
        <v>0</v>
      </c>
      <c r="O232" s="72">
        <f>IF(O$3&gt;A13remlife,A13value-$G$642-SUM($G232:N232),IF(A13remlife="N/A","n/a",(A13value-$G$642)/A13remlife))</f>
        <v>0</v>
      </c>
      <c r="P232" s="72">
        <f>IF(P$3&gt;A13remlife,A13value-$G$642-SUM($G232:O232),IF(A13remlife="N/A","n/a",(A13value-$G$642)/A13remlife))</f>
        <v>0</v>
      </c>
      <c r="Q232" s="72">
        <f>IF(Q$3&gt;A13remlife,A13value-$G$642-SUM($G232:P232),IF(A13remlife="N/A","n/a",(A13value-$G$642)/A13remlife))</f>
        <v>0</v>
      </c>
      <c r="R232" s="72"/>
      <c r="S232" s="107"/>
      <c r="T232" s="107"/>
      <c r="U232" s="107"/>
      <c r="V232" s="107"/>
      <c r="W232" s="107"/>
      <c r="X232" s="107"/>
      <c r="Y232" s="107"/>
      <c r="Z232" s="107"/>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6"/>
      <c r="E233" s="536" t="s">
        <v>59</v>
      </c>
      <c r="F233" s="91"/>
      <c r="G233" s="125"/>
      <c r="H233" s="73"/>
      <c r="I233" s="73"/>
      <c r="J233" s="73"/>
      <c r="K233" s="73"/>
      <c r="L233" s="73"/>
      <c r="M233" s="164"/>
      <c r="N233" s="116"/>
      <c r="O233" s="73"/>
      <c r="P233" s="73"/>
      <c r="Q233" s="73"/>
      <c r="R233" s="73"/>
      <c r="S233" s="107"/>
      <c r="T233" s="107"/>
      <c r="U233" s="107"/>
      <c r="V233" s="107"/>
      <c r="W233" s="107"/>
      <c r="X233" s="107"/>
      <c r="Y233" s="107"/>
      <c r="Z233" s="107"/>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37"/>
      <c r="F234" s="91">
        <v>1</v>
      </c>
      <c r="G234" s="125"/>
      <c r="H234" s="149"/>
      <c r="I234" s="73">
        <f>IF(A13stdlife="n/a","n/a",IF(I$3&gt;(A13stdlife+$F234),(Input!$H$291*(1+vanilla1)^0.5)-SUM($H234:H234),(Input!$H$291*(1+vanilla1)^0.5)/A13stdlife))</f>
        <v>0</v>
      </c>
      <c r="J234" s="73">
        <f>IF(A13stdlife="n/a","n/a",IF(J$3&gt;(A13stdlife+$F234),(Input!$H$291*(1+vanilla1)^0.5)-SUM($H234:I234),(Input!$H$291*(1+vanilla1)^0.5)/A13stdlife))</f>
        <v>0</v>
      </c>
      <c r="K234" s="73">
        <f>IF(A13stdlife="n/a","n/a",IF(K$3&gt;(A13stdlife+$F234),(Input!$H$291*(1+vanilla1)^0.5)-SUM($H234:J234),(Input!$H$291*(1+vanilla1)^0.5)/A13stdlife))</f>
        <v>0</v>
      </c>
      <c r="L234" s="73">
        <f>IF(A13stdlife="n/a","n/a",IF(L$3&gt;(A13stdlife+$F234),(Input!$H$291*(1+vanilla1)^0.5)-SUM($H234:K234),(Input!$H$291*(1+vanilla1)^0.5)/A13stdlife))</f>
        <v>0</v>
      </c>
      <c r="M234" s="73">
        <f>IF(A13stdlife="n/a","n/a",IF(M$3&gt;(A13stdlife+$F234),(Input!$H$291*(1+vanilla1)^0.5)-SUM($H234:L234),(Input!$H$291*(1+vanilla1)^0.5)/A13stdlife))</f>
        <v>0</v>
      </c>
      <c r="N234" s="73">
        <f>IF(A13stdlife="n/a","n/a",IF(N$3&gt;(A13stdlife+$F234),(Input!$H$291*(1+vanilla1)^0.5)-SUM($H234:M234),(Input!$H$291*(1+vanilla1)^0.5)/A13stdlife))</f>
        <v>0</v>
      </c>
      <c r="O234" s="73">
        <f>IF(A13stdlife="n/a","n/a",IF(O$3&gt;(A13stdlife+$F234),(Input!$H$291*(1+vanilla1)^0.5)-SUM($H234:N234),(Input!$H$291*(1+vanilla1)^0.5)/A13stdlife))</f>
        <v>0</v>
      </c>
      <c r="P234" s="73">
        <f>IF(A13stdlife="n/a","n/a",IF(P$3&gt;(A13stdlife+$F234),(Input!$H$291*(1+vanilla1)^0.5)-SUM($H234:O234),(Input!$H$291*(1+vanilla1)^0.5)/A13stdlife))</f>
        <v>0</v>
      </c>
      <c r="Q234" s="73">
        <f>IF(A13stdlife="n/a","n/a",IF(Q$3&gt;(A13stdlife+$F234),(Input!$H$291*(1+vanilla1)^0.5)-SUM($H234:P234),(Input!$H$291*(1+vanilla1)^0.5)/A13stdlife))</f>
        <v>0</v>
      </c>
      <c r="R234" s="73"/>
      <c r="S234" s="107"/>
      <c r="T234" s="107"/>
      <c r="U234" s="107"/>
      <c r="V234" s="107"/>
      <c r="W234" s="107"/>
      <c r="X234" s="107"/>
      <c r="Y234" s="107"/>
      <c r="Z234" s="107"/>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37"/>
      <c r="F235" s="91">
        <v>2</v>
      </c>
      <c r="G235" s="125"/>
      <c r="H235" s="150"/>
      <c r="I235" s="151"/>
      <c r="J235" s="73">
        <f>IF(A13stdlife="n/a","n/a",IF(J$3&gt;(A13stdlife+$F235),(Input!$I$291*(1+vanilla2)^0.5)-SUM($I235:I235),(Input!$I$291*(1+vanilla2)^0.5)/A13stdlife))</f>
        <v>0</v>
      </c>
      <c r="K235" s="73">
        <f>IF(A13stdlife="n/a","n/a",IF(K$3&gt;(A13stdlife+$F235),(Input!$I$291*(1+vanilla2)^0.5)-SUM($I235:J235),(Input!$I$291*(1+vanilla2)^0.5)/A13stdlife))</f>
        <v>0</v>
      </c>
      <c r="L235" s="73">
        <f>IF(A13stdlife="n/a","n/a",IF(L$3&gt;(A13stdlife+$F235),(Input!$I$291*(1+vanilla2)^0.5)-SUM($I235:K235),(Input!$I$291*(1+vanilla2)^0.5)/A13stdlife))</f>
        <v>0</v>
      </c>
      <c r="M235" s="73">
        <f>IF(A13stdlife="n/a","n/a",IF(M$3&gt;(A13stdlife+$F235),(Input!$I$291*(1+vanilla2)^0.5)-SUM($I235:L235),(Input!$I$291*(1+vanilla2)^0.5)/A13stdlife))</f>
        <v>0</v>
      </c>
      <c r="N235" s="73">
        <f>IF(A13stdlife="n/a","n/a",IF(N$3&gt;(A13stdlife+$F235),(Input!$I$291*(1+vanilla2)^0.5)-SUM($I235:M235),(Input!$I$291*(1+vanilla2)^0.5)/A13stdlife))</f>
        <v>0</v>
      </c>
      <c r="O235" s="73">
        <f>IF(A13stdlife="n/a","n/a",IF(O$3&gt;(A13stdlife+$F235),(Input!$I$291*(1+vanilla2)^0.5)-SUM($I235:N235),(Input!$I$291*(1+vanilla2)^0.5)/A13stdlife))</f>
        <v>0</v>
      </c>
      <c r="P235" s="73">
        <f>IF(A13stdlife="n/a","n/a",IF(P$3&gt;(A13stdlife+$F235),(Input!$I$291*(1+vanilla2)^0.5)-SUM($I235:O235),(Input!$I$291*(1+vanilla2)^0.5)/A13stdlife))</f>
        <v>0</v>
      </c>
      <c r="Q235" s="73">
        <f>IF(A13stdlife="n/a","n/a",IF(Q$3&gt;(A13stdlife+$F235),(Input!$I$291*(1+vanilla2)^0.5)-SUM($I235:P235),(Input!$I$291*(1+vanilla2)^0.5)/A13stdlife))</f>
        <v>0</v>
      </c>
      <c r="R235" s="73"/>
      <c r="S235" s="107"/>
      <c r="T235" s="107"/>
      <c r="U235" s="107"/>
      <c r="V235" s="107"/>
      <c r="W235" s="107"/>
      <c r="X235" s="107"/>
      <c r="Y235" s="107"/>
      <c r="Z235" s="107"/>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37"/>
      <c r="F236" s="91">
        <v>3</v>
      </c>
      <c r="G236" s="125"/>
      <c r="H236" s="150"/>
      <c r="I236" s="152"/>
      <c r="J236" s="151"/>
      <c r="K236" s="73">
        <f>IF(A13stdlife="n/a","n/a",IF(K$3&gt;(A13stdlife+$F236),(Input!$J$291*(1+vanilla3)^0.5)-SUM($J236:J236),(Input!$J$291*(1+vanilla3)^0.5)/A13stdlife))</f>
        <v>0</v>
      </c>
      <c r="L236" s="73">
        <f>IF(A13stdlife="n/a","n/a",IF(L$3&gt;(A13stdlife+$F236),(Input!$J$291*(1+vanilla3)^0.5)-SUM($J236:K236),(Input!$J$291*(1+vanilla3)^0.5)/A13stdlife))</f>
        <v>0</v>
      </c>
      <c r="M236" s="73">
        <f>IF(A13stdlife="n/a","n/a",IF(M$3&gt;(A13stdlife+$F236),(Input!$J$291*(1+vanilla3)^0.5)-SUM($J236:L236),(Input!$J$291*(1+vanilla3)^0.5)/A13stdlife))</f>
        <v>0</v>
      </c>
      <c r="N236" s="73">
        <f>IF(A13stdlife="n/a","n/a",IF(N$3&gt;(A13stdlife+$F236),(Input!$J$291*(1+vanilla3)^0.5)-SUM($J236:M236),(Input!$J$291*(1+vanilla3)^0.5)/A13stdlife))</f>
        <v>0</v>
      </c>
      <c r="O236" s="73">
        <f>IF(A13stdlife="n/a","n/a",IF(O$3&gt;(A13stdlife+$F236),(Input!$J$291*(1+vanilla3)^0.5)-SUM($J236:N236),(Input!$J$291*(1+vanilla3)^0.5)/A13stdlife))</f>
        <v>0</v>
      </c>
      <c r="P236" s="73">
        <f>IF(A13stdlife="n/a","n/a",IF(P$3&gt;(A13stdlife+$F236),(Input!$J$291*(1+vanilla3)^0.5)-SUM($J236:O236),(Input!$J$291*(1+vanilla3)^0.5)/A13stdlife))</f>
        <v>0</v>
      </c>
      <c r="Q236" s="73">
        <f>IF(A13stdlife="n/a","n/a",IF(Q$3&gt;(A13stdlife+$F236),(Input!$J$291*(1+vanilla3)^0.5)-SUM($J236:P236),(Input!$J$291*(1+vanilla3)^0.5)/A13stdlife))</f>
        <v>0</v>
      </c>
      <c r="R236" s="73"/>
      <c r="S236" s="107"/>
      <c r="T236" s="107"/>
      <c r="U236" s="107"/>
      <c r="V236" s="107"/>
      <c r="W236" s="107"/>
      <c r="X236" s="107"/>
      <c r="Y236" s="107"/>
      <c r="Z236" s="107"/>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37"/>
      <c r="F237" s="91">
        <v>4</v>
      </c>
      <c r="G237" s="125"/>
      <c r="H237" s="150"/>
      <c r="I237" s="152"/>
      <c r="J237" s="152"/>
      <c r="K237" s="151"/>
      <c r="L237" s="73">
        <f>IF(A13stdlife="n/a","n/a",IF(L$3&gt;(A13stdlife+$F237),(Input!$K$291*(1+vanilla4)^0.5)-SUM($K237:K237),(Input!$K$291*(1+vanilla4)^0.5)/A13stdlife))</f>
        <v>0</v>
      </c>
      <c r="M237" s="73">
        <f>IF(A13stdlife="n/a","n/a",IF(M$3&gt;(A13stdlife+$F237),(Input!$K$291*(1+vanilla4)^0.5)-SUM($K237:L237),(Input!$K$291*(1+vanilla4)^0.5)/A13stdlife))</f>
        <v>0</v>
      </c>
      <c r="N237" s="73">
        <f>IF(A13stdlife="n/a","n/a",IF(N$3&gt;(A13stdlife+$F237),(Input!$K$291*(1+vanilla4)^0.5)-SUM($K237:M237),(Input!$K$291*(1+vanilla4)^0.5)/A13stdlife))</f>
        <v>0</v>
      </c>
      <c r="O237" s="73">
        <f>IF(A13stdlife="n/a","n/a",IF(O$3&gt;(A13stdlife+$F237),(Input!$K$291*(1+vanilla4)^0.5)-SUM($K237:N237),(Input!$K$291*(1+vanilla4)^0.5)/A13stdlife))</f>
        <v>0</v>
      </c>
      <c r="P237" s="73">
        <f>IF(A13stdlife="n/a","n/a",IF(P$3&gt;(A13stdlife+$F237),(Input!$K$291*(1+vanilla4)^0.5)-SUM($K237:O237),(Input!$K$291*(1+vanilla4)^0.5)/A13stdlife))</f>
        <v>0</v>
      </c>
      <c r="Q237" s="73">
        <f>IF(A13stdlife="n/a","n/a",IF(Q$3&gt;(A13stdlife+$F237),(Input!$K$291*(1+vanilla4)^0.5)-SUM($K237:P237),(Input!$K$291*(1+vanilla4)^0.5)/A13stdlife))</f>
        <v>0</v>
      </c>
      <c r="R237" s="73"/>
      <c r="S237" s="107"/>
      <c r="T237" s="107"/>
      <c r="U237" s="107"/>
      <c r="V237" s="107"/>
      <c r="W237" s="107"/>
      <c r="X237" s="107"/>
      <c r="Y237" s="107"/>
      <c r="Z237" s="107"/>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6"/>
      <c r="E238" s="537"/>
      <c r="F238" s="91">
        <v>5</v>
      </c>
      <c r="G238" s="27"/>
      <c r="H238" s="150"/>
      <c r="I238" s="152"/>
      <c r="J238" s="152"/>
      <c r="K238" s="152"/>
      <c r="L238" s="151"/>
      <c r="M238" s="73">
        <f>IF(A13stdlife="n/a","n/a",IF(M$3&gt;(A13stdlife+$F238),(Input!$L$291*(1+vanilla5)^0.5)-SUM($L238:L238),(Input!$L$291*(1+vanilla5)^0.5)/A13stdlife))</f>
        <v>0</v>
      </c>
      <c r="N238" s="73">
        <f>IF(A13stdlife="n/a","n/a",IF(N$3&gt;(A13stdlife+$F238),(Input!$L$291*(1+vanilla5)^0.5)-SUM($L238:M238),(Input!$L$291*(1+vanilla5)^0.5)/A13stdlife))</f>
        <v>0</v>
      </c>
      <c r="O238" s="73">
        <f>IF(A13stdlife="n/a","n/a",IF(O$3&gt;(A13stdlife+$F238),(Input!$L$291*(1+vanilla5)^0.5)-SUM($L238:N238),(Input!$L$291*(1+vanilla5)^0.5)/A13stdlife))</f>
        <v>0</v>
      </c>
      <c r="P238" s="73">
        <f>IF(A13stdlife="n/a","n/a",IF(P$3&gt;(A13stdlife+$F238),(Input!$L$291*(1+vanilla5)^0.5)-SUM($L238:O238),(Input!$L$291*(1+vanilla5)^0.5)/A13stdlife))</f>
        <v>0</v>
      </c>
      <c r="Q238" s="73">
        <f>IF(A13stdlife="n/a","n/a",IF(Q$3&gt;(A13stdlife+$F238),(Input!$L$291*(1+vanilla5)^0.5)-SUM($L238:P238),(Input!$L$291*(1+vanilla5)^0.5)/A13stdlife))</f>
        <v>0</v>
      </c>
      <c r="R238" s="73"/>
      <c r="S238" s="107"/>
      <c r="T238" s="107"/>
      <c r="U238" s="107"/>
      <c r="V238" s="107"/>
      <c r="W238" s="107"/>
      <c r="X238" s="107"/>
      <c r="Y238" s="107"/>
      <c r="Z238" s="107"/>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6"/>
      <c r="E239" s="537"/>
      <c r="F239" s="91">
        <v>6</v>
      </c>
      <c r="G239" s="27"/>
      <c r="H239" s="150"/>
      <c r="I239" s="152"/>
      <c r="J239" s="152"/>
      <c r="K239" s="152"/>
      <c r="L239" s="152"/>
      <c r="M239" s="151"/>
      <c r="N239" s="73">
        <f>IF(A13stdlife="n/a","n/a",IF(N$3&gt;(A13stdlife+$F239),(Input!$M$291*(1+vanilla6)^0.5)-SUM($M239:M239),(Input!$M$291*(1+vanilla6)^0.5)/A13stdlife))</f>
        <v>0</v>
      </c>
      <c r="O239" s="73">
        <f>IF(A13stdlife="n/a","n/a",IF(O$3&gt;(A13stdlife+$F239),(Input!$M$291*(1+vanilla6)^0.5)-SUM($M239:N239),(Input!$M$291*(1+vanilla6)^0.5)/A13stdlife))</f>
        <v>0</v>
      </c>
      <c r="P239" s="73">
        <f>IF(A13stdlife="n/a","n/a",IF(P$3&gt;(A13stdlife+$F239),(Input!$M$291*(1+vanilla6)^0.5)-SUM($M239:O239),(Input!$M$291*(1+vanilla6)^0.5)/A13stdlife))</f>
        <v>0</v>
      </c>
      <c r="Q239" s="73">
        <f>IF(A13stdlife="n/a","n/a",IF(Q$3&gt;(A13stdlife+$F239),(Input!$M$291*(1+vanilla6)^0.5)-SUM($M239:P239),(Input!$M$291*(1+vanilla6)^0.5)/A13stdlife))</f>
        <v>0</v>
      </c>
      <c r="R239" s="73"/>
      <c r="S239" s="107"/>
      <c r="T239" s="107"/>
      <c r="U239" s="107"/>
      <c r="V239" s="107"/>
      <c r="W239" s="107"/>
      <c r="X239" s="107"/>
      <c r="Y239" s="107"/>
      <c r="Z239" s="107"/>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6"/>
      <c r="E240" s="537"/>
      <c r="F240" s="91">
        <v>7</v>
      </c>
      <c r="G240" s="27"/>
      <c r="H240" s="150"/>
      <c r="I240" s="152"/>
      <c r="J240" s="152"/>
      <c r="K240" s="152"/>
      <c r="L240" s="152"/>
      <c r="M240" s="152"/>
      <c r="N240" s="151"/>
      <c r="O240" s="73">
        <f>IF(A13stdlife="n/a","n/a",IF(O$3&gt;(A13stdlife+$F240),(Input!$N$291*(1+vanilla7)^0.5)-SUM($N240:N240),(Input!$N$291*(1+vanilla7)^0.5)/A13stdlife))</f>
        <v>0</v>
      </c>
      <c r="P240" s="73">
        <f>IF(A13stdlife="n/a","n/a",IF(P$3&gt;(A13stdlife+$F240),(Input!$N$291*(1+vanilla7)^0.5)-SUM($N240:O240),(Input!$N$291*(1+vanilla7)^0.5)/A13stdlife))</f>
        <v>0</v>
      </c>
      <c r="Q240" s="73">
        <f>IF(A13stdlife="n/a","n/a",IF(Q$3&gt;(A13stdlife+$F240),(Input!$N$291*(1+vanilla7)^0.5)-SUM($N240:P240),(Input!$N$291*(1+vanilla7)^0.5)/A13stdlife))</f>
        <v>0</v>
      </c>
      <c r="R240" s="73"/>
      <c r="S240" s="107"/>
      <c r="T240" s="107"/>
      <c r="U240" s="107"/>
      <c r="V240" s="107"/>
      <c r="W240" s="107"/>
      <c r="X240" s="107"/>
      <c r="Y240" s="107"/>
      <c r="Z240" s="107"/>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37"/>
      <c r="F241" s="91">
        <v>8</v>
      </c>
      <c r="G241" s="27"/>
      <c r="H241" s="150"/>
      <c r="I241" s="152"/>
      <c r="J241" s="152"/>
      <c r="K241" s="152"/>
      <c r="L241" s="152"/>
      <c r="M241" s="152"/>
      <c r="N241" s="152"/>
      <c r="O241" s="151"/>
      <c r="P241" s="73">
        <f>IF(A13stdlife="n/a","n/a",IF(P$3&gt;(A13stdlife+$F241),(Input!$O$291*(1+vanilla8)^0.5)-SUM($O241:O241),(Input!$O$291*(1+vanilla8)^0.5)/A13stdlife))</f>
        <v>0</v>
      </c>
      <c r="Q241" s="73">
        <f>IF(A13stdlife="n/a","n/a",IF(Q$3&gt;(A13stdlife+$F241),(Input!$O$291*(1+vanilla8)^0.5)-SUM($O241:P241),(Input!$O$291*(1+vanilla8)^0.5)/A13stdlife))</f>
        <v>0</v>
      </c>
      <c r="R241" s="73"/>
      <c r="S241" s="107"/>
      <c r="T241" s="107"/>
      <c r="U241" s="107"/>
      <c r="V241" s="107"/>
      <c r="W241" s="107"/>
      <c r="X241" s="107"/>
      <c r="Y241" s="107"/>
      <c r="Z241" s="107"/>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37"/>
      <c r="F242" s="91">
        <v>9</v>
      </c>
      <c r="G242" s="27"/>
      <c r="H242" s="150"/>
      <c r="I242" s="152"/>
      <c r="J242" s="152"/>
      <c r="K242" s="152"/>
      <c r="L242" s="152"/>
      <c r="M242" s="152"/>
      <c r="N242" s="152"/>
      <c r="O242" s="152"/>
      <c r="P242" s="151"/>
      <c r="Q242" s="73">
        <f>IF(A13stdlife="n/a","n/a",IF(Q$3&gt;(A13stdlife+$F242),(Input!$P$291*(1+vanilla9)^0.5)-SUM($P242:P242),(Input!$P$291*(1+vanilla9)^0.5)/A13stdlife))</f>
        <v>0</v>
      </c>
      <c r="R242" s="73"/>
      <c r="S242" s="107"/>
      <c r="T242" s="107"/>
      <c r="U242" s="107"/>
      <c r="V242" s="107"/>
      <c r="W242" s="107"/>
      <c r="X242" s="107"/>
      <c r="Y242" s="107"/>
      <c r="Z242" s="107"/>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37"/>
      <c r="F243" s="92">
        <v>10</v>
      </c>
      <c r="G243" s="27"/>
      <c r="H243" s="150"/>
      <c r="I243" s="152"/>
      <c r="J243" s="152"/>
      <c r="K243" s="152"/>
      <c r="L243" s="152"/>
      <c r="M243" s="152"/>
      <c r="N243" s="152"/>
      <c r="O243" s="152"/>
      <c r="P243" s="152"/>
      <c r="Q243" s="151"/>
      <c r="R243" s="73"/>
      <c r="S243" s="107"/>
      <c r="T243" s="107"/>
      <c r="U243" s="107"/>
      <c r="V243" s="107"/>
      <c r="W243" s="107"/>
      <c r="X243" s="107"/>
      <c r="Y243" s="107"/>
      <c r="Z243" s="107"/>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9"/>
      <c r="B244" s="9"/>
      <c r="C244" s="9"/>
      <c r="D244" s="272">
        <f>Asset13</f>
        <v>0</v>
      </c>
      <c r="E244" s="9"/>
      <c r="F244" s="9"/>
      <c r="G244" s="125"/>
      <c r="H244" s="166">
        <f>-SUM(H232:H243)</f>
        <v>0</v>
      </c>
      <c r="I244" s="166">
        <f>-SUM(I232:I243)</f>
        <v>0</v>
      </c>
      <c r="J244" s="166">
        <f>-SUM(J232:J243)</f>
        <v>0</v>
      </c>
      <c r="K244" s="166">
        <f>-SUM(K232:K243)</f>
        <v>0</v>
      </c>
      <c r="L244" s="166">
        <f>-SUM(L232:L243)</f>
        <v>0</v>
      </c>
      <c r="M244" s="73">
        <f>IF(COUNT($H244:L244)&gt;=Input!$Y$7,0, -SUM(M232:M243))</f>
        <v>0</v>
      </c>
      <c r="N244" s="73">
        <f>IF(COUNT($H244:M244)&gt;=Input!$Y$7,0, -SUM(N232:N243))</f>
        <v>0</v>
      </c>
      <c r="O244" s="73">
        <f>IF(COUNT($H244:N244)&gt;=Input!$Y$7,0, -SUM(O232:O243))</f>
        <v>0</v>
      </c>
      <c r="P244" s="73">
        <f>IF(COUNT($H244:O244)&gt;=Input!$Y$7,0, -SUM(P232:P243))</f>
        <v>0</v>
      </c>
      <c r="Q244" s="73">
        <f>IF(COUNT($H244:P244)&gt;=Input!$Y$7,0, -SUM(Q232:Q243))</f>
        <v>0</v>
      </c>
      <c r="R244" s="71"/>
      <c r="S244" s="109"/>
      <c r="T244" s="109"/>
      <c r="U244" s="109"/>
      <c r="V244" s="109"/>
      <c r="W244" s="109"/>
      <c r="X244" s="109"/>
      <c r="Y244" s="109"/>
      <c r="Z244" s="109"/>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236"/>
      <c r="AX244" s="236"/>
      <c r="AY244" s="236"/>
      <c r="AZ244" s="236"/>
      <c r="BA244" s="236"/>
      <c r="BB244" s="236"/>
      <c r="BC244" s="236"/>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73">
        <f>Asset14</f>
        <v>0</v>
      </c>
      <c r="D245" s="162"/>
      <c r="E245" s="32" t="s">
        <v>5</v>
      </c>
      <c r="F245" s="31"/>
      <c r="G245" s="181"/>
      <c r="H245" s="72">
        <f>IF(H$3&gt;A14remlife,A14value-$G$643-SUM($G245:G245),IF(A14remlife="N/A","n/a",(A14value-$G$643)/A14remlife))</f>
        <v>0</v>
      </c>
      <c r="I245" s="72">
        <f>IF(I$3&gt;A14remlife,A14value-$G$643-SUM($G245:H245),IF(A14remlife="N/A","n/a",(A14value-$G$643)/A14remlife))</f>
        <v>0</v>
      </c>
      <c r="J245" s="72">
        <f>IF(J$3&gt;A14remlife,A14value-$G$643-SUM($G245:I245),IF(A14remlife="N/A","n/a",(A14value-$G$643)/A14remlife))</f>
        <v>0</v>
      </c>
      <c r="K245" s="72">
        <f>IF(K$3&gt;A14remlife,A14value-$G$643-SUM($G245:J245),IF(A14remlife="N/A","n/a",(A14value-$G$643)/A14remlife))</f>
        <v>0</v>
      </c>
      <c r="L245" s="72">
        <f>IF(L$3&gt;A14remlife,A14value-$G$643-SUM($G245:K245),IF(A14remlife="N/A","n/a",(A14value-$G$643)/A14remlife))</f>
        <v>0</v>
      </c>
      <c r="M245" s="72">
        <f>IF(M$3&gt;A14remlife,A14value-$G$643-SUM($G245:L245),IF(A14remlife="N/A","n/a",(A14value-$G$643)/A14remlife))</f>
        <v>0</v>
      </c>
      <c r="N245" s="72">
        <f>IF(N$3&gt;A14remlife,A14value-$G$643-SUM($G245:M245),IF(A14remlife="N/A","n/a",(A14value-$G$643)/A14remlife))</f>
        <v>0</v>
      </c>
      <c r="O245" s="72">
        <f>IF(O$3&gt;A14remlife,A14value-$G$643-SUM($G245:N245),IF(A14remlife="N/A","n/a",(A14value-$G$643)/A14remlife))</f>
        <v>0</v>
      </c>
      <c r="P245" s="72">
        <f>IF(P$3&gt;A14remlife,A14value-$G$643-SUM($G245:O245),IF(A14remlife="N/A","n/a",(A14value-$G$643)/A14remlife))</f>
        <v>0</v>
      </c>
      <c r="Q245" s="72">
        <f>IF(Q$3&gt;A14remlife,A14value-$G$643-SUM($G245:P245),IF(A14remlife="N/A","n/a",(A14value-$G$643)/A14remlife))</f>
        <v>0</v>
      </c>
      <c r="R245" s="72"/>
      <c r="S245" s="107"/>
      <c r="T245" s="107"/>
      <c r="U245" s="107"/>
      <c r="V245" s="107"/>
      <c r="W245" s="107"/>
      <c r="X245" s="107"/>
      <c r="Y245" s="107"/>
      <c r="Z245" s="107"/>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6"/>
      <c r="E246" s="536" t="s">
        <v>59</v>
      </c>
      <c r="F246" s="91"/>
      <c r="G246" s="125"/>
      <c r="H246" s="73"/>
      <c r="I246" s="73"/>
      <c r="J246" s="73"/>
      <c r="K246" s="73"/>
      <c r="L246" s="73"/>
      <c r="M246" s="164"/>
      <c r="N246" s="116"/>
      <c r="O246" s="73"/>
      <c r="P246" s="73"/>
      <c r="Q246" s="73"/>
      <c r="R246" s="73"/>
      <c r="S246" s="107"/>
      <c r="T246" s="107"/>
      <c r="U246" s="107"/>
      <c r="V246" s="107"/>
      <c r="W246" s="107"/>
      <c r="X246" s="107"/>
      <c r="Y246" s="107"/>
      <c r="Z246" s="107"/>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37"/>
      <c r="F247" s="91">
        <v>1</v>
      </c>
      <c r="G247" s="125"/>
      <c r="H247" s="149"/>
      <c r="I247" s="73">
        <f>IF(A14stdlife="n/a","n/a",IF(I$3&gt;(A14stdlife+$F247),(Input!$H$292*(1+vanilla1)^0.5)-SUM($H247:H247),(Input!$H$292*(1+vanilla1)^0.5)/A14stdlife))</f>
        <v>0</v>
      </c>
      <c r="J247" s="73">
        <f>IF(A14stdlife="n/a","n/a",IF(J$3&gt;(A14stdlife+$F247),(Input!$H$292*(1+vanilla1)^0.5)-SUM($H247:I247),(Input!$H$292*(1+vanilla1)^0.5)/A14stdlife))</f>
        <v>0</v>
      </c>
      <c r="K247" s="73">
        <f>IF(A14stdlife="n/a","n/a",IF(K$3&gt;(A14stdlife+$F247),(Input!$H$292*(1+vanilla1)^0.5)-SUM($H247:J247),(Input!$H$292*(1+vanilla1)^0.5)/A14stdlife))</f>
        <v>0</v>
      </c>
      <c r="L247" s="73">
        <f>IF(A14stdlife="n/a","n/a",IF(L$3&gt;(A14stdlife+$F247),(Input!$H$292*(1+vanilla1)^0.5)-SUM($H247:K247),(Input!$H$292*(1+vanilla1)^0.5)/A14stdlife))</f>
        <v>0</v>
      </c>
      <c r="M247" s="73">
        <f>IF(A14stdlife="n/a","n/a",IF(M$3&gt;(A14stdlife+$F247),(Input!$H$292*(1+vanilla1)^0.5)-SUM($H247:L247),(Input!$H$292*(1+vanilla1)^0.5)/A14stdlife))</f>
        <v>0</v>
      </c>
      <c r="N247" s="73">
        <f>IF(A14stdlife="n/a","n/a",IF(N$3&gt;(A14stdlife+$F247),(Input!$H$292*(1+vanilla1)^0.5)-SUM($H247:M247),(Input!$H$292*(1+vanilla1)^0.5)/A14stdlife))</f>
        <v>0</v>
      </c>
      <c r="O247" s="73">
        <f>IF(A14stdlife="n/a","n/a",IF(O$3&gt;(A14stdlife+$F247),(Input!$H$292*(1+vanilla1)^0.5)-SUM($H247:N247),(Input!$H$292*(1+vanilla1)^0.5)/A14stdlife))</f>
        <v>0</v>
      </c>
      <c r="P247" s="73">
        <f>IF(A14stdlife="n/a","n/a",IF(P$3&gt;(A14stdlife+$F247),(Input!$H$292*(1+vanilla1)^0.5)-SUM($H247:O247),(Input!$H$292*(1+vanilla1)^0.5)/A14stdlife))</f>
        <v>0</v>
      </c>
      <c r="Q247" s="73">
        <f>IF(A14stdlife="n/a","n/a",IF(Q$3&gt;(A14stdlife+$F247),(Input!$H$292*(1+vanilla1)^0.5)-SUM($H247:P247),(Input!$H$292*(1+vanilla1)^0.5)/A14stdlife))</f>
        <v>0</v>
      </c>
      <c r="R247" s="73"/>
      <c r="S247" s="107"/>
      <c r="T247" s="107"/>
      <c r="U247" s="107"/>
      <c r="V247" s="107"/>
      <c r="W247" s="107"/>
      <c r="X247" s="107"/>
      <c r="Y247" s="107"/>
      <c r="Z247" s="107"/>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37"/>
      <c r="F248" s="91">
        <v>2</v>
      </c>
      <c r="G248" s="125"/>
      <c r="H248" s="150"/>
      <c r="I248" s="151"/>
      <c r="J248" s="73">
        <f>IF(A14stdlife="n/a","n/a",IF(J$3&gt;(A14stdlife+$F248),(Input!$I$292*(1+vanilla2)^0.5)-SUM($I248:I248),(Input!$I$292*(1+vanilla2)^0.5)/A14stdlife))</f>
        <v>0</v>
      </c>
      <c r="K248" s="73">
        <f>IF(A14stdlife="n/a","n/a",IF(K$3&gt;(A14stdlife+$F248),(Input!$I$292*(1+vanilla2)^0.5)-SUM($I248:J248),(Input!$I$292*(1+vanilla2)^0.5)/A14stdlife))</f>
        <v>0</v>
      </c>
      <c r="L248" s="73">
        <f>IF(A14stdlife="n/a","n/a",IF(L$3&gt;(A14stdlife+$F248),(Input!$I$292*(1+vanilla2)^0.5)-SUM($I248:K248),(Input!$I$292*(1+vanilla2)^0.5)/A14stdlife))</f>
        <v>0</v>
      </c>
      <c r="M248" s="73">
        <f>IF(A14stdlife="n/a","n/a",IF(M$3&gt;(A14stdlife+$F248),(Input!$I$292*(1+vanilla2)^0.5)-SUM($I248:L248),(Input!$I$292*(1+vanilla2)^0.5)/A14stdlife))</f>
        <v>0</v>
      </c>
      <c r="N248" s="73">
        <f>IF(A14stdlife="n/a","n/a",IF(N$3&gt;(A14stdlife+$F248),(Input!$I$292*(1+vanilla2)^0.5)-SUM($I248:M248),(Input!$I$292*(1+vanilla2)^0.5)/A14stdlife))</f>
        <v>0</v>
      </c>
      <c r="O248" s="73">
        <f>IF(A14stdlife="n/a","n/a",IF(O$3&gt;(A14stdlife+$F248),(Input!$I$292*(1+vanilla2)^0.5)-SUM($I248:N248),(Input!$I$292*(1+vanilla2)^0.5)/A14stdlife))</f>
        <v>0</v>
      </c>
      <c r="P248" s="73">
        <f>IF(A14stdlife="n/a","n/a",IF(P$3&gt;(A14stdlife+$F248),(Input!$I$292*(1+vanilla2)^0.5)-SUM($I248:O248),(Input!$I$292*(1+vanilla2)^0.5)/A14stdlife))</f>
        <v>0</v>
      </c>
      <c r="Q248" s="73">
        <f>IF(A14stdlife="n/a","n/a",IF(Q$3&gt;(A14stdlife+$F248),(Input!$I$292*(1+vanilla2)^0.5)-SUM($I248:P248),(Input!$I$292*(1+vanilla2)^0.5)/A14stdlife))</f>
        <v>0</v>
      </c>
      <c r="R248" s="73"/>
      <c r="S248" s="107"/>
      <c r="T248" s="107"/>
      <c r="U248" s="107"/>
      <c r="V248" s="107"/>
      <c r="W248" s="107"/>
      <c r="X248" s="107"/>
      <c r="Y248" s="107"/>
      <c r="Z248" s="107"/>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37"/>
      <c r="F249" s="91">
        <v>3</v>
      </c>
      <c r="G249" s="125"/>
      <c r="H249" s="150"/>
      <c r="I249" s="152"/>
      <c r="J249" s="151"/>
      <c r="K249" s="73">
        <f>IF(A14stdlife="n/a","n/a",IF(K$3&gt;(A14stdlife+$F249),(Input!$J$292*(1+vanilla3)^0.5)-SUM($J249:J249),(Input!$J$292*(1+vanilla3)^0.5)/A14stdlife))</f>
        <v>0</v>
      </c>
      <c r="L249" s="73">
        <f>IF(A14stdlife="n/a","n/a",IF(L$3&gt;(A14stdlife+$F249),(Input!$J$292*(1+vanilla3)^0.5)-SUM($J249:K249),(Input!$J$292*(1+vanilla3)^0.5)/A14stdlife))</f>
        <v>0</v>
      </c>
      <c r="M249" s="73">
        <f>IF(A14stdlife="n/a","n/a",IF(M$3&gt;(A14stdlife+$F249),(Input!$J$292*(1+vanilla3)^0.5)-SUM($J249:L249),(Input!$J$292*(1+vanilla3)^0.5)/A14stdlife))</f>
        <v>0</v>
      </c>
      <c r="N249" s="73">
        <f>IF(A14stdlife="n/a","n/a",IF(N$3&gt;(A14stdlife+$F249),(Input!$J$292*(1+vanilla3)^0.5)-SUM($J249:M249),(Input!$J$292*(1+vanilla3)^0.5)/A14stdlife))</f>
        <v>0</v>
      </c>
      <c r="O249" s="73">
        <f>IF(A14stdlife="n/a","n/a",IF(O$3&gt;(A14stdlife+$F249),(Input!$J$292*(1+vanilla3)^0.5)-SUM($J249:N249),(Input!$J$292*(1+vanilla3)^0.5)/A14stdlife))</f>
        <v>0</v>
      </c>
      <c r="P249" s="73">
        <f>IF(A14stdlife="n/a","n/a",IF(P$3&gt;(A14stdlife+$F249),(Input!$J$292*(1+vanilla3)^0.5)-SUM($J249:O249),(Input!$J$292*(1+vanilla3)^0.5)/A14stdlife))</f>
        <v>0</v>
      </c>
      <c r="Q249" s="73">
        <f>IF(A14stdlife="n/a","n/a",IF(Q$3&gt;(A14stdlife+$F249),(Input!$J$292*(1+vanilla3)^0.5)-SUM($J249:P249),(Input!$J$292*(1+vanilla3)^0.5)/A14stdlife))</f>
        <v>0</v>
      </c>
      <c r="R249" s="73"/>
      <c r="S249" s="107"/>
      <c r="T249" s="107"/>
      <c r="U249" s="107"/>
      <c r="V249" s="107"/>
      <c r="W249" s="107"/>
      <c r="X249" s="107"/>
      <c r="Y249" s="107"/>
      <c r="Z249" s="107"/>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37"/>
      <c r="F250" s="91">
        <v>4</v>
      </c>
      <c r="G250" s="125"/>
      <c r="H250" s="150"/>
      <c r="I250" s="152"/>
      <c r="J250" s="152"/>
      <c r="K250" s="151"/>
      <c r="L250" s="73">
        <f>IF(A14stdlife="n/a","n/a",IF(L$3&gt;(A14stdlife+$F250),(Input!$K$292*(1+vanilla4)^0.5)-SUM($K250:K250),(Input!$K$292*(1+vanilla4)^0.5)/A14stdlife))</f>
        <v>0</v>
      </c>
      <c r="M250" s="73">
        <f>IF(A14stdlife="n/a","n/a",IF(M$3&gt;(A14stdlife+$F250),(Input!$K$292*(1+vanilla4)^0.5)-SUM($K250:L250),(Input!$K$292*(1+vanilla4)^0.5)/A14stdlife))</f>
        <v>0</v>
      </c>
      <c r="N250" s="73">
        <f>IF(A14stdlife="n/a","n/a",IF(N$3&gt;(A14stdlife+$F250),(Input!$K$292*(1+vanilla4)^0.5)-SUM($K250:M250),(Input!$K$292*(1+vanilla4)^0.5)/A14stdlife))</f>
        <v>0</v>
      </c>
      <c r="O250" s="73">
        <f>IF(A14stdlife="n/a","n/a",IF(O$3&gt;(A14stdlife+$F250),(Input!$K$292*(1+vanilla4)^0.5)-SUM($K250:N250),(Input!$K$292*(1+vanilla4)^0.5)/A14stdlife))</f>
        <v>0</v>
      </c>
      <c r="P250" s="73">
        <f>IF(A14stdlife="n/a","n/a",IF(P$3&gt;(A14stdlife+$F250),(Input!$K$292*(1+vanilla4)^0.5)-SUM($K250:O250),(Input!$K$292*(1+vanilla4)^0.5)/A14stdlife))</f>
        <v>0</v>
      </c>
      <c r="Q250" s="73">
        <f>IF(A14stdlife="n/a","n/a",IF(Q$3&gt;(A14stdlife+$F250),(Input!$K$292*(1+vanilla4)^0.5)-SUM($K250:P250),(Input!$K$292*(1+vanilla4)^0.5)/A14stdlife))</f>
        <v>0</v>
      </c>
      <c r="R250" s="73"/>
      <c r="S250" s="107"/>
      <c r="T250" s="107"/>
      <c r="U250" s="107"/>
      <c r="V250" s="107"/>
      <c r="W250" s="107"/>
      <c r="X250" s="107"/>
      <c r="Y250" s="107"/>
      <c r="Z250" s="107"/>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6"/>
      <c r="E251" s="537"/>
      <c r="F251" s="91">
        <v>5</v>
      </c>
      <c r="G251" s="27"/>
      <c r="H251" s="150"/>
      <c r="I251" s="152"/>
      <c r="J251" s="152"/>
      <c r="K251" s="152"/>
      <c r="L251" s="151"/>
      <c r="M251" s="73">
        <f>IF(A14stdlife="n/a","n/a",IF(M$3&gt;(A14stdlife+$F251),(Input!$L$292*(1+vanilla5)^0.5)-SUM($L251:L251),(Input!$L$292*(1+vanilla5)^0.5)/A14stdlife))</f>
        <v>0</v>
      </c>
      <c r="N251" s="73">
        <f>IF(A14stdlife="n/a","n/a",IF(N$3&gt;(A14stdlife+$F251),(Input!$L$292*(1+vanilla5)^0.5)-SUM($L251:M251),(Input!$L$292*(1+vanilla5)^0.5)/A14stdlife))</f>
        <v>0</v>
      </c>
      <c r="O251" s="73">
        <f>IF(A14stdlife="n/a","n/a",IF(O$3&gt;(A14stdlife+$F251),(Input!$L$292*(1+vanilla5)^0.5)-SUM($L251:N251),(Input!$L$292*(1+vanilla5)^0.5)/A14stdlife))</f>
        <v>0</v>
      </c>
      <c r="P251" s="73">
        <f>IF(A14stdlife="n/a","n/a",IF(P$3&gt;(A14stdlife+$F251),(Input!$L$292*(1+vanilla5)^0.5)-SUM($L251:O251),(Input!$L$292*(1+vanilla5)^0.5)/A14stdlife))</f>
        <v>0</v>
      </c>
      <c r="Q251" s="73">
        <f>IF(A14stdlife="n/a","n/a",IF(Q$3&gt;(A14stdlife+$F251),(Input!$L$292*(1+vanilla5)^0.5)-SUM($L251:P251),(Input!$L$292*(1+vanilla5)^0.5)/A14stdlife))</f>
        <v>0</v>
      </c>
      <c r="R251" s="73"/>
      <c r="S251" s="107"/>
      <c r="T251" s="107"/>
      <c r="U251" s="107"/>
      <c r="V251" s="107"/>
      <c r="W251" s="107"/>
      <c r="X251" s="107"/>
      <c r="Y251" s="107"/>
      <c r="Z251" s="107"/>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6"/>
      <c r="E252" s="537"/>
      <c r="F252" s="91">
        <v>6</v>
      </c>
      <c r="G252" s="27"/>
      <c r="H252" s="150"/>
      <c r="I252" s="152"/>
      <c r="J252" s="152"/>
      <c r="K252" s="152"/>
      <c r="L252" s="152"/>
      <c r="M252" s="151"/>
      <c r="N252" s="73">
        <f>IF(A14stdlife="n/a","n/a",IF(N$3&gt;(A14stdlife+$F252),(Input!$M$292*(1+vanilla6)^0.5)-SUM($M252:M252),(Input!$IL$292*(1+vanilla6)^0.5)/A14stdlife))</f>
        <v>0</v>
      </c>
      <c r="O252" s="73">
        <f>IF(A14stdlife="n/a","n/a",IF(O$3&gt;(A14stdlife+$F252),(Input!$M$292*(1+vanilla6)^0.5)-SUM($M252:N252),(Input!$IL$292*(1+vanilla6)^0.5)/A14stdlife))</f>
        <v>0</v>
      </c>
      <c r="P252" s="73">
        <f>IF(A14stdlife="n/a","n/a",IF(P$3&gt;(A14stdlife+$F252),(Input!$M$292*(1+vanilla6)^0.5)-SUM($M252:O252),(Input!$IL$292*(1+vanilla6)^0.5)/A14stdlife))</f>
        <v>0</v>
      </c>
      <c r="Q252" s="73">
        <f>IF(A14stdlife="n/a","n/a",IF(Q$3&gt;(A14stdlife+$F252),(Input!$M$292*(1+vanilla6)^0.5)-SUM($M252:P252),(Input!$IL$292*(1+vanilla6)^0.5)/A14stdlife))</f>
        <v>0</v>
      </c>
      <c r="R252" s="73"/>
      <c r="S252" s="107"/>
      <c r="T252" s="107"/>
      <c r="U252" s="107"/>
      <c r="V252" s="107"/>
      <c r="W252" s="107"/>
      <c r="X252" s="107"/>
      <c r="Y252" s="107"/>
      <c r="Z252" s="107"/>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6"/>
      <c r="E253" s="537"/>
      <c r="F253" s="91">
        <v>7</v>
      </c>
      <c r="G253" s="27"/>
      <c r="H253" s="150"/>
      <c r="I253" s="152"/>
      <c r="J253" s="152"/>
      <c r="K253" s="152"/>
      <c r="L253" s="152"/>
      <c r="M253" s="152"/>
      <c r="N253" s="151"/>
      <c r="O253" s="73">
        <f>IF(A14stdlife="n/a","n/a",IF(O$3&gt;(A14stdlife+$F253),(Input!$N$292*(1+vanilla7)^0.5)-SUM($N253:N253),(Input!$N$292*(1+vanilla7)^0.5)/A14stdlife))</f>
        <v>0</v>
      </c>
      <c r="P253" s="73">
        <f>IF(A14stdlife="n/a","n/a",IF(P$3&gt;(A14stdlife+$F253),(Input!$N$292*(1+vanilla7)^0.5)-SUM($N253:O253),(Input!$N$292*(1+vanilla7)^0.5)/A14stdlife))</f>
        <v>0</v>
      </c>
      <c r="Q253" s="73">
        <f>IF(A14stdlife="n/a","n/a",IF(Q$3&gt;(A14stdlife+$F253),(Input!$N$292*(1+vanilla7)^0.5)-SUM($N253:P253),(Input!$N$292*(1+vanilla7)^0.5)/A14stdlife))</f>
        <v>0</v>
      </c>
      <c r="R253" s="73"/>
      <c r="S253" s="107"/>
      <c r="T253" s="107"/>
      <c r="U253" s="107"/>
      <c r="V253" s="107"/>
      <c r="W253" s="107"/>
      <c r="X253" s="107"/>
      <c r="Y253" s="107"/>
      <c r="Z253" s="107"/>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37"/>
      <c r="F254" s="91">
        <v>8</v>
      </c>
      <c r="G254" s="27"/>
      <c r="H254" s="150"/>
      <c r="I254" s="152"/>
      <c r="J254" s="152"/>
      <c r="K254" s="152"/>
      <c r="L254" s="152"/>
      <c r="M254" s="152"/>
      <c r="N254" s="152"/>
      <c r="O254" s="151"/>
      <c r="P254" s="73">
        <f>IF(A14stdlife="n/a","n/a",IF(P$3&gt;(A14stdlife+$F254),(Input!$O$292*(1+vanilla8)^0.5)-SUM($O254:O254),(Input!$O$292*(1+vanilla8)^0.5)/A14stdlife))</f>
        <v>0</v>
      </c>
      <c r="Q254" s="73">
        <f>IF(A14stdlife="n/a","n/a",IF(Q$3&gt;(A14stdlife+$F254),(Input!$O$292*(1+vanilla8)^0.5)-SUM($O254:P254),(Input!$O$292*(1+vanilla8)^0.5)/A14stdlife))</f>
        <v>0</v>
      </c>
      <c r="R254" s="73"/>
      <c r="S254" s="107"/>
      <c r="T254" s="107"/>
      <c r="U254" s="107"/>
      <c r="V254" s="107"/>
      <c r="W254" s="107"/>
      <c r="X254" s="107"/>
      <c r="Y254" s="107"/>
      <c r="Z254" s="107"/>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37"/>
      <c r="F255" s="91">
        <v>9</v>
      </c>
      <c r="G255" s="27"/>
      <c r="H255" s="150"/>
      <c r="I255" s="152"/>
      <c r="J255" s="152"/>
      <c r="K255" s="152"/>
      <c r="L255" s="152"/>
      <c r="M255" s="152"/>
      <c r="N255" s="152"/>
      <c r="O255" s="152"/>
      <c r="P255" s="151"/>
      <c r="Q255" s="73">
        <f>IF(A14stdlife="n/a","n/a",IF(Q$3&gt;(A14stdlife+$F255),(Input!$P$292*(1+vanilla9)^0.5)-SUM($P255:P255),(Input!$P$292*(1+vanilla9)^0.5)/A14stdlife))</f>
        <v>0</v>
      </c>
      <c r="R255" s="73"/>
      <c r="S255" s="107"/>
      <c r="T255" s="107"/>
      <c r="U255" s="107"/>
      <c r="V255" s="107"/>
      <c r="W255" s="107"/>
      <c r="X255" s="107"/>
      <c r="Y255" s="107"/>
      <c r="Z255" s="107"/>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37"/>
      <c r="F256" s="92">
        <v>10</v>
      </c>
      <c r="G256" s="27"/>
      <c r="H256" s="150"/>
      <c r="I256" s="152"/>
      <c r="J256" s="152"/>
      <c r="K256" s="152"/>
      <c r="L256" s="152"/>
      <c r="M256" s="152"/>
      <c r="N256" s="152"/>
      <c r="O256" s="152"/>
      <c r="P256" s="152"/>
      <c r="Q256" s="151"/>
      <c r="R256" s="73"/>
      <c r="S256" s="107"/>
      <c r="T256" s="107"/>
      <c r="U256" s="107"/>
      <c r="V256" s="107"/>
      <c r="W256" s="107"/>
      <c r="X256" s="107"/>
      <c r="Y256" s="107"/>
      <c r="Z256" s="107"/>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c r="A257" s="9"/>
      <c r="B257" s="9"/>
      <c r="C257" s="9"/>
      <c r="D257" s="272">
        <f>Asset14</f>
        <v>0</v>
      </c>
      <c r="E257" s="9"/>
      <c r="F257" s="9"/>
      <c r="G257" s="125"/>
      <c r="H257" s="166">
        <f>-SUM(H245:H256)</f>
        <v>0</v>
      </c>
      <c r="I257" s="166">
        <f>-SUM(I245:I256)</f>
        <v>0</v>
      </c>
      <c r="J257" s="166">
        <f>-SUM(J245:J256)</f>
        <v>0</v>
      </c>
      <c r="K257" s="166">
        <f>-SUM(K245:K256)</f>
        <v>0</v>
      </c>
      <c r="L257" s="166">
        <f>-SUM(L245:L256)</f>
        <v>0</v>
      </c>
      <c r="M257" s="73">
        <f>IF(COUNT($H257:L257)&gt;=Input!$Y$7,0, -SUM(M245:M256))</f>
        <v>0</v>
      </c>
      <c r="N257" s="73">
        <f>IF(COUNT($H257:M257)&gt;=Input!$Y$7,0, -SUM(N245:N256))</f>
        <v>0</v>
      </c>
      <c r="O257" s="73">
        <f>IF(COUNT($H257:N257)&gt;=Input!$Y$7,0, -SUM(O245:O256))</f>
        <v>0</v>
      </c>
      <c r="P257" s="73">
        <f>IF(COUNT($H257:O257)&gt;=Input!$Y$7,0, -SUM(P245:P256))</f>
        <v>0</v>
      </c>
      <c r="Q257" s="73">
        <f>IF(COUNT($H257:P257)&gt;=Input!$Y$7,0, -SUM(Q245:Q256))</f>
        <v>0</v>
      </c>
      <c r="R257" s="71"/>
      <c r="S257" s="109"/>
      <c r="T257" s="109"/>
      <c r="U257" s="109"/>
      <c r="V257" s="109"/>
      <c r="W257" s="109"/>
      <c r="X257" s="109"/>
      <c r="Y257" s="109"/>
      <c r="Z257" s="109"/>
      <c r="AA257" s="236"/>
      <c r="AB257" s="236"/>
      <c r="AC257" s="236"/>
      <c r="AD257" s="236"/>
      <c r="AE257" s="236"/>
      <c r="AF257" s="236"/>
      <c r="AG257" s="236"/>
      <c r="AH257" s="236"/>
      <c r="AI257" s="236"/>
      <c r="AJ257" s="236"/>
      <c r="AK257" s="236"/>
      <c r="AL257" s="236"/>
      <c r="AM257" s="236"/>
      <c r="AN257" s="236"/>
      <c r="AO257" s="236"/>
      <c r="AP257" s="236"/>
      <c r="AQ257" s="236"/>
      <c r="AR257" s="236"/>
      <c r="AS257" s="236"/>
      <c r="AT257" s="236"/>
      <c r="AU257" s="236"/>
      <c r="AV257" s="236"/>
      <c r="AW257" s="236"/>
      <c r="AX257" s="236"/>
      <c r="AY257" s="236"/>
      <c r="AZ257" s="236"/>
      <c r="BA257" s="236"/>
      <c r="BB257" s="236"/>
      <c r="BC257" s="236"/>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73">
        <f>Asset15</f>
        <v>0</v>
      </c>
      <c r="D258" s="162"/>
      <c r="E258" s="32" t="s">
        <v>5</v>
      </c>
      <c r="F258" s="31"/>
      <c r="G258" s="181"/>
      <c r="H258" s="72">
        <f>IF(H$3&gt;A15remlife,A15value-$G$644-SUM($G258:G258),IF(A15remlife="N/A","n/a",(A15value-$G$644)/A15remlife))</f>
        <v>0</v>
      </c>
      <c r="I258" s="72">
        <f>IF(I$3&gt;A15remlife,A15value-$G$644-SUM($G258:H258),IF(A15remlife="N/A","n/a",(A15value-$G$644)/A15remlife))</f>
        <v>0</v>
      </c>
      <c r="J258" s="72">
        <f>IF(J$3&gt;A15remlife,A15value-$G$644-SUM($G258:I258),IF(A15remlife="N/A","n/a",(A15value-$G$644)/A15remlife))</f>
        <v>0</v>
      </c>
      <c r="K258" s="72">
        <f>IF(K$3&gt;A15remlife,A15value-$G$644-SUM($G258:J258),IF(A15remlife="N/A","n/a",(A15value-$G$644)/A15remlife))</f>
        <v>0</v>
      </c>
      <c r="L258" s="72">
        <f>IF(L$3&gt;A15remlife,A15value-$G$644-SUM($G258:K258),IF(A15remlife="N/A","n/a",(A15value-$G$644)/A15remlife))</f>
        <v>0</v>
      </c>
      <c r="M258" s="72">
        <f>IF(M$3&gt;A15remlife,A15value-$G$644-SUM($G258:L258),IF(A15remlife="N/A","n/a",(A15value-$G$644)/A15remlife))</f>
        <v>0</v>
      </c>
      <c r="N258" s="72">
        <f>IF(N$3&gt;A15remlife,A15value-$G$644-SUM($G258:M258),IF(A15remlife="N/A","n/a",(A15value-$G$644)/A15remlife))</f>
        <v>0</v>
      </c>
      <c r="O258" s="72">
        <f>IF(O$3&gt;A15remlife,A15value-$G$644-SUM($G258:N258),IF(A15remlife="N/A","n/a",(A15value-$G$644)/A15remlife))</f>
        <v>0</v>
      </c>
      <c r="P258" s="72">
        <f>IF(P$3&gt;A15remlife,A15value-$G$644-SUM($G258:O258),IF(A15remlife="N/A","n/a",(A15value-$G$644)/A15remlife))</f>
        <v>0</v>
      </c>
      <c r="Q258" s="72">
        <f>IF(Q$3&gt;A15remlife,A15value-$G$644-SUM($G258:P258),IF(A15remlife="N/A","n/a",(A15value-$G$644)/A15remlife))</f>
        <v>0</v>
      </c>
      <c r="R258" s="72"/>
      <c r="S258" s="107"/>
      <c r="T258" s="107"/>
      <c r="U258" s="107"/>
      <c r="V258" s="107"/>
      <c r="W258" s="107"/>
      <c r="X258" s="107"/>
      <c r="Y258" s="107"/>
      <c r="Z258" s="107"/>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6"/>
      <c r="E259" s="536" t="s">
        <v>59</v>
      </c>
      <c r="F259" s="91"/>
      <c r="G259" s="125"/>
      <c r="H259" s="73"/>
      <c r="I259" s="73"/>
      <c r="J259" s="73"/>
      <c r="K259" s="73"/>
      <c r="L259" s="73"/>
      <c r="M259" s="164"/>
      <c r="N259" s="116"/>
      <c r="O259" s="73"/>
      <c r="P259" s="73"/>
      <c r="Q259" s="73"/>
      <c r="R259" s="73"/>
      <c r="S259" s="107"/>
      <c r="T259" s="107"/>
      <c r="U259" s="107"/>
      <c r="V259" s="107"/>
      <c r="W259" s="107"/>
      <c r="X259" s="107"/>
      <c r="Y259" s="107"/>
      <c r="Z259" s="107"/>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37"/>
      <c r="F260" s="91">
        <v>1</v>
      </c>
      <c r="G260" s="125"/>
      <c r="H260" s="149"/>
      <c r="I260" s="73">
        <f>IF(A15stdlife="n/a","n/a",IF(I$3&gt;(A15stdlife+$F260),(Input!$H$293*(1+vanilla1)^0.5)-SUM($H260:H260),(Input!$H$293*(1+vanilla1)^0.5)/A15stdlife))</f>
        <v>0</v>
      </c>
      <c r="J260" s="73">
        <f>IF(A15stdlife="n/a","n/a",IF(J$3&gt;(A15stdlife+$F260),(Input!$H$293*(1+vanilla1)^0.5)-SUM($H260:I260),(Input!$H$293*(1+vanilla1)^0.5)/A15stdlife))</f>
        <v>0</v>
      </c>
      <c r="K260" s="73">
        <f>IF(A15stdlife="n/a","n/a",IF(K$3&gt;(A15stdlife+$F260),(Input!$H$293*(1+vanilla1)^0.5)-SUM($H260:J260),(Input!$H$293*(1+vanilla1)^0.5)/A15stdlife))</f>
        <v>0</v>
      </c>
      <c r="L260" s="73">
        <f>IF(A15stdlife="n/a","n/a",IF(L$3&gt;(A15stdlife+$F260),(Input!$H$293*(1+vanilla1)^0.5)-SUM($H260:K260),(Input!$H$293*(1+vanilla1)^0.5)/A15stdlife))</f>
        <v>0</v>
      </c>
      <c r="M260" s="73">
        <f>IF(A15stdlife="n/a","n/a",IF(M$3&gt;(A15stdlife+$F260),(Input!$H$293*(1+vanilla1)^0.5)-SUM($H260:L260),(Input!$H$293*(1+vanilla1)^0.5)/A15stdlife))</f>
        <v>0</v>
      </c>
      <c r="N260" s="73">
        <f>IF(A15stdlife="n/a","n/a",IF(N$3&gt;(A15stdlife+$F260),(Input!$H$293*(1+vanilla1)^0.5)-SUM($H260:M260),(Input!$H$293*(1+vanilla1)^0.5)/A15stdlife))</f>
        <v>0</v>
      </c>
      <c r="O260" s="73">
        <f>IF(A15stdlife="n/a","n/a",IF(O$3&gt;(A15stdlife+$F260),(Input!$H$293*(1+vanilla1)^0.5)-SUM($H260:N260),(Input!$H$293*(1+vanilla1)^0.5)/A15stdlife))</f>
        <v>0</v>
      </c>
      <c r="P260" s="73">
        <f>IF(A15stdlife="n/a","n/a",IF(P$3&gt;(A15stdlife+$F260),(Input!$H$293*(1+vanilla1)^0.5)-SUM($H260:O260),(Input!$H$293*(1+vanilla1)^0.5)/A15stdlife))</f>
        <v>0</v>
      </c>
      <c r="Q260" s="73">
        <f>IF(A15stdlife="n/a","n/a",IF(Q$3&gt;(A15stdlife+$F260),(Input!$H$293*(1+vanilla1)^0.5)-SUM($H260:P260),(Input!$H$293*(1+vanilla1)^0.5)/A15stdlife))</f>
        <v>0</v>
      </c>
      <c r="R260" s="73"/>
      <c r="S260" s="107"/>
      <c r="T260" s="107"/>
      <c r="U260" s="107"/>
      <c r="V260" s="107"/>
      <c r="W260" s="107"/>
      <c r="X260" s="107"/>
      <c r="Y260" s="107"/>
      <c r="Z260" s="107"/>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37"/>
      <c r="F261" s="91">
        <v>2</v>
      </c>
      <c r="G261" s="125"/>
      <c r="H261" s="150"/>
      <c r="I261" s="151"/>
      <c r="J261" s="73">
        <f>IF(A15stdlife="n/a","n/a",IF(J$3&gt;(A15stdlife+$F261),(Input!$I$293*(1+vanilla2)^0.5)-SUM($I261:I261),(Input!$I$293*(1+vanilla2)^0.5)/A15stdlife))</f>
        <v>0</v>
      </c>
      <c r="K261" s="73">
        <f>IF(A15stdlife="n/a","n/a",IF(K$3&gt;(A15stdlife+$F261),(Input!$I$293*(1+vanilla2)^0.5)-SUM($I261:J261),(Input!$I$293*(1+vanilla2)^0.5)/A15stdlife))</f>
        <v>0</v>
      </c>
      <c r="L261" s="73">
        <f>IF(A15stdlife="n/a","n/a",IF(L$3&gt;(A15stdlife+$F261),(Input!$I$293*(1+vanilla2)^0.5)-SUM($I261:K261),(Input!$I$293*(1+vanilla2)^0.5)/A15stdlife))</f>
        <v>0</v>
      </c>
      <c r="M261" s="73">
        <f>IF(A15stdlife="n/a","n/a",IF(M$3&gt;(A15stdlife+$F261),(Input!$I$293*(1+vanilla2)^0.5)-SUM($I261:L261),(Input!$I$293*(1+vanilla2)^0.5)/A15stdlife))</f>
        <v>0</v>
      </c>
      <c r="N261" s="73">
        <f>IF(A15stdlife="n/a","n/a",IF(N$3&gt;(A15stdlife+$F261),(Input!$I$293*(1+vanilla2)^0.5)-SUM($I261:M261),(Input!$I$293*(1+vanilla2)^0.5)/A15stdlife))</f>
        <v>0</v>
      </c>
      <c r="O261" s="73">
        <f>IF(A15stdlife="n/a","n/a",IF(O$3&gt;(A15stdlife+$F261),(Input!$I$293*(1+vanilla2)^0.5)-SUM($I261:N261),(Input!$I$293*(1+vanilla2)^0.5)/A15stdlife))</f>
        <v>0</v>
      </c>
      <c r="P261" s="73">
        <f>IF(A15stdlife="n/a","n/a",IF(P$3&gt;(A15stdlife+$F261),(Input!$I$293*(1+vanilla2)^0.5)-SUM($I261:O261),(Input!$I$293*(1+vanilla2)^0.5)/A15stdlife))</f>
        <v>0</v>
      </c>
      <c r="Q261" s="73">
        <f>IF(A15stdlife="n/a","n/a",IF(Q$3&gt;(A15stdlife+$F261),(Input!$I$293*(1+vanilla2)^0.5)-SUM($I261:P261),(Input!$I$293*(1+vanilla2)^0.5)/A15stdlife))</f>
        <v>0</v>
      </c>
      <c r="R261" s="73"/>
      <c r="S261" s="107"/>
      <c r="T261" s="107"/>
      <c r="U261" s="107"/>
      <c r="V261" s="107"/>
      <c r="W261" s="107"/>
      <c r="X261" s="107"/>
      <c r="Y261" s="107"/>
      <c r="Z261" s="107"/>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37"/>
      <c r="F262" s="91">
        <v>3</v>
      </c>
      <c r="G262" s="125"/>
      <c r="H262" s="150"/>
      <c r="I262" s="152"/>
      <c r="J262" s="151"/>
      <c r="K262" s="73">
        <f>IF(A15stdlife="n/a","n/a",IF(K$3&gt;(A15stdlife+$F262),(Input!$J$293*(1+vanilla3)^0.5)-SUM($J262:J262),(Input!$J$293*(1+vanilla3)^0.5)/A15stdlife))</f>
        <v>0</v>
      </c>
      <c r="L262" s="73">
        <f>IF(A15stdlife="n/a","n/a",IF(L$3&gt;(A15stdlife+$F262),(Input!$J$293*(1+vanilla3)^0.5)-SUM($J262:K262),(Input!$J$293*(1+vanilla3)^0.5)/A15stdlife))</f>
        <v>0</v>
      </c>
      <c r="M262" s="73">
        <f>IF(A15stdlife="n/a","n/a",IF(M$3&gt;(A15stdlife+$F262),(Input!$J$293*(1+vanilla3)^0.5)-SUM($J262:L262),(Input!$J$293*(1+vanilla3)^0.5)/A15stdlife))</f>
        <v>0</v>
      </c>
      <c r="N262" s="73">
        <f>IF(A15stdlife="n/a","n/a",IF(N$3&gt;(A15stdlife+$F262),(Input!$J$293*(1+vanilla3)^0.5)-SUM($J262:M262),(Input!$J$293*(1+vanilla3)^0.5)/A15stdlife))</f>
        <v>0</v>
      </c>
      <c r="O262" s="73">
        <f>IF(A15stdlife="n/a","n/a",IF(O$3&gt;(A15stdlife+$F262),(Input!$J$293*(1+vanilla3)^0.5)-SUM($J262:N262),(Input!$J$293*(1+vanilla3)^0.5)/A15stdlife))</f>
        <v>0</v>
      </c>
      <c r="P262" s="73">
        <f>IF(A15stdlife="n/a","n/a",IF(P$3&gt;(A15stdlife+$F262),(Input!$J$293*(1+vanilla3)^0.5)-SUM($J262:O262),(Input!$J$293*(1+vanilla3)^0.5)/A15stdlife))</f>
        <v>0</v>
      </c>
      <c r="Q262" s="73">
        <f>IF(A15stdlife="n/a","n/a",IF(Q$3&gt;(A15stdlife+$F262),(Input!$J$293*(1+vanilla3)^0.5)-SUM($J262:P262),(Input!$J$293*(1+vanilla3)^0.5)/A15stdlife))</f>
        <v>0</v>
      </c>
      <c r="R262" s="73"/>
      <c r="S262" s="107"/>
      <c r="T262" s="107"/>
      <c r="U262" s="107"/>
      <c r="V262" s="107"/>
      <c r="W262" s="107"/>
      <c r="X262" s="107"/>
      <c r="Y262" s="107"/>
      <c r="Z262" s="107"/>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37"/>
      <c r="F263" s="91">
        <v>4</v>
      </c>
      <c r="G263" s="125"/>
      <c r="H263" s="150"/>
      <c r="I263" s="152"/>
      <c r="J263" s="152"/>
      <c r="K263" s="151"/>
      <c r="L263" s="73">
        <f>IF(A15stdlife="n/a","n/a",IF(L$3&gt;(A15stdlife+$F263),(Input!$K$293*(1+vanilla4)^0.5)-SUM($K263:K263),(Input!$K$293*(1+vanilla4)^0.5)/A15stdlife))</f>
        <v>0</v>
      </c>
      <c r="M263" s="73">
        <f>IF(A15stdlife="n/a","n/a",IF(M$3&gt;(A15stdlife+$F263),(Input!$K$293*(1+vanilla4)^0.5)-SUM($K263:L263),(Input!$K$293*(1+vanilla4)^0.5)/A15stdlife))</f>
        <v>0</v>
      </c>
      <c r="N263" s="73">
        <f>IF(A15stdlife="n/a","n/a",IF(N$3&gt;(A15stdlife+$F263),(Input!$K$293*(1+vanilla4)^0.5)-SUM($K263:M263),(Input!$K$293*(1+vanilla4)^0.5)/A15stdlife))</f>
        <v>0</v>
      </c>
      <c r="O263" s="73">
        <f>IF(A15stdlife="n/a","n/a",IF(O$3&gt;(A15stdlife+$F263),(Input!$K$293*(1+vanilla4)^0.5)-SUM($K263:N263),(Input!$K$293*(1+vanilla4)^0.5)/A15stdlife))</f>
        <v>0</v>
      </c>
      <c r="P263" s="73">
        <f>IF(A15stdlife="n/a","n/a",IF(P$3&gt;(A15stdlife+$F263),(Input!$K$293*(1+vanilla4)^0.5)-SUM($K263:O263),(Input!$K$293*(1+vanilla4)^0.5)/A15stdlife))</f>
        <v>0</v>
      </c>
      <c r="Q263" s="73">
        <f>IF(A15stdlife="n/a","n/a",IF(Q$3&gt;(A15stdlife+$F263),(Input!$K$293*(1+vanilla4)^0.5)-SUM($K263:P263),(Input!$K$293*(1+vanilla4)^0.5)/A15stdlife))</f>
        <v>0</v>
      </c>
      <c r="R263" s="73"/>
      <c r="S263" s="107"/>
      <c r="T263" s="107"/>
      <c r="U263" s="107"/>
      <c r="V263" s="107"/>
      <c r="W263" s="107"/>
      <c r="X263" s="107"/>
      <c r="Y263" s="107"/>
      <c r="Z263" s="107"/>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6"/>
      <c r="E264" s="537"/>
      <c r="F264" s="91">
        <v>5</v>
      </c>
      <c r="G264" s="27"/>
      <c r="H264" s="150"/>
      <c r="I264" s="152"/>
      <c r="J264" s="152"/>
      <c r="K264" s="152"/>
      <c r="L264" s="151"/>
      <c r="M264" s="73">
        <f>IF(A15stdlife="n/a","n/a",IF(M$3&gt;(A15stdlife+$F264),(Input!$L$293*(1+vanilla5)^0.5)-SUM($L264:L264),(Input!$L$293*(1+vanilla5)^0.5)/A15stdlife))</f>
        <v>0</v>
      </c>
      <c r="N264" s="73">
        <f>IF(A15stdlife="n/a","n/a",IF(N$3&gt;(A15stdlife+$F264),(Input!$L$293*(1+vanilla5)^0.5)-SUM($L264:M264),(Input!$L$293*(1+vanilla5)^0.5)/A15stdlife))</f>
        <v>0</v>
      </c>
      <c r="O264" s="73">
        <f>IF(A15stdlife="n/a","n/a",IF(O$3&gt;(A15stdlife+$F264),(Input!$L$293*(1+vanilla5)^0.5)-SUM($L264:N264),(Input!$L$293*(1+vanilla5)^0.5)/A15stdlife))</f>
        <v>0</v>
      </c>
      <c r="P264" s="73">
        <f>IF(A15stdlife="n/a","n/a",IF(P$3&gt;(A15stdlife+$F264),(Input!$L$293*(1+vanilla5)^0.5)-SUM($L264:O264),(Input!$L$293*(1+vanilla5)^0.5)/A15stdlife))</f>
        <v>0</v>
      </c>
      <c r="Q264" s="73">
        <f>IF(A15stdlife="n/a","n/a",IF(Q$3&gt;(A15stdlife+$F264),(Input!$L$293*(1+vanilla5)^0.5)-SUM($L264:P264),(Input!$L$293*(1+vanilla5)^0.5)/A15stdlife))</f>
        <v>0</v>
      </c>
      <c r="R264" s="73"/>
      <c r="S264" s="107"/>
      <c r="T264" s="107"/>
      <c r="U264" s="107"/>
      <c r="V264" s="107"/>
      <c r="W264" s="107"/>
      <c r="X264" s="107"/>
      <c r="Y264" s="107"/>
      <c r="Z264" s="107"/>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6"/>
      <c r="E265" s="537"/>
      <c r="F265" s="91">
        <v>6</v>
      </c>
      <c r="G265" s="27"/>
      <c r="H265" s="150"/>
      <c r="I265" s="152"/>
      <c r="J265" s="152"/>
      <c r="K265" s="152"/>
      <c r="L265" s="152"/>
      <c r="M265" s="151"/>
      <c r="N265" s="73">
        <f>IF(A15stdlife="n/a","n/a",IF(N$3&gt;(A15stdlife+$F265),(Input!$M$293*(1+vanilla6)^0.5)-SUM($M265:M265),(Input!$M$293*(1+vanilla6)^0.5)/A15stdlife))</f>
        <v>0</v>
      </c>
      <c r="O265" s="73">
        <f>IF(A15stdlife="n/a","n/a",IF(O$3&gt;(A15stdlife+$F265),(Input!$M$293*(1+vanilla6)^0.5)-SUM($M265:N265),(Input!$M$293*(1+vanilla6)^0.5)/A15stdlife))</f>
        <v>0</v>
      </c>
      <c r="P265" s="73">
        <f>IF(A15stdlife="n/a","n/a",IF(P$3&gt;(A15stdlife+$F265),(Input!$M$293*(1+vanilla6)^0.5)-SUM($M265:O265),(Input!$M$293*(1+vanilla6)^0.5)/A15stdlife))</f>
        <v>0</v>
      </c>
      <c r="Q265" s="73">
        <f>IF(A15stdlife="n/a","n/a",IF(Q$3&gt;(A15stdlife+$F265),(Input!$M$293*(1+vanilla6)^0.5)-SUM($M265:P265),(Input!$M$293*(1+vanilla6)^0.5)/A15stdlife))</f>
        <v>0</v>
      </c>
      <c r="R265" s="73"/>
      <c r="S265" s="107"/>
      <c r="T265" s="107"/>
      <c r="U265" s="107"/>
      <c r="V265" s="107"/>
      <c r="W265" s="107"/>
      <c r="X265" s="107"/>
      <c r="Y265" s="107"/>
      <c r="Z265" s="107"/>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6"/>
      <c r="E266" s="537"/>
      <c r="F266" s="91">
        <v>7</v>
      </c>
      <c r="G266" s="27"/>
      <c r="H266" s="150"/>
      <c r="I266" s="152"/>
      <c r="J266" s="152"/>
      <c r="K266" s="152"/>
      <c r="L266" s="152"/>
      <c r="M266" s="152"/>
      <c r="N266" s="151"/>
      <c r="O266" s="73">
        <f>IF(A15stdlife="n/a","n/a",IF(O$3&gt;(A15stdlife+$F266),(Input!$N$293*(1+vanilla7)^0.5)-SUM($N266:N266),(Input!$N$293*(1+vanilla7)^0.5)/A15stdlife))</f>
        <v>0</v>
      </c>
      <c r="P266" s="73">
        <f>IF(A15stdlife="n/a","n/a",IF(P$3&gt;(A15stdlife+$F266),(Input!$N$293*(1+vanilla7)^0.5)-SUM($N266:O266),(Input!$N$293*(1+vanilla7)^0.5)/A15stdlife))</f>
        <v>0</v>
      </c>
      <c r="Q266" s="73">
        <f>IF(A15stdlife="n/a","n/a",IF(Q$3&gt;(A15stdlife+$F266),(Input!$N$293*(1+vanilla7)^0.5)-SUM($N266:P266),(Input!$N$293*(1+vanilla7)^0.5)/A15stdlife))</f>
        <v>0</v>
      </c>
      <c r="R266" s="73"/>
      <c r="S266" s="107"/>
      <c r="T266" s="107"/>
      <c r="U266" s="107"/>
      <c r="V266" s="107"/>
      <c r="W266" s="107"/>
      <c r="X266" s="107"/>
      <c r="Y266" s="107"/>
      <c r="Z266" s="107"/>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37"/>
      <c r="F267" s="91">
        <v>8</v>
      </c>
      <c r="G267" s="27"/>
      <c r="H267" s="150"/>
      <c r="I267" s="152"/>
      <c r="J267" s="152"/>
      <c r="K267" s="152"/>
      <c r="L267" s="152"/>
      <c r="M267" s="152"/>
      <c r="N267" s="152"/>
      <c r="O267" s="151"/>
      <c r="P267" s="73">
        <f>IF(A15stdlife="n/a","n/a",IF(P$3&gt;(A15stdlife+$F267),(Input!$O$293*(1+vanilla8)^0.5)-SUM($O267:O267),(Input!$O$293*(1+vanilla8)^0.5)/A15stdlife))</f>
        <v>0</v>
      </c>
      <c r="Q267" s="73">
        <f>IF(A15stdlife="n/a","n/a",IF(Q$3&gt;(A15stdlife+$F267),(Input!$O$293*(1+vanilla8)^0.5)-SUM($O267:P267),(Input!$O$293*(1+vanilla8)^0.5)/A15stdlife))</f>
        <v>0</v>
      </c>
      <c r="R267" s="73"/>
      <c r="S267" s="107"/>
      <c r="T267" s="107"/>
      <c r="U267" s="107"/>
      <c r="V267" s="107"/>
      <c r="W267" s="107"/>
      <c r="X267" s="107"/>
      <c r="Y267" s="107"/>
      <c r="Z267" s="107"/>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37"/>
      <c r="F268" s="91">
        <v>9</v>
      </c>
      <c r="G268" s="27"/>
      <c r="H268" s="150"/>
      <c r="I268" s="152"/>
      <c r="J268" s="152"/>
      <c r="K268" s="152"/>
      <c r="L268" s="152"/>
      <c r="M268" s="152"/>
      <c r="N268" s="152"/>
      <c r="O268" s="152"/>
      <c r="P268" s="151"/>
      <c r="Q268" s="73">
        <f>IF(A15stdlife="n/a","n/a",IF(Q$3&gt;(A15stdlife+$F268),(Input!$P$293*(1+vanilla9)^0.5)-SUM($P268:P268),(Input!$P$293*(1+vanilla9)^0.5)/A15stdlife))</f>
        <v>0</v>
      </c>
      <c r="R268" s="73"/>
      <c r="S268" s="107"/>
      <c r="T268" s="107"/>
      <c r="U268" s="107"/>
      <c r="V268" s="107"/>
      <c r="W268" s="107"/>
      <c r="X268" s="107"/>
      <c r="Y268" s="107"/>
      <c r="Z268" s="107"/>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37"/>
      <c r="F269" s="92">
        <v>10</v>
      </c>
      <c r="G269" s="27"/>
      <c r="H269" s="150"/>
      <c r="I269" s="152"/>
      <c r="J269" s="152"/>
      <c r="K269" s="152"/>
      <c r="L269" s="152"/>
      <c r="M269" s="152"/>
      <c r="N269" s="152"/>
      <c r="O269" s="152"/>
      <c r="P269" s="152"/>
      <c r="Q269" s="151"/>
      <c r="R269" s="73"/>
      <c r="S269" s="107"/>
      <c r="T269" s="107"/>
      <c r="U269" s="107"/>
      <c r="V269" s="107"/>
      <c r="W269" s="107"/>
      <c r="X269" s="107"/>
      <c r="Y269" s="107"/>
      <c r="Z269" s="107"/>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c r="A270" s="9"/>
      <c r="B270" s="9"/>
      <c r="C270" s="9"/>
      <c r="D270" s="272">
        <f>Asset15</f>
        <v>0</v>
      </c>
      <c r="E270" s="9"/>
      <c r="F270" s="9"/>
      <c r="G270" s="125"/>
      <c r="H270" s="166">
        <f>-SUM(H258:H269)</f>
        <v>0</v>
      </c>
      <c r="I270" s="166">
        <f>-SUM(I258:I269)</f>
        <v>0</v>
      </c>
      <c r="J270" s="166">
        <f>-SUM(J258:J269)</f>
        <v>0</v>
      </c>
      <c r="K270" s="166">
        <f>-SUM(K258:K269)</f>
        <v>0</v>
      </c>
      <c r="L270" s="166">
        <f>-SUM(L258:L269)</f>
        <v>0</v>
      </c>
      <c r="M270" s="73">
        <f>IF(COUNT($H270:L270)&gt;=Input!$Y$7,0, -SUM(M258:M269))</f>
        <v>0</v>
      </c>
      <c r="N270" s="73">
        <f>IF(COUNT($H270:M270)&gt;=Input!$Y$7,0, -SUM(N258:N269))</f>
        <v>0</v>
      </c>
      <c r="O270" s="73">
        <f>IF(COUNT($H270:N270)&gt;=Input!$Y$7,0, -SUM(O258:O269))</f>
        <v>0</v>
      </c>
      <c r="P270" s="73">
        <f>IF(COUNT($H270:O270)&gt;=Input!$Y$7,0, -SUM(P258:P269))</f>
        <v>0</v>
      </c>
      <c r="Q270" s="73">
        <f>IF(COUNT($H270:P270)&gt;=Input!$Y$7,0, -SUM(Q258:Q269))</f>
        <v>0</v>
      </c>
      <c r="R270" s="71"/>
      <c r="S270" s="109"/>
      <c r="T270" s="109"/>
      <c r="U270" s="109"/>
      <c r="V270" s="109"/>
      <c r="W270" s="109"/>
      <c r="X270" s="109"/>
      <c r="Y270" s="109"/>
      <c r="Z270" s="109"/>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73">
        <f>Asset16</f>
        <v>0</v>
      </c>
      <c r="D271" s="162"/>
      <c r="E271" s="32" t="s">
        <v>5</v>
      </c>
      <c r="F271" s="31"/>
      <c r="G271" s="181"/>
      <c r="H271" s="72">
        <f>IF(H$3&gt;A16remlife,A16value-$G$645-SUM($G271:G271),IF(A16remlife="N/A","n/a",(A16value-$G$645)/A16remlife))</f>
        <v>0</v>
      </c>
      <c r="I271" s="72">
        <f>IF(I$3&gt;A16remlife,A16value-$G$645-SUM($G271:H271),IF(A16remlife="N/A","n/a",(A16value-$G$645)/A16remlife))</f>
        <v>0</v>
      </c>
      <c r="J271" s="72">
        <f>IF(J$3&gt;A16remlife,A16value-$G$645-SUM($G271:I271),IF(A16remlife="N/A","n/a",(A16value-$G$645)/A16remlife))</f>
        <v>0</v>
      </c>
      <c r="K271" s="72">
        <f>IF(K$3&gt;A16remlife,A16value-$G$645-SUM($G271:J271),IF(A16remlife="N/A","n/a",(A16value-$G$645)/A16remlife))</f>
        <v>0</v>
      </c>
      <c r="L271" s="72">
        <f>IF(L$3&gt;A16remlife,A16value-$G$645-SUM($G271:K271),IF(A16remlife="N/A","n/a",(A16value-$G$645)/A16remlife))</f>
        <v>0</v>
      </c>
      <c r="M271" s="72">
        <f>IF(M$3&gt;A16remlife,A16value-$G$645-SUM($G271:L271),IF(A16remlife="N/A","n/a",(A16value-$G$645)/A16remlife))</f>
        <v>0</v>
      </c>
      <c r="N271" s="72">
        <f>IF(N$3&gt;A16remlife,A16value-$G$645-SUM($G271:M271),IF(A16remlife="N/A","n/a",(A16value-$G$645)/A16remlife))</f>
        <v>0</v>
      </c>
      <c r="O271" s="72">
        <f>IF(O$3&gt;A16remlife,A16value-$G$645-SUM($G271:N271),IF(A16remlife="N/A","n/a",(A16value-$G$645)/A16remlife))</f>
        <v>0</v>
      </c>
      <c r="P271" s="72">
        <f>IF(P$3&gt;A16remlife,A16value-$G$645-SUM($G271:O271),IF(A16remlife="N/A","n/a",(A16value-$G$645)/A16remlife))</f>
        <v>0</v>
      </c>
      <c r="Q271" s="72">
        <f>IF(Q$3&gt;A16remlife,A16value-$G$645-SUM($G271:P271),IF(A16remlife="N/A","n/a",(A16value-$G$645)/A16remlife))</f>
        <v>0</v>
      </c>
      <c r="R271" s="72"/>
      <c r="S271" s="107"/>
      <c r="T271" s="107"/>
      <c r="U271" s="107"/>
      <c r="V271" s="107"/>
      <c r="W271" s="107"/>
      <c r="X271" s="107"/>
      <c r="Y271" s="107"/>
      <c r="Z271" s="107"/>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6"/>
      <c r="E272" s="536" t="s">
        <v>59</v>
      </c>
      <c r="F272" s="91"/>
      <c r="G272" s="125"/>
      <c r="H272" s="73"/>
      <c r="I272" s="73"/>
      <c r="J272" s="73"/>
      <c r="K272" s="73"/>
      <c r="L272" s="73"/>
      <c r="M272" s="164"/>
      <c r="N272" s="116"/>
      <c r="O272" s="73"/>
      <c r="P272" s="73"/>
      <c r="Q272" s="73"/>
      <c r="R272" s="73"/>
      <c r="S272" s="107"/>
      <c r="T272" s="107"/>
      <c r="U272" s="107"/>
      <c r="V272" s="107"/>
      <c r="W272" s="107"/>
      <c r="X272" s="107"/>
      <c r="Y272" s="107"/>
      <c r="Z272" s="107"/>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37"/>
      <c r="F273" s="91">
        <v>1</v>
      </c>
      <c r="G273" s="125"/>
      <c r="H273" s="149"/>
      <c r="I273" s="73">
        <f>IF(A16stdlife="n/a","n/a",IF(I$3&gt;(A16stdlife+$F273),(Input!$H$294*(1+vanilla1)^0.5)-SUM($H273:H273),(Input!$H$294*(1+vanilla1)^0.5)/A16stdlife))</f>
        <v>0</v>
      </c>
      <c r="J273" s="73">
        <f>IF(A16stdlife="n/a","n/a",IF(J$3&gt;(A16stdlife+$F273),(Input!$H$294*(1+vanilla1)^0.5)-SUM($H273:I273),(Input!$H$294*(1+vanilla1)^0.5)/A16stdlife))</f>
        <v>0</v>
      </c>
      <c r="K273" s="73">
        <f>IF(A16stdlife="n/a","n/a",IF(K$3&gt;(A16stdlife+$F273),(Input!$H$294*(1+vanilla1)^0.5)-SUM($H273:J273),(Input!$H$294*(1+vanilla1)^0.5)/A16stdlife))</f>
        <v>0</v>
      </c>
      <c r="L273" s="73">
        <f>IF(A16stdlife="n/a","n/a",IF(L$3&gt;(A16stdlife+$F273),(Input!$H$294*(1+vanilla1)^0.5)-SUM($H273:K273),(Input!$H$294*(1+vanilla1)^0.5)/A16stdlife))</f>
        <v>0</v>
      </c>
      <c r="M273" s="73">
        <f>IF(A16stdlife="n/a","n/a",IF(M$3&gt;(A16stdlife+$F273),(Input!$H$294*(1+vanilla1)^0.5)-SUM($H273:L273),(Input!$H$294*(1+vanilla1)^0.5)/A16stdlife))</f>
        <v>0</v>
      </c>
      <c r="N273" s="73">
        <f>IF(A16stdlife="n/a","n/a",IF(N$3&gt;(A16stdlife+$F273),(Input!$H$294*(1+vanilla1)^0.5)-SUM($H273:M273),(Input!$H$294*(1+vanilla1)^0.5)/A16stdlife))</f>
        <v>0</v>
      </c>
      <c r="O273" s="73">
        <f>IF(A16stdlife="n/a","n/a",IF(O$3&gt;(A16stdlife+$F273),(Input!$H$294*(1+vanilla1)^0.5)-SUM($H273:N273),(Input!$H$294*(1+vanilla1)^0.5)/A16stdlife))</f>
        <v>0</v>
      </c>
      <c r="P273" s="73">
        <f>IF(A16stdlife="n/a","n/a",IF(P$3&gt;(A16stdlife+$F273),(Input!$H$294*(1+vanilla1)^0.5)-SUM($H273:O273),(Input!$H$294*(1+vanilla1)^0.5)/A16stdlife))</f>
        <v>0</v>
      </c>
      <c r="Q273" s="73">
        <f>IF(A16stdlife="n/a","n/a",IF(Q$3&gt;(A16stdlife+$F273),(Input!$H$294*(1+vanilla1)^0.5)-SUM($H273:P273),(Input!$H$294*(1+vanilla1)^0.5)/A16stdlife))</f>
        <v>0</v>
      </c>
      <c r="R273" s="73"/>
      <c r="S273" s="107"/>
      <c r="T273" s="107"/>
      <c r="U273" s="107"/>
      <c r="V273" s="107"/>
      <c r="W273" s="107"/>
      <c r="X273" s="107"/>
      <c r="Y273" s="107"/>
      <c r="Z273" s="107"/>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37"/>
      <c r="F274" s="91">
        <v>2</v>
      </c>
      <c r="G274" s="125"/>
      <c r="H274" s="150"/>
      <c r="I274" s="151"/>
      <c r="J274" s="73">
        <f>IF(A16stdlife="n/a","n/a",IF(J$3&gt;(A16stdlife+$F274),(Input!$I$294*(1+vanilla2)^0.5)-SUM($I274:I274),(Input!$I$294*(1+vanilla2)^0.5)/A16stdlife))</f>
        <v>0</v>
      </c>
      <c r="K274" s="73">
        <f>IF(A16stdlife="n/a","n/a",IF(K$3&gt;(A16stdlife+$F274),(Input!$I$294*(1+vanilla2)^0.5)-SUM($I274:J274),(Input!$I$294*(1+vanilla2)^0.5)/A16stdlife))</f>
        <v>0</v>
      </c>
      <c r="L274" s="73">
        <f>IF(A16stdlife="n/a","n/a",IF(L$3&gt;(A16stdlife+$F274),(Input!$I$294*(1+vanilla2)^0.5)-SUM($I274:K274),(Input!$I$294*(1+vanilla2)^0.5)/A16stdlife))</f>
        <v>0</v>
      </c>
      <c r="M274" s="73">
        <f>IF(A16stdlife="n/a","n/a",IF(M$3&gt;(A16stdlife+$F274),(Input!$I$294*(1+vanilla2)^0.5)-SUM($I274:L274),(Input!$I$294*(1+vanilla2)^0.5)/A16stdlife))</f>
        <v>0</v>
      </c>
      <c r="N274" s="73">
        <f>IF(A16stdlife="n/a","n/a",IF(N$3&gt;(A16stdlife+$F274),(Input!$I$294*(1+vanilla2)^0.5)-SUM($I274:M274),(Input!$I$294*(1+vanilla2)^0.5)/A16stdlife))</f>
        <v>0</v>
      </c>
      <c r="O274" s="73">
        <f>IF(A16stdlife="n/a","n/a",IF(O$3&gt;(A16stdlife+$F274),(Input!$I$294*(1+vanilla2)^0.5)-SUM($I274:N274),(Input!$I$294*(1+vanilla2)^0.5)/A16stdlife))</f>
        <v>0</v>
      </c>
      <c r="P274" s="73">
        <f>IF(A16stdlife="n/a","n/a",IF(P$3&gt;(A16stdlife+$F274),(Input!$I$294*(1+vanilla2)^0.5)-SUM($I274:O274),(Input!$I$294*(1+vanilla2)^0.5)/A16stdlife))</f>
        <v>0</v>
      </c>
      <c r="Q274" s="73">
        <f>IF(A16stdlife="n/a","n/a",IF(Q$3&gt;(A16stdlife+$F274),(Input!$I$294*(1+vanilla2)^0.5)-SUM($I274:P274),(Input!$I$294*(1+vanilla2)^0.5)/A16stdlife))</f>
        <v>0</v>
      </c>
      <c r="R274" s="73"/>
      <c r="S274" s="107"/>
      <c r="T274" s="107"/>
      <c r="U274" s="107"/>
      <c r="V274" s="107"/>
      <c r="W274" s="107"/>
      <c r="X274" s="107"/>
      <c r="Y274" s="107"/>
      <c r="Z274" s="107"/>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37"/>
      <c r="F275" s="91">
        <v>3</v>
      </c>
      <c r="G275" s="125"/>
      <c r="H275" s="150"/>
      <c r="I275" s="152"/>
      <c r="J275" s="151"/>
      <c r="K275" s="73">
        <f>IF(A16stdlife="n/a","n/a",IF(K$3&gt;(A16stdlife+$F275),(Input!$J$294*(1+vanilla3)^0.5)-SUM($J275:J275),(Input!$J$294*(1+vanilla3)^0.5)/A16stdlife))</f>
        <v>0</v>
      </c>
      <c r="L275" s="73">
        <f>IF(A16stdlife="n/a","n/a",IF(L$3&gt;(A16stdlife+$F275),(Input!$J$294*(1+vanilla3)^0.5)-SUM($J275:K275),(Input!$J$294*(1+vanilla3)^0.5)/A16stdlife))</f>
        <v>0</v>
      </c>
      <c r="M275" s="73">
        <f>IF(A16stdlife="n/a","n/a",IF(M$3&gt;(A16stdlife+$F275),(Input!$J$294*(1+vanilla3)^0.5)-SUM($J275:L275),(Input!$J$294*(1+vanilla3)^0.5)/A16stdlife))</f>
        <v>0</v>
      </c>
      <c r="N275" s="73">
        <f>IF(A16stdlife="n/a","n/a",IF(N$3&gt;(A16stdlife+$F275),(Input!$J$294*(1+vanilla3)^0.5)-SUM($J275:M275),(Input!$J$294*(1+vanilla3)^0.5)/A16stdlife))</f>
        <v>0</v>
      </c>
      <c r="O275" s="73">
        <f>IF(A16stdlife="n/a","n/a",IF(O$3&gt;(A16stdlife+$F275),(Input!$J$294*(1+vanilla3)^0.5)-SUM($J275:N275),(Input!$J$294*(1+vanilla3)^0.5)/A16stdlife))</f>
        <v>0</v>
      </c>
      <c r="P275" s="73">
        <f>IF(A16stdlife="n/a","n/a",IF(P$3&gt;(A16stdlife+$F275),(Input!$J$294*(1+vanilla3)^0.5)-SUM($J275:O275),(Input!$J$294*(1+vanilla3)^0.5)/A16stdlife))</f>
        <v>0</v>
      </c>
      <c r="Q275" s="73">
        <f>IF(A16stdlife="n/a","n/a",IF(Q$3&gt;(A16stdlife+$F275),(Input!$J$294*(1+vanilla3)^0.5)-SUM($J275:P275),(Input!$J$294*(1+vanilla3)^0.5)/A16stdlife))</f>
        <v>0</v>
      </c>
      <c r="R275" s="73"/>
      <c r="S275" s="107"/>
      <c r="T275" s="107"/>
      <c r="U275" s="107"/>
      <c r="V275" s="107"/>
      <c r="W275" s="107"/>
      <c r="X275" s="107"/>
      <c r="Y275" s="107"/>
      <c r="Z275" s="107"/>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37"/>
      <c r="F276" s="91">
        <v>4</v>
      </c>
      <c r="G276" s="125"/>
      <c r="H276" s="150"/>
      <c r="I276" s="152"/>
      <c r="J276" s="152"/>
      <c r="K276" s="151"/>
      <c r="L276" s="73">
        <f>IF(A16stdlife="n/a","n/a",IF(L$3&gt;(A16stdlife+$F276),(Input!$K$294*(1+vanilla4)^0.5)-SUM($K276:K276),(Input!$K$294*(1+vanilla4)^0.5)/A16stdlife))</f>
        <v>0</v>
      </c>
      <c r="M276" s="73">
        <f>IF(A16stdlife="n/a","n/a",IF(M$3&gt;(A16stdlife+$F276),(Input!$K$294*(1+vanilla4)^0.5)-SUM($K276:L276),(Input!$K$294*(1+vanilla4)^0.5)/A16stdlife))</f>
        <v>0</v>
      </c>
      <c r="N276" s="73">
        <f>IF(A16stdlife="n/a","n/a",IF(N$3&gt;(A16stdlife+$F276),(Input!$K$294*(1+vanilla4)^0.5)-SUM($K276:M276),(Input!$K$294*(1+vanilla4)^0.5)/A16stdlife))</f>
        <v>0</v>
      </c>
      <c r="O276" s="73">
        <f>IF(A16stdlife="n/a","n/a",IF(O$3&gt;(A16stdlife+$F276),(Input!$K$294*(1+vanilla4)^0.5)-SUM($K276:N276),(Input!$K$294*(1+vanilla4)^0.5)/A16stdlife))</f>
        <v>0</v>
      </c>
      <c r="P276" s="73">
        <f>IF(A16stdlife="n/a","n/a",IF(P$3&gt;(A16stdlife+$F276),(Input!$K$294*(1+vanilla4)^0.5)-SUM($K276:O276),(Input!$K$294*(1+vanilla4)^0.5)/A16stdlife))</f>
        <v>0</v>
      </c>
      <c r="Q276" s="73">
        <f>IF(A16stdlife="n/a","n/a",IF(Q$3&gt;(A16stdlife+$F276),(Input!$K$294*(1+vanilla4)^0.5)-SUM($K276:P276),(Input!$K$294*(1+vanilla4)^0.5)/A16stdlife))</f>
        <v>0</v>
      </c>
      <c r="R276" s="73"/>
      <c r="S276" s="107"/>
      <c r="T276" s="107"/>
      <c r="U276" s="107"/>
      <c r="V276" s="107"/>
      <c r="W276" s="107"/>
      <c r="X276" s="107"/>
      <c r="Y276" s="107"/>
      <c r="Z276" s="107"/>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6"/>
      <c r="E277" s="537"/>
      <c r="F277" s="91">
        <v>5</v>
      </c>
      <c r="G277" s="27"/>
      <c r="H277" s="150"/>
      <c r="I277" s="152"/>
      <c r="J277" s="152"/>
      <c r="K277" s="152"/>
      <c r="L277" s="151"/>
      <c r="M277" s="73">
        <f>IF(A16stdlife="n/a","n/a",IF(M$3&gt;(A16stdlife+$F277),(Input!$L$294*(1+vanilla5)^0.5)-SUM($L277:L277),(Input!$L$294*(1+vanilla5)^0.5)/A16stdlife))</f>
        <v>0</v>
      </c>
      <c r="N277" s="73">
        <f>IF(A16stdlife="n/a","n/a",IF(N$3&gt;(A16stdlife+$F277),(Input!$L$294*(1+vanilla5)^0.5)-SUM($L277:M277),(Input!$L$294*(1+vanilla5)^0.5)/A16stdlife))</f>
        <v>0</v>
      </c>
      <c r="O277" s="73">
        <f>IF(A16stdlife="n/a","n/a",IF(O$3&gt;(A16stdlife+$F277),(Input!$L$294*(1+vanilla5)^0.5)-SUM($L277:N277),(Input!$L$294*(1+vanilla5)^0.5)/A16stdlife))</f>
        <v>0</v>
      </c>
      <c r="P277" s="73">
        <f>IF(A16stdlife="n/a","n/a",IF(P$3&gt;(A16stdlife+$F277),(Input!$L$294*(1+vanilla5)^0.5)-SUM($L277:O277),(Input!$L$294*(1+vanilla5)^0.5)/A16stdlife))</f>
        <v>0</v>
      </c>
      <c r="Q277" s="73">
        <f>IF(A16stdlife="n/a","n/a",IF(Q$3&gt;(A16stdlife+$F277),(Input!$L$294*(1+vanilla5)^0.5)-SUM($L277:P277),(Input!$L$294*(1+vanilla5)^0.5)/A16stdlife))</f>
        <v>0</v>
      </c>
      <c r="R277" s="73"/>
      <c r="S277" s="107"/>
      <c r="T277" s="107"/>
      <c r="U277" s="107"/>
      <c r="V277" s="107"/>
      <c r="W277" s="107"/>
      <c r="X277" s="107"/>
      <c r="Y277" s="107"/>
      <c r="Z277" s="107"/>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6"/>
      <c r="E278" s="537"/>
      <c r="F278" s="91">
        <v>6</v>
      </c>
      <c r="G278" s="27"/>
      <c r="H278" s="150"/>
      <c r="I278" s="152"/>
      <c r="J278" s="152"/>
      <c r="K278" s="152"/>
      <c r="L278" s="152"/>
      <c r="M278" s="151"/>
      <c r="N278" s="73">
        <f>IF(A16stdlife="n/a","n/a",IF(N$3&gt;(A16stdlife+$F278),(Input!$M$294*(1+vanilla6)^0.5)-SUM($M278:M278),(Input!$M$294*(1+vanilla6)^0.5)/A16stdlife))</f>
        <v>0</v>
      </c>
      <c r="O278" s="73">
        <f>IF(A16stdlife="n/a","n/a",IF(O$3&gt;(A16stdlife+$F278),(Input!$M$294*(1+vanilla6)^0.5)-SUM($M278:N278),(Input!$M$294*(1+vanilla6)^0.5)/A16stdlife))</f>
        <v>0</v>
      </c>
      <c r="P278" s="73">
        <f>IF(A16stdlife="n/a","n/a",IF(P$3&gt;(A16stdlife+$F278),(Input!$M$294*(1+vanilla6)^0.5)-SUM($M278:O278),(Input!$M$294*(1+vanilla6)^0.5)/A16stdlife))</f>
        <v>0</v>
      </c>
      <c r="Q278" s="73">
        <f>IF(A16stdlife="n/a","n/a",IF(Q$3&gt;(A16stdlife+$F278),(Input!$M$294*(1+vanilla6)^0.5)-SUM($M278:P278),(Input!$M$294*(1+vanilla6)^0.5)/A16stdlife))</f>
        <v>0</v>
      </c>
      <c r="R278" s="73"/>
      <c r="S278" s="107"/>
      <c r="T278" s="107"/>
      <c r="U278" s="107"/>
      <c r="V278" s="107"/>
      <c r="W278" s="107"/>
      <c r="X278" s="107"/>
      <c r="Y278" s="107"/>
      <c r="Z278" s="107"/>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6"/>
      <c r="E279" s="537"/>
      <c r="F279" s="91">
        <v>7</v>
      </c>
      <c r="G279" s="27"/>
      <c r="H279" s="150"/>
      <c r="I279" s="152"/>
      <c r="J279" s="152"/>
      <c r="K279" s="152"/>
      <c r="L279" s="152"/>
      <c r="M279" s="152"/>
      <c r="N279" s="151"/>
      <c r="O279" s="73">
        <f>IF(A16stdlife="n/a","n/a",IF(O$3&gt;(A16stdlife+$F279),(Input!$N$294*(1+vanilla7)^0.5)-SUM($N279:N279),(Input!$N$294*(1+vanilla7)^0.5)/A16stdlife))</f>
        <v>0</v>
      </c>
      <c r="P279" s="73">
        <f>IF(A16stdlife="n/a","n/a",IF(P$3&gt;(A16stdlife+$F279),(Input!$N$294*(1+vanilla7)^0.5)-SUM($N279:O279),(Input!$N$294*(1+vanilla7)^0.5)/A16stdlife))</f>
        <v>0</v>
      </c>
      <c r="Q279" s="73">
        <f>IF(A16stdlife="n/a","n/a",IF(Q$3&gt;(A16stdlife+$F279),(Input!$N$294*(1+vanilla7)^0.5)-SUM($N279:P279),(Input!$N$294*(1+vanilla7)^0.5)/A16stdlife))</f>
        <v>0</v>
      </c>
      <c r="R279" s="73"/>
      <c r="S279" s="107"/>
      <c r="T279" s="107"/>
      <c r="U279" s="107"/>
      <c r="V279" s="107"/>
      <c r="W279" s="107"/>
      <c r="X279" s="107"/>
      <c r="Y279" s="107"/>
      <c r="Z279" s="107"/>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37"/>
      <c r="F280" s="91">
        <v>8</v>
      </c>
      <c r="G280" s="27"/>
      <c r="H280" s="150"/>
      <c r="I280" s="152"/>
      <c r="J280" s="152"/>
      <c r="K280" s="152"/>
      <c r="L280" s="152"/>
      <c r="M280" s="152"/>
      <c r="N280" s="152"/>
      <c r="O280" s="151"/>
      <c r="P280" s="73">
        <f>IF(A16stdlife="n/a","n/a",IF(P$3&gt;(A16stdlife+$F280),(Input!$O$294*(1+vanilla8)^0.5)-SUM($O280:O280),(Input!$O$294*(1+vanilla8)^0.5)/A16stdlife))</f>
        <v>0</v>
      </c>
      <c r="Q280" s="73">
        <f>IF(A16stdlife="n/a","n/a",IF(Q$3&gt;(A16stdlife+$F280),(Input!$O$294*(1+vanilla8)^0.5)-SUM($O280:P280),(Input!$O$294*(1+vanilla8)^0.5)/A16stdlife))</f>
        <v>0</v>
      </c>
      <c r="R280" s="73"/>
      <c r="S280" s="107"/>
      <c r="T280" s="107"/>
      <c r="U280" s="107"/>
      <c r="V280" s="107"/>
      <c r="W280" s="107"/>
      <c r="X280" s="107"/>
      <c r="Y280" s="107"/>
      <c r="Z280" s="107"/>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37"/>
      <c r="F281" s="91">
        <v>9</v>
      </c>
      <c r="G281" s="27"/>
      <c r="H281" s="150"/>
      <c r="I281" s="152"/>
      <c r="J281" s="152"/>
      <c r="K281" s="152"/>
      <c r="L281" s="152"/>
      <c r="M281" s="152"/>
      <c r="N281" s="152"/>
      <c r="O281" s="152"/>
      <c r="P281" s="151"/>
      <c r="Q281" s="73">
        <f>IF(A16stdlife="n/a","n/a",IF(Q$3&gt;(A16stdlife+$F281),(Input!$P$294*(1+vanilla9)^0.5)-SUM($P281:P281),(Input!$P$294*(1+vanilla9)^0.5)/A16stdlife))</f>
        <v>0</v>
      </c>
      <c r="R281" s="73"/>
      <c r="S281" s="107"/>
      <c r="T281" s="107"/>
      <c r="U281" s="107"/>
      <c r="V281" s="107"/>
      <c r="W281" s="107"/>
      <c r="X281" s="107"/>
      <c r="Y281" s="107"/>
      <c r="Z281" s="107"/>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37"/>
      <c r="F282" s="92">
        <v>10</v>
      </c>
      <c r="G282" s="27"/>
      <c r="H282" s="150"/>
      <c r="I282" s="152"/>
      <c r="J282" s="152"/>
      <c r="K282" s="152"/>
      <c r="L282" s="152"/>
      <c r="M282" s="152"/>
      <c r="N282" s="152"/>
      <c r="O282" s="152"/>
      <c r="P282" s="152"/>
      <c r="Q282" s="151"/>
      <c r="R282" s="73"/>
      <c r="S282" s="107"/>
      <c r="T282" s="107"/>
      <c r="U282" s="107"/>
      <c r="V282" s="107"/>
      <c r="W282" s="107"/>
      <c r="X282" s="107"/>
      <c r="Y282" s="107"/>
      <c r="Z282" s="107"/>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9"/>
      <c r="D283" s="272">
        <f>Asset16</f>
        <v>0</v>
      </c>
      <c r="E283" s="9"/>
      <c r="F283" s="9"/>
      <c r="G283" s="125"/>
      <c r="H283" s="166">
        <f>-SUM(H271:H282)</f>
        <v>0</v>
      </c>
      <c r="I283" s="166">
        <f>-SUM(I271:I282)</f>
        <v>0</v>
      </c>
      <c r="J283" s="166">
        <f>-SUM(J271:J282)</f>
        <v>0</v>
      </c>
      <c r="K283" s="166">
        <f>-SUM(K271:K282)</f>
        <v>0</v>
      </c>
      <c r="L283" s="166">
        <f>-SUM(L271:L282)</f>
        <v>0</v>
      </c>
      <c r="M283" s="73">
        <f>IF(COUNT($H283:L283)&gt;=Input!$Y$7,0, -SUM(M271:M282))</f>
        <v>0</v>
      </c>
      <c r="N283" s="73">
        <f>IF(COUNT($H283:M283)&gt;=Input!$Y$7,0, -SUM(N271:N282))</f>
        <v>0</v>
      </c>
      <c r="O283" s="73">
        <f>IF(COUNT($H283:N283)&gt;=Input!$Y$7,0, -SUM(O271:O282))</f>
        <v>0</v>
      </c>
      <c r="P283" s="73">
        <f>IF(COUNT($H283:O283)&gt;=Input!$Y$7,0, -SUM(P271:P282))</f>
        <v>0</v>
      </c>
      <c r="Q283" s="73">
        <f>IF(COUNT($H283:P283)&gt;=Input!$Y$7,0, -SUM(Q271:Q282))</f>
        <v>0</v>
      </c>
      <c r="R283" s="71"/>
      <c r="S283" s="109"/>
      <c r="T283" s="109"/>
      <c r="U283" s="109"/>
      <c r="V283" s="109"/>
      <c r="W283" s="109"/>
      <c r="X283" s="109"/>
      <c r="Y283" s="109"/>
      <c r="Z283" s="109"/>
      <c r="AA283" s="236"/>
      <c r="AB283" s="236"/>
      <c r="AC283" s="236"/>
      <c r="AD283" s="236"/>
      <c r="AE283" s="236"/>
      <c r="AF283" s="236"/>
      <c r="AG283" s="236"/>
      <c r="AH283" s="236"/>
      <c r="AI283" s="236"/>
      <c r="AJ283" s="236"/>
      <c r="AK283" s="236"/>
      <c r="AL283" s="236"/>
      <c r="AM283" s="236"/>
      <c r="AN283" s="236"/>
      <c r="AO283" s="236"/>
      <c r="AP283" s="236"/>
      <c r="AQ283" s="236"/>
      <c r="AR283" s="236"/>
      <c r="AS283" s="236"/>
      <c r="AT283" s="236"/>
      <c r="AU283" s="236"/>
      <c r="AV283" s="236"/>
      <c r="AW283" s="236"/>
      <c r="AX283" s="236"/>
      <c r="AY283" s="236"/>
      <c r="AZ283" s="236"/>
      <c r="BA283" s="236"/>
      <c r="BB283" s="236"/>
      <c r="BC283" s="236"/>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73">
        <f>Asset17</f>
        <v>0</v>
      </c>
      <c r="D284" s="162"/>
      <c r="E284" s="32" t="s">
        <v>5</v>
      </c>
      <c r="F284" s="31"/>
      <c r="G284" s="181"/>
      <c r="H284" s="72">
        <f>IF(H$3&gt;A17remlife,A17value-$G$646-SUM($G284:G284),IF(A17remlife="N/A","n/a",(A17value-$G$646)/A17remlife))</f>
        <v>0</v>
      </c>
      <c r="I284" s="72">
        <f>IF(I$3&gt;A17remlife,A17value-$G$646-SUM($G284:H284),IF(A17remlife="N/A","n/a",(A17value-$G$646)/A17remlife))</f>
        <v>0</v>
      </c>
      <c r="J284" s="72">
        <f>IF(J$3&gt;A17remlife,A17value-$G$646-SUM($G284:I284),IF(A17remlife="N/A","n/a",(A17value-$G$646)/A17remlife))</f>
        <v>0</v>
      </c>
      <c r="K284" s="72">
        <f>IF(K$3&gt;A17remlife,A17value-$G$646-SUM($G284:J284),IF(A17remlife="N/A","n/a",(A17value-$G$646)/A17remlife))</f>
        <v>0</v>
      </c>
      <c r="L284" s="72">
        <f>IF(L$3&gt;A17remlife,A17value-$G$646-SUM($G284:K284),IF(A17remlife="N/A","n/a",(A17value-$G$646)/A17remlife))</f>
        <v>0</v>
      </c>
      <c r="M284" s="72">
        <f>IF(M$3&gt;A17remlife,A17value-$G$646-SUM($G284:L284),IF(A17remlife="N/A","n/a",(A17value-$G$646)/A17remlife))</f>
        <v>0</v>
      </c>
      <c r="N284" s="72">
        <f>IF(N$3&gt;A17remlife,A17value-$G$646-SUM($G284:M284),IF(A17remlife="N/A","n/a",(A17value-$G$646)/A17remlife))</f>
        <v>0</v>
      </c>
      <c r="O284" s="72">
        <f>IF(O$3&gt;A17remlife,A17value-$G$646-SUM($G284:N284),IF(A17remlife="N/A","n/a",(A17value-$G$646)/A17remlife))</f>
        <v>0</v>
      </c>
      <c r="P284" s="72">
        <f>IF(P$3&gt;A17remlife,A17value-$G$646-SUM($G284:O284),IF(A17remlife="N/A","n/a",(A17value-$G$646)/A17remlife))</f>
        <v>0</v>
      </c>
      <c r="Q284" s="72">
        <f>IF(Q$3&gt;A17remlife,A17value-$G$646-SUM($G284:P284),IF(A17remlife="N/A","n/a",(A17value-$G$646)/A17remlife))</f>
        <v>0</v>
      </c>
      <c r="R284" s="72"/>
      <c r="S284" s="107"/>
      <c r="T284" s="107"/>
      <c r="U284" s="107"/>
      <c r="V284" s="107"/>
      <c r="W284" s="107"/>
      <c r="X284" s="107"/>
      <c r="Y284" s="107"/>
      <c r="Z284" s="107"/>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6"/>
      <c r="E285" s="536" t="s">
        <v>59</v>
      </c>
      <c r="F285" s="91"/>
      <c r="G285" s="125"/>
      <c r="H285" s="73"/>
      <c r="I285" s="73"/>
      <c r="J285" s="73"/>
      <c r="K285" s="73"/>
      <c r="L285" s="73"/>
      <c r="M285" s="164"/>
      <c r="N285" s="116"/>
      <c r="O285" s="73"/>
      <c r="P285" s="73"/>
      <c r="Q285" s="73"/>
      <c r="R285" s="73"/>
      <c r="S285" s="107"/>
      <c r="T285" s="107"/>
      <c r="U285" s="107"/>
      <c r="V285" s="107"/>
      <c r="W285" s="107"/>
      <c r="X285" s="107"/>
      <c r="Y285" s="107"/>
      <c r="Z285" s="107"/>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37"/>
      <c r="F286" s="91">
        <v>1</v>
      </c>
      <c r="G286" s="125"/>
      <c r="H286" s="149"/>
      <c r="I286" s="73">
        <f>IF(A17stdlife="n/a","n/a",IF(I$3&gt;(A17stdlife+$F286),(Input!$H$295*(1+vanilla1)^0.5)-SUM($H286:H286),(Input!$H$295*(1+vanilla1)^0.5)/A17stdlife))</f>
        <v>0</v>
      </c>
      <c r="J286" s="73">
        <f>IF(A17stdlife="n/a","n/a",IF(J$3&gt;(A17stdlife+$F286),(Input!$H$295*(1+vanilla1)^0.5)-SUM($H286:I286),(Input!$H$295*(1+vanilla1)^0.5)/A17stdlife))</f>
        <v>0</v>
      </c>
      <c r="K286" s="73">
        <f>IF(A17stdlife="n/a","n/a",IF(K$3&gt;(A17stdlife+$F286),(Input!$H$295*(1+vanilla1)^0.5)-SUM($H286:J286),(Input!$H$295*(1+vanilla1)^0.5)/A17stdlife))</f>
        <v>0</v>
      </c>
      <c r="L286" s="73">
        <f>IF(A17stdlife="n/a","n/a",IF(L$3&gt;(A17stdlife+$F286),(Input!$H$295*(1+vanilla1)^0.5)-SUM($H286:K286),(Input!$H$295*(1+vanilla1)^0.5)/A17stdlife))</f>
        <v>0</v>
      </c>
      <c r="M286" s="73">
        <f>IF(A17stdlife="n/a","n/a",IF(M$3&gt;(A17stdlife+$F286),(Input!$H$295*(1+vanilla1)^0.5)-SUM($H286:L286),(Input!$H$295*(1+vanilla1)^0.5)/A17stdlife))</f>
        <v>0</v>
      </c>
      <c r="N286" s="73">
        <f>IF(A17stdlife="n/a","n/a",IF(N$3&gt;(A17stdlife+$F286),(Input!$H$295*(1+vanilla1)^0.5)-SUM($H286:M286),(Input!$H$295*(1+vanilla1)^0.5)/A17stdlife))</f>
        <v>0</v>
      </c>
      <c r="O286" s="73">
        <f>IF(A17stdlife="n/a","n/a",IF(O$3&gt;(A17stdlife+$F286),(Input!$H$295*(1+vanilla1)^0.5)-SUM($H286:N286),(Input!$H$295*(1+vanilla1)^0.5)/A17stdlife))</f>
        <v>0</v>
      </c>
      <c r="P286" s="73">
        <f>IF(A17stdlife="n/a","n/a",IF(P$3&gt;(A17stdlife+$F286),(Input!$H$295*(1+vanilla1)^0.5)-SUM($H286:O286),(Input!$H$295*(1+vanilla1)^0.5)/A17stdlife))</f>
        <v>0</v>
      </c>
      <c r="Q286" s="73">
        <f>IF(A17stdlife="n/a","n/a",IF(Q$3&gt;(A17stdlife+$F286),(Input!$H$295*(1+vanilla1)^0.5)-SUM($H286:P286),(Input!$H$295*(1+vanilla1)^0.5)/A17stdlife))</f>
        <v>0</v>
      </c>
      <c r="R286" s="73"/>
      <c r="S286" s="107"/>
      <c r="T286" s="107"/>
      <c r="U286" s="107"/>
      <c r="V286" s="107"/>
      <c r="W286" s="107"/>
      <c r="X286" s="107"/>
      <c r="Y286" s="107"/>
      <c r="Z286" s="107"/>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37"/>
      <c r="F287" s="91">
        <v>2</v>
      </c>
      <c r="G287" s="125"/>
      <c r="H287" s="150"/>
      <c r="I287" s="151"/>
      <c r="J287" s="73">
        <f>IF(A17stdlife="n/a","n/a",IF(J$3&gt;(A17stdlife+$F287),(Input!$I$295*(1+vanilla2)^0.5)-SUM($I287:I287),(Input!$I$295*(1+vanilla2)^0.5)/A17stdlife))</f>
        <v>0</v>
      </c>
      <c r="K287" s="73">
        <f>IF(A17stdlife="n/a","n/a",IF(K$3&gt;(A17stdlife+$F287),(Input!$I$295*(1+vanilla2)^0.5)-SUM($I287:J287),(Input!$I$295*(1+vanilla2)^0.5)/A17stdlife))</f>
        <v>0</v>
      </c>
      <c r="L287" s="73">
        <f>IF(A17stdlife="n/a","n/a",IF(L$3&gt;(A17stdlife+$F287),(Input!$I$295*(1+vanilla2)^0.5)-SUM($I287:K287),(Input!$I$295*(1+vanilla2)^0.5)/A17stdlife))</f>
        <v>0</v>
      </c>
      <c r="M287" s="73">
        <f>IF(A17stdlife="n/a","n/a",IF(M$3&gt;(A17stdlife+$F287),(Input!$I$295*(1+vanilla2)^0.5)-SUM($I287:L287),(Input!$I$295*(1+vanilla2)^0.5)/A17stdlife))</f>
        <v>0</v>
      </c>
      <c r="N287" s="73">
        <f>IF(A17stdlife="n/a","n/a",IF(N$3&gt;(A17stdlife+$F287),(Input!$I$295*(1+vanilla2)^0.5)-SUM($I287:M287),(Input!$I$295*(1+vanilla2)^0.5)/A17stdlife))</f>
        <v>0</v>
      </c>
      <c r="O287" s="73">
        <f>IF(A17stdlife="n/a","n/a",IF(O$3&gt;(A17stdlife+$F287),(Input!$I$295*(1+vanilla2)^0.5)-SUM($I287:N287),(Input!$I$295*(1+vanilla2)^0.5)/A17stdlife))</f>
        <v>0</v>
      </c>
      <c r="P287" s="73">
        <f>IF(A17stdlife="n/a","n/a",IF(P$3&gt;(A17stdlife+$F287),(Input!$I$295*(1+vanilla2)^0.5)-SUM($I287:O287),(Input!$I$295*(1+vanilla2)^0.5)/A17stdlife))</f>
        <v>0</v>
      </c>
      <c r="Q287" s="73">
        <f>IF(A17stdlife="n/a","n/a",IF(Q$3&gt;(A17stdlife+$F287),(Input!$I$295*(1+vanilla2)^0.5)-SUM($I287:P287),(Input!$I$295*(1+vanilla2)^0.5)/A17stdlife))</f>
        <v>0</v>
      </c>
      <c r="R287" s="73"/>
      <c r="S287" s="107"/>
      <c r="T287" s="107"/>
      <c r="U287" s="107"/>
      <c r="V287" s="107"/>
      <c r="W287" s="107"/>
      <c r="X287" s="107"/>
      <c r="Y287" s="107"/>
      <c r="Z287" s="107"/>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37"/>
      <c r="F288" s="91">
        <v>3</v>
      </c>
      <c r="G288" s="125"/>
      <c r="H288" s="150"/>
      <c r="I288" s="152"/>
      <c r="J288" s="151"/>
      <c r="K288" s="73">
        <f>IF(A17stdlife="n/a","n/a",IF(K$3&gt;(A17stdlife+$F288),(Input!$J$295*(1+vanilla3)^0.5)-SUM($J288:J288),(Input!$J$295*(1+vanilla3)^0.5)/A17stdlife))</f>
        <v>0</v>
      </c>
      <c r="L288" s="73">
        <f>IF(A17stdlife="n/a","n/a",IF(L$3&gt;(A17stdlife+$F288),(Input!$J$295*(1+vanilla3)^0.5)-SUM($J288:K288),(Input!$J$295*(1+vanilla3)^0.5)/A17stdlife))</f>
        <v>0</v>
      </c>
      <c r="M288" s="73">
        <f>IF(A17stdlife="n/a","n/a",IF(M$3&gt;(A17stdlife+$F288),(Input!$J$295*(1+vanilla3)^0.5)-SUM($J288:L288),(Input!$J$295*(1+vanilla3)^0.5)/A17stdlife))</f>
        <v>0</v>
      </c>
      <c r="N288" s="73">
        <f>IF(A17stdlife="n/a","n/a",IF(N$3&gt;(A17stdlife+$F288),(Input!$J$295*(1+vanilla3)^0.5)-SUM($J288:M288),(Input!$J$295*(1+vanilla3)^0.5)/A17stdlife))</f>
        <v>0</v>
      </c>
      <c r="O288" s="73">
        <f>IF(A17stdlife="n/a","n/a",IF(O$3&gt;(A17stdlife+$F288),(Input!$J$295*(1+vanilla3)^0.5)-SUM($J288:N288),(Input!$J$295*(1+vanilla3)^0.5)/A17stdlife))</f>
        <v>0</v>
      </c>
      <c r="P288" s="73">
        <f>IF(A17stdlife="n/a","n/a",IF(P$3&gt;(A17stdlife+$F288),(Input!$J$295*(1+vanilla3)^0.5)-SUM($J288:O288),(Input!$J$295*(1+vanilla3)^0.5)/A17stdlife))</f>
        <v>0</v>
      </c>
      <c r="Q288" s="73">
        <f>IF(A17stdlife="n/a","n/a",IF(Q$3&gt;(A17stdlife+$F288),(Input!$J$295*(1+vanilla3)^0.5)-SUM($J288:P288),(Input!$J$295*(1+vanilla3)^0.5)/A17stdlife))</f>
        <v>0</v>
      </c>
      <c r="R288" s="73"/>
      <c r="S288" s="107"/>
      <c r="T288" s="107"/>
      <c r="U288" s="107"/>
      <c r="V288" s="107"/>
      <c r="W288" s="107"/>
      <c r="X288" s="107"/>
      <c r="Y288" s="107"/>
      <c r="Z288" s="107"/>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37"/>
      <c r="F289" s="91">
        <v>4</v>
      </c>
      <c r="G289" s="125"/>
      <c r="H289" s="150"/>
      <c r="I289" s="152"/>
      <c r="J289" s="152"/>
      <c r="K289" s="151"/>
      <c r="L289" s="73">
        <f>IF(A17stdlife="n/a","n/a",IF(L$3&gt;(A17stdlife+$F289),(Input!$K$295*(1+vanilla4)^0.5)-SUM($K289:K289),(Input!$K$295*(1+vanilla4)^0.5)/A17stdlife))</f>
        <v>0</v>
      </c>
      <c r="M289" s="73">
        <f>IF(A17stdlife="n/a","n/a",IF(M$3&gt;(A17stdlife+$F289),(Input!$K$295*(1+vanilla4)^0.5)-SUM($K289:L289),(Input!$K$295*(1+vanilla4)^0.5)/A17stdlife))</f>
        <v>0</v>
      </c>
      <c r="N289" s="73">
        <f>IF(A17stdlife="n/a","n/a",IF(N$3&gt;(A17stdlife+$F289),(Input!$K$295*(1+vanilla4)^0.5)-SUM($K289:M289),(Input!$K$295*(1+vanilla4)^0.5)/A17stdlife))</f>
        <v>0</v>
      </c>
      <c r="O289" s="73">
        <f>IF(A17stdlife="n/a","n/a",IF(O$3&gt;(A17stdlife+$F289),(Input!$K$295*(1+vanilla4)^0.5)-SUM($K289:N289),(Input!$K$295*(1+vanilla4)^0.5)/A17stdlife))</f>
        <v>0</v>
      </c>
      <c r="P289" s="73">
        <f>IF(A17stdlife="n/a","n/a",IF(P$3&gt;(A17stdlife+$F289),(Input!$K$295*(1+vanilla4)^0.5)-SUM($K289:O289),(Input!$K$295*(1+vanilla4)^0.5)/A17stdlife))</f>
        <v>0</v>
      </c>
      <c r="Q289" s="73">
        <f>IF(A17stdlife="n/a","n/a",IF(Q$3&gt;(A17stdlife+$F289),(Input!$K$295*(1+vanilla4)^0.5)-SUM($K289:P289),(Input!$K$295*(1+vanilla4)^0.5)/A17stdlife))</f>
        <v>0</v>
      </c>
      <c r="R289" s="73"/>
      <c r="S289" s="107"/>
      <c r="T289" s="107"/>
      <c r="U289" s="107"/>
      <c r="V289" s="107"/>
      <c r="W289" s="107"/>
      <c r="X289" s="107"/>
      <c r="Y289" s="107"/>
      <c r="Z289" s="107"/>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6"/>
      <c r="E290" s="537"/>
      <c r="F290" s="91">
        <v>5</v>
      </c>
      <c r="G290" s="27"/>
      <c r="H290" s="150"/>
      <c r="I290" s="152"/>
      <c r="J290" s="152"/>
      <c r="K290" s="152"/>
      <c r="L290" s="151"/>
      <c r="M290" s="73">
        <f>IF(A17stdlife="n/a","n/a",IF(M$3&gt;(A17stdlife+$F290),(Input!$L$295*(1+vanilla5)^0.5)-SUM($L290:L290),(Input!$L$295*(1+vanilla5)^0.5)/A17stdlife))</f>
        <v>0</v>
      </c>
      <c r="N290" s="73">
        <f>IF(A17stdlife="n/a","n/a",IF(N$3&gt;(A17stdlife+$F290),(Input!$L$295*(1+vanilla5)^0.5)-SUM($L290:M290),(Input!$L$295*(1+vanilla5)^0.5)/A17stdlife))</f>
        <v>0</v>
      </c>
      <c r="O290" s="73">
        <f>IF(A17stdlife="n/a","n/a",IF(O$3&gt;(A17stdlife+$F290),(Input!$L$295*(1+vanilla5)^0.5)-SUM($L290:N290),(Input!$L$295*(1+vanilla5)^0.5)/A17stdlife))</f>
        <v>0</v>
      </c>
      <c r="P290" s="73">
        <f>IF(A17stdlife="n/a","n/a",IF(P$3&gt;(A17stdlife+$F290),(Input!$L$295*(1+vanilla5)^0.5)-SUM($L290:O290),(Input!$L$295*(1+vanilla5)^0.5)/A17stdlife))</f>
        <v>0</v>
      </c>
      <c r="Q290" s="73">
        <f>IF(A17stdlife="n/a","n/a",IF(Q$3&gt;(A17stdlife+$F290),(Input!$L$295*(1+vanilla5)^0.5)-SUM($L290:P290),(Input!$L$295*(1+vanilla5)^0.5)/A17stdlife))</f>
        <v>0</v>
      </c>
      <c r="R290" s="73"/>
      <c r="S290" s="107"/>
      <c r="T290" s="107"/>
      <c r="U290" s="107"/>
      <c r="V290" s="107"/>
      <c r="W290" s="107"/>
      <c r="X290" s="107"/>
      <c r="Y290" s="107"/>
      <c r="Z290" s="107"/>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6"/>
      <c r="E291" s="537"/>
      <c r="F291" s="91">
        <v>6</v>
      </c>
      <c r="G291" s="27"/>
      <c r="H291" s="150"/>
      <c r="I291" s="152"/>
      <c r="J291" s="152"/>
      <c r="K291" s="152"/>
      <c r="L291" s="152"/>
      <c r="M291" s="151"/>
      <c r="N291" s="73">
        <f>IF(A17stdlife="n/a","n/a",IF(N$3&gt;(A17stdlife+$F291),(Input!$M$295*(1+vanilla6)^0.5)-SUM($M291:M291),(Input!$M$295*(1+vanilla6)^0.5)/A17stdlife))</f>
        <v>0</v>
      </c>
      <c r="O291" s="73">
        <f>IF(A17stdlife="n/a","n/a",IF(O$3&gt;(A17stdlife+$F291),(Input!$M$295*(1+vanilla6)^0.5)-SUM($M291:N291),(Input!$M$295*(1+vanilla6)^0.5)/A17stdlife))</f>
        <v>0</v>
      </c>
      <c r="P291" s="73">
        <f>IF(A17stdlife="n/a","n/a",IF(P$3&gt;(A17stdlife+$F291),(Input!$M$295*(1+vanilla6)^0.5)-SUM($M291:O291),(Input!$M$295*(1+vanilla6)^0.5)/A17stdlife))</f>
        <v>0</v>
      </c>
      <c r="Q291" s="73">
        <f>IF(A17stdlife="n/a","n/a",IF(Q$3&gt;(A17stdlife+$F291),(Input!$M$295*(1+vanilla6)^0.5)-SUM($M291:P291),(Input!$M$295*(1+vanilla6)^0.5)/A17stdlife))</f>
        <v>0</v>
      </c>
      <c r="R291" s="73"/>
      <c r="S291" s="107"/>
      <c r="T291" s="107"/>
      <c r="U291" s="107"/>
      <c r="V291" s="107"/>
      <c r="W291" s="107"/>
      <c r="X291" s="107"/>
      <c r="Y291" s="107"/>
      <c r="Z291" s="107"/>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6"/>
      <c r="E292" s="537"/>
      <c r="F292" s="91">
        <v>7</v>
      </c>
      <c r="G292" s="27"/>
      <c r="H292" s="150"/>
      <c r="I292" s="152"/>
      <c r="J292" s="152"/>
      <c r="K292" s="152"/>
      <c r="L292" s="152"/>
      <c r="M292" s="152"/>
      <c r="N292" s="151"/>
      <c r="O292" s="73">
        <f>IF(A17stdlife="n/a","n/a",IF(O$3&gt;(A17stdlife+$F292),(Input!$N$295*(1+vanilla7)^0.5)-SUM($N292:N292),(Input!$N$295*(1+vanilla7)^0.5)/A17stdlife))</f>
        <v>0</v>
      </c>
      <c r="P292" s="73">
        <f>IF(A17stdlife="n/a","n/a",IF(P$3&gt;(A17stdlife+$F292),(Input!$N$295*(1+vanilla7)^0.5)-SUM($N292:O292),(Input!$N$295*(1+vanilla7)^0.5)/A17stdlife))</f>
        <v>0</v>
      </c>
      <c r="Q292" s="73">
        <f>IF(A17stdlife="n/a","n/a",IF(Q$3&gt;(A17stdlife+$F292),(Input!$N$295*(1+vanilla7)^0.5)-SUM($N292:P292),(Input!$N$295*(1+vanilla7)^0.5)/A17stdlife))</f>
        <v>0</v>
      </c>
      <c r="R292" s="73"/>
      <c r="S292" s="107"/>
      <c r="T292" s="107"/>
      <c r="U292" s="107"/>
      <c r="V292" s="107"/>
      <c r="W292" s="107"/>
      <c r="X292" s="107"/>
      <c r="Y292" s="107"/>
      <c r="Z292" s="107"/>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37"/>
      <c r="F293" s="91">
        <v>8</v>
      </c>
      <c r="G293" s="27"/>
      <c r="H293" s="150"/>
      <c r="I293" s="152"/>
      <c r="J293" s="152"/>
      <c r="K293" s="152"/>
      <c r="L293" s="152"/>
      <c r="M293" s="152"/>
      <c r="N293" s="152"/>
      <c r="O293" s="151"/>
      <c r="P293" s="73">
        <f>IF(A17stdlife="n/a","n/a",IF(P$3&gt;(A17stdlife+$F293),(Input!$O$295*(1+vanilla8)^0.5)-SUM($O293:O293),(Input!$O$295*(1+vanilla8)^0.5)/A17stdlife))</f>
        <v>0</v>
      </c>
      <c r="Q293" s="73">
        <f>IF(A17stdlife="n/a","n/a",IF(Q$3&gt;(A17stdlife+$F293),(Input!$O$295*(1+vanilla8)^0.5)-SUM($O293:P293),(Input!$O$295*(1+vanilla8)^0.5)/A17stdlife))</f>
        <v>0</v>
      </c>
      <c r="R293" s="73"/>
      <c r="S293" s="107"/>
      <c r="T293" s="107"/>
      <c r="U293" s="107"/>
      <c r="V293" s="107"/>
      <c r="W293" s="107"/>
      <c r="X293" s="107"/>
      <c r="Y293" s="107"/>
      <c r="Z293" s="107"/>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37"/>
      <c r="F294" s="91">
        <v>9</v>
      </c>
      <c r="G294" s="27"/>
      <c r="H294" s="150"/>
      <c r="I294" s="152"/>
      <c r="J294" s="152"/>
      <c r="K294" s="152"/>
      <c r="L294" s="152"/>
      <c r="M294" s="152"/>
      <c r="N294" s="152"/>
      <c r="O294" s="152"/>
      <c r="P294" s="151"/>
      <c r="Q294" s="73">
        <f>IF(A17stdlife="n/a","n/a",IF(Q$3&gt;(A17stdlife+$F294),(Input!$P$295*(1+vanilla9)^0.5)-SUM($P294:P294),(Input!$P$295*(1+vanilla9)^0.5)/A17stdlife))</f>
        <v>0</v>
      </c>
      <c r="R294" s="73"/>
      <c r="S294" s="107"/>
      <c r="T294" s="107"/>
      <c r="U294" s="107"/>
      <c r="V294" s="107"/>
      <c r="W294" s="107"/>
      <c r="X294" s="107"/>
      <c r="Y294" s="107"/>
      <c r="Z294" s="107"/>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37"/>
      <c r="F295" s="92">
        <v>10</v>
      </c>
      <c r="G295" s="27"/>
      <c r="H295" s="150"/>
      <c r="I295" s="152"/>
      <c r="J295" s="152"/>
      <c r="K295" s="152"/>
      <c r="L295" s="152"/>
      <c r="M295" s="152"/>
      <c r="N295" s="152"/>
      <c r="O295" s="152"/>
      <c r="P295" s="152"/>
      <c r="Q295" s="151"/>
      <c r="R295" s="73"/>
      <c r="S295" s="107"/>
      <c r="T295" s="107"/>
      <c r="U295" s="107"/>
      <c r="V295" s="107"/>
      <c r="W295" s="107"/>
      <c r="X295" s="107"/>
      <c r="Y295" s="107"/>
      <c r="Z295" s="107"/>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c r="A296" s="9"/>
      <c r="B296" s="9"/>
      <c r="C296" s="9"/>
      <c r="D296" s="272">
        <f>Asset17</f>
        <v>0</v>
      </c>
      <c r="E296" s="9"/>
      <c r="F296" s="9"/>
      <c r="G296" s="125"/>
      <c r="H296" s="166">
        <f>-SUM(H284:H295)</f>
        <v>0</v>
      </c>
      <c r="I296" s="166">
        <f>-SUM(I284:I295)</f>
        <v>0</v>
      </c>
      <c r="J296" s="166">
        <f>-SUM(J284:J295)</f>
        <v>0</v>
      </c>
      <c r="K296" s="166">
        <f>-SUM(K284:K295)</f>
        <v>0</v>
      </c>
      <c r="L296" s="166">
        <f>-SUM(L284:L295)</f>
        <v>0</v>
      </c>
      <c r="M296" s="73">
        <f>IF(COUNT($H296:L296)&gt;=Input!$Y$7,0, -SUM(M284:M295))</f>
        <v>0</v>
      </c>
      <c r="N296" s="73">
        <f>IF(COUNT($H296:M296)&gt;=Input!$Y$7,0, -SUM(N284:N295))</f>
        <v>0</v>
      </c>
      <c r="O296" s="73">
        <f>IF(COUNT($H296:N296)&gt;=Input!$Y$7,0, -SUM(O284:O295))</f>
        <v>0</v>
      </c>
      <c r="P296" s="73">
        <f>IF(COUNT($H296:O296)&gt;=Input!$Y$7,0, -SUM(P284:P295))</f>
        <v>0</v>
      </c>
      <c r="Q296" s="73">
        <f>IF(COUNT($H296:P296)&gt;=Input!$Y$7,0, -SUM(Q284:Q295))</f>
        <v>0</v>
      </c>
      <c r="R296" s="71"/>
      <c r="S296" s="109"/>
      <c r="T296" s="109"/>
      <c r="U296" s="109"/>
      <c r="V296" s="109"/>
      <c r="W296" s="109"/>
      <c r="X296" s="109"/>
      <c r="Y296" s="109"/>
      <c r="Z296" s="109"/>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73">
        <f>Asset18</f>
        <v>0</v>
      </c>
      <c r="D297" s="162"/>
      <c r="E297" s="32" t="s">
        <v>5</v>
      </c>
      <c r="F297" s="31"/>
      <c r="G297" s="181"/>
      <c r="H297" s="72">
        <f>IF(H$3&gt;A18remlife,A18value-$G$647-SUM($G297:G297),IF(A18remlife="N/A","n/a",(A18value-$G$647)/A18remlife))</f>
        <v>0</v>
      </c>
      <c r="I297" s="72">
        <f>IF(I$3&gt;A18remlife,A18value-$G$647-SUM($G297:H297),IF(A18remlife="N/A","n/a",(A18value-$G$647)/A18remlife))</f>
        <v>0</v>
      </c>
      <c r="J297" s="72">
        <f>IF(J$3&gt;A18remlife,A18value-$G$647-SUM($G297:I297),IF(A18remlife="N/A","n/a",(A18value-$G$647)/A18remlife))</f>
        <v>0</v>
      </c>
      <c r="K297" s="72">
        <f>IF(K$3&gt;A18remlife,A18value-$G$647-SUM($G297:J297),IF(A18remlife="N/A","n/a",(A18value-$G$647)/A18remlife))</f>
        <v>0</v>
      </c>
      <c r="L297" s="72">
        <f>IF(L$3&gt;A18remlife,A18value-$G$647-SUM($G297:K297),IF(A18remlife="N/A","n/a",(A18value-$G$647)/A18remlife))</f>
        <v>0</v>
      </c>
      <c r="M297" s="72">
        <f>IF(M$3&gt;A18remlife,A18value-$G$647-SUM($G297:L297),IF(A18remlife="N/A","n/a",(A18value-$G$647)/A18remlife))</f>
        <v>0</v>
      </c>
      <c r="N297" s="72">
        <f>IF(N$3&gt;A18remlife,A18value-$G$647-SUM($G297:M297),IF(A18remlife="N/A","n/a",(A18value-$G$647)/A18remlife))</f>
        <v>0</v>
      </c>
      <c r="O297" s="72">
        <f>IF(O$3&gt;A18remlife,A18value-$G$647-SUM($G297:N297),IF(A18remlife="N/A","n/a",(A18value-$G$647)/A18remlife))</f>
        <v>0</v>
      </c>
      <c r="P297" s="72">
        <f>IF(P$3&gt;A18remlife,A18value-$G$647-SUM($G297:O297),IF(A18remlife="N/A","n/a",(A18value-$G$647)/A18remlife))</f>
        <v>0</v>
      </c>
      <c r="Q297" s="72">
        <f>IF(Q$3&gt;A18remlife,A18value-$G$647-SUM($G297:P297),IF(A18remlife="N/A","n/a",(A18value-$G$647)/A18remlife))</f>
        <v>0</v>
      </c>
      <c r="R297" s="72"/>
      <c r="S297" s="107"/>
      <c r="T297" s="107"/>
      <c r="U297" s="107"/>
      <c r="V297" s="107"/>
      <c r="W297" s="107"/>
      <c r="X297" s="107"/>
      <c r="Y297" s="107"/>
      <c r="Z297" s="107"/>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6"/>
      <c r="E298" s="536" t="s">
        <v>59</v>
      </c>
      <c r="F298" s="91"/>
      <c r="G298" s="125"/>
      <c r="H298" s="73"/>
      <c r="I298" s="73"/>
      <c r="J298" s="73"/>
      <c r="K298" s="73"/>
      <c r="L298" s="73"/>
      <c r="M298" s="164"/>
      <c r="N298" s="116"/>
      <c r="O298" s="73"/>
      <c r="P298" s="73"/>
      <c r="Q298" s="73"/>
      <c r="R298" s="73"/>
      <c r="S298" s="107"/>
      <c r="T298" s="107"/>
      <c r="U298" s="107"/>
      <c r="V298" s="107"/>
      <c r="W298" s="107"/>
      <c r="X298" s="107"/>
      <c r="Y298" s="107"/>
      <c r="Z298" s="107"/>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37"/>
      <c r="F299" s="91">
        <v>1</v>
      </c>
      <c r="G299" s="125"/>
      <c r="H299" s="149"/>
      <c r="I299" s="73">
        <f>IF(A18stdlife="n/a","n/a",IF(I$3&gt;(A18stdlife+$F299),(Input!$H$296*(1+vanilla1)^0.5)-SUM($H299:H299),(Input!$H$296*(1+vanilla1)^0.5)/A18stdlife))</f>
        <v>0</v>
      </c>
      <c r="J299" s="73">
        <f>IF(A18stdlife="n/a","n/a",IF(J$3&gt;(A18stdlife+$F299),(Input!$H$296*(1+vanilla1)^0.5)-SUM($H299:I299),(Input!$H$296*(1+vanilla1)^0.5)/A18stdlife))</f>
        <v>0</v>
      </c>
      <c r="K299" s="73">
        <f>IF(A18stdlife="n/a","n/a",IF(K$3&gt;(A18stdlife+$F299),(Input!$H$296*(1+vanilla1)^0.5)-SUM($H299:J299),(Input!$H$296*(1+vanilla1)^0.5)/A18stdlife))</f>
        <v>0</v>
      </c>
      <c r="L299" s="73">
        <f>IF(A18stdlife="n/a","n/a",IF(L$3&gt;(A18stdlife+$F299),(Input!$H$296*(1+vanilla1)^0.5)-SUM($H299:K299),(Input!$H$296*(1+vanilla1)^0.5)/A18stdlife))</f>
        <v>0</v>
      </c>
      <c r="M299" s="73">
        <f>IF(A18stdlife="n/a","n/a",IF(M$3&gt;(A18stdlife+$F299),(Input!$H$296*(1+vanilla1)^0.5)-SUM($H299:L299),(Input!$H$296*(1+vanilla1)^0.5)/A18stdlife))</f>
        <v>0</v>
      </c>
      <c r="N299" s="73">
        <f>IF(A18stdlife="n/a","n/a",IF(N$3&gt;(A18stdlife+$F299),(Input!$H$296*(1+vanilla1)^0.5)-SUM($H299:M299),(Input!$H$296*(1+vanilla1)^0.5)/A18stdlife))</f>
        <v>0</v>
      </c>
      <c r="O299" s="73">
        <f>IF(A18stdlife="n/a","n/a",IF(O$3&gt;(A18stdlife+$F299),(Input!$H$296*(1+vanilla1)^0.5)-SUM($H299:N299),(Input!$H$296*(1+vanilla1)^0.5)/A18stdlife))</f>
        <v>0</v>
      </c>
      <c r="P299" s="73">
        <f>IF(A18stdlife="n/a","n/a",IF(P$3&gt;(A18stdlife+$F299),(Input!$H$296*(1+vanilla1)^0.5)-SUM($H299:O299),(Input!$H$296*(1+vanilla1)^0.5)/A18stdlife))</f>
        <v>0</v>
      </c>
      <c r="Q299" s="73">
        <f>IF(A18stdlife="n/a","n/a",IF(Q$3&gt;(A18stdlife+$F299),(Input!$H$296*(1+vanilla1)^0.5)-SUM($H299:P299),(Input!$H$296*(1+vanilla1)^0.5)/A18stdlife))</f>
        <v>0</v>
      </c>
      <c r="R299" s="73"/>
      <c r="S299" s="107"/>
      <c r="T299" s="107"/>
      <c r="U299" s="107"/>
      <c r="V299" s="107"/>
      <c r="W299" s="107"/>
      <c r="X299" s="107"/>
      <c r="Y299" s="107"/>
      <c r="Z299" s="107"/>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37"/>
      <c r="F300" s="91">
        <v>2</v>
      </c>
      <c r="G300" s="125"/>
      <c r="H300" s="150"/>
      <c r="I300" s="151"/>
      <c r="J300" s="73">
        <f>IF(A18stdlife="n/a","n/a",IF(J$3&gt;(A18stdlife+$F300),(Input!$I$296*(1+vanilla2)^0.5)-SUM($I300:I300),(Input!$I$296*(1+vanilla2)^0.5)/A18stdlife))</f>
        <v>0</v>
      </c>
      <c r="K300" s="73">
        <f>IF(A18stdlife="n/a","n/a",IF(K$3&gt;(A18stdlife+$F300),(Input!$I$296*(1+vanilla2)^0.5)-SUM($I300:J300),(Input!$I$296*(1+vanilla2)^0.5)/A18stdlife))</f>
        <v>0</v>
      </c>
      <c r="L300" s="73">
        <f>IF(A18stdlife="n/a","n/a",IF(L$3&gt;(A18stdlife+$F300),(Input!$I$296*(1+vanilla2)^0.5)-SUM($I300:K300),(Input!$I$296*(1+vanilla2)^0.5)/A18stdlife))</f>
        <v>0</v>
      </c>
      <c r="M300" s="73">
        <f>IF(A18stdlife="n/a","n/a",IF(M$3&gt;(A18stdlife+$F300),(Input!$I$296*(1+vanilla2)^0.5)-SUM($I300:L300),(Input!$I$296*(1+vanilla2)^0.5)/A18stdlife))</f>
        <v>0</v>
      </c>
      <c r="N300" s="73">
        <f>IF(A18stdlife="n/a","n/a",IF(N$3&gt;(A18stdlife+$F300),(Input!$I$296*(1+vanilla2)^0.5)-SUM($I300:M300),(Input!$I$296*(1+vanilla2)^0.5)/A18stdlife))</f>
        <v>0</v>
      </c>
      <c r="O300" s="73">
        <f>IF(A18stdlife="n/a","n/a",IF(O$3&gt;(A18stdlife+$F300),(Input!$I$296*(1+vanilla2)^0.5)-SUM($I300:N300),(Input!$I$296*(1+vanilla2)^0.5)/A18stdlife))</f>
        <v>0</v>
      </c>
      <c r="P300" s="73">
        <f>IF(A18stdlife="n/a","n/a",IF(P$3&gt;(A18stdlife+$F300),(Input!$I$296*(1+vanilla2)^0.5)-SUM($I300:O300),(Input!$I$296*(1+vanilla2)^0.5)/A18stdlife))</f>
        <v>0</v>
      </c>
      <c r="Q300" s="73">
        <f>IF(A18stdlife="n/a","n/a",IF(Q$3&gt;(A18stdlife+$F300),(Input!$I$296*(1+vanilla2)^0.5)-SUM($I300:P300),(Input!$I$296*(1+vanilla2)^0.5)/A18stdlife))</f>
        <v>0</v>
      </c>
      <c r="R300" s="73"/>
      <c r="S300" s="107"/>
      <c r="T300" s="107"/>
      <c r="U300" s="107"/>
      <c r="V300" s="107"/>
      <c r="W300" s="107"/>
      <c r="X300" s="107"/>
      <c r="Y300" s="107"/>
      <c r="Z300" s="107"/>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37"/>
      <c r="F301" s="91">
        <v>3</v>
      </c>
      <c r="G301" s="125"/>
      <c r="H301" s="150"/>
      <c r="I301" s="152"/>
      <c r="J301" s="151"/>
      <c r="K301" s="73">
        <f>IF(A18stdlife="n/a","n/a",IF(K$3&gt;(A18stdlife+$F301),(Input!$J$296*(1+vanilla3)^0.5)-SUM($J301:J301),(Input!$J$296*(1+vanilla3)^0.5)/A18stdlife))</f>
        <v>0</v>
      </c>
      <c r="L301" s="73">
        <f>IF(A18stdlife="n/a","n/a",IF(L$3&gt;(A18stdlife+$F301),(Input!$J$296*(1+vanilla3)^0.5)-SUM($J301:K301),(Input!$J$296*(1+vanilla3)^0.5)/A18stdlife))</f>
        <v>0</v>
      </c>
      <c r="M301" s="73">
        <f>IF(A18stdlife="n/a","n/a",IF(M$3&gt;(A18stdlife+$F301),(Input!$J$296*(1+vanilla3)^0.5)-SUM($J301:L301),(Input!$J$296*(1+vanilla3)^0.5)/A18stdlife))</f>
        <v>0</v>
      </c>
      <c r="N301" s="73">
        <f>IF(A18stdlife="n/a","n/a",IF(N$3&gt;(A18stdlife+$F301),(Input!$J$296*(1+vanilla3)^0.5)-SUM($J301:M301),(Input!$J$296*(1+vanilla3)^0.5)/A18stdlife))</f>
        <v>0</v>
      </c>
      <c r="O301" s="73">
        <f>IF(A18stdlife="n/a","n/a",IF(O$3&gt;(A18stdlife+$F301),(Input!$J$296*(1+vanilla3)^0.5)-SUM($J301:N301),(Input!$J$296*(1+vanilla3)^0.5)/A18stdlife))</f>
        <v>0</v>
      </c>
      <c r="P301" s="73">
        <f>IF(A18stdlife="n/a","n/a",IF(P$3&gt;(A18stdlife+$F301),(Input!$J$296*(1+vanilla3)^0.5)-SUM($J301:O301),(Input!$J$296*(1+vanilla3)^0.5)/A18stdlife))</f>
        <v>0</v>
      </c>
      <c r="Q301" s="73">
        <f>IF(A18stdlife="n/a","n/a",IF(Q$3&gt;(A18stdlife+$F301),(Input!$J$296*(1+vanilla3)^0.5)-SUM($J301:P301),(Input!$J$296*(1+vanilla3)^0.5)/A18stdlife))</f>
        <v>0</v>
      </c>
      <c r="R301" s="73"/>
      <c r="S301" s="107"/>
      <c r="T301" s="107"/>
      <c r="U301" s="107"/>
      <c r="V301" s="107"/>
      <c r="W301" s="107"/>
      <c r="X301" s="107"/>
      <c r="Y301" s="107"/>
      <c r="Z301" s="107"/>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37"/>
      <c r="F302" s="91">
        <v>4</v>
      </c>
      <c r="G302" s="125"/>
      <c r="H302" s="150"/>
      <c r="I302" s="152"/>
      <c r="J302" s="152"/>
      <c r="K302" s="151"/>
      <c r="L302" s="73">
        <f>IF(A18stdlife="n/a","n/a",IF(L$3&gt;(A18stdlife+$F302),(Input!$K$296*(1+vanilla4)^0.5)-SUM($K302:K302),(Input!$K$296*(1+vanilla4)^0.5)/A18stdlife))</f>
        <v>0</v>
      </c>
      <c r="M302" s="73">
        <f>IF(A18stdlife="n/a","n/a",IF(M$3&gt;(A18stdlife+$F302),(Input!$K$296*(1+vanilla4)^0.5)-SUM($K302:L302),(Input!$K$296*(1+vanilla4)^0.5)/A18stdlife))</f>
        <v>0</v>
      </c>
      <c r="N302" s="73">
        <f>IF(A18stdlife="n/a","n/a",IF(N$3&gt;(A18stdlife+$F302),(Input!$K$296*(1+vanilla4)^0.5)-SUM($K302:M302),(Input!$K$296*(1+vanilla4)^0.5)/A18stdlife))</f>
        <v>0</v>
      </c>
      <c r="O302" s="73">
        <f>IF(A18stdlife="n/a","n/a",IF(O$3&gt;(A18stdlife+$F302),(Input!$K$296*(1+vanilla4)^0.5)-SUM($K302:N302),(Input!$K$296*(1+vanilla4)^0.5)/A18stdlife))</f>
        <v>0</v>
      </c>
      <c r="P302" s="73">
        <f>IF(A18stdlife="n/a","n/a",IF(P$3&gt;(A18stdlife+$F302),(Input!$K$296*(1+vanilla4)^0.5)-SUM($K302:O302),(Input!$K$296*(1+vanilla4)^0.5)/A18stdlife))</f>
        <v>0</v>
      </c>
      <c r="Q302" s="73">
        <f>IF(A18stdlife="n/a","n/a",IF(Q$3&gt;(A18stdlife+$F302),(Input!$K$296*(1+vanilla4)^0.5)-SUM($K302:P302),(Input!$K$296*(1+vanilla4)^0.5)/A18stdlife))</f>
        <v>0</v>
      </c>
      <c r="R302" s="73"/>
      <c r="S302" s="107"/>
      <c r="T302" s="107"/>
      <c r="U302" s="107"/>
      <c r="V302" s="107"/>
      <c r="W302" s="107"/>
      <c r="X302" s="107"/>
      <c r="Y302" s="107"/>
      <c r="Z302" s="107"/>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6"/>
      <c r="E303" s="537"/>
      <c r="F303" s="91">
        <v>5</v>
      </c>
      <c r="G303" s="27"/>
      <c r="H303" s="150"/>
      <c r="I303" s="152"/>
      <c r="J303" s="152"/>
      <c r="K303" s="152"/>
      <c r="L303" s="151"/>
      <c r="M303" s="73">
        <f>IF(A18stdlife="n/a","n/a",IF(M$3&gt;(A18stdlife+$F303),(Input!$L$296*(1+vanilla5)^0.5)-SUM($L303:L303),(Input!$L$296*(1+vanilla5)^0.5)/A18stdlife))</f>
        <v>0</v>
      </c>
      <c r="N303" s="73">
        <f>IF(A18stdlife="n/a","n/a",IF(N$3&gt;(A18stdlife+$F303),(Input!$L$296*(1+vanilla5)^0.5)-SUM($L303:M303),(Input!$L$296*(1+vanilla5)^0.5)/A18stdlife))</f>
        <v>0</v>
      </c>
      <c r="O303" s="73">
        <f>IF(A18stdlife="n/a","n/a",IF(O$3&gt;(A18stdlife+$F303),(Input!$L$296*(1+vanilla5)^0.5)-SUM($L303:N303),(Input!$L$296*(1+vanilla5)^0.5)/A18stdlife))</f>
        <v>0</v>
      </c>
      <c r="P303" s="73">
        <f>IF(A18stdlife="n/a","n/a",IF(P$3&gt;(A18stdlife+$F303),(Input!$L$296*(1+vanilla5)^0.5)-SUM($L303:O303),(Input!$L$296*(1+vanilla5)^0.5)/A18stdlife))</f>
        <v>0</v>
      </c>
      <c r="Q303" s="73">
        <f>IF(A18stdlife="n/a","n/a",IF(Q$3&gt;(A18stdlife+$F303),(Input!$L$296*(1+vanilla5)^0.5)-SUM($L303:P303),(Input!$L$296*(1+vanilla5)^0.5)/A18stdlife))</f>
        <v>0</v>
      </c>
      <c r="R303" s="73"/>
      <c r="S303" s="107"/>
      <c r="T303" s="107"/>
      <c r="U303" s="107"/>
      <c r="V303" s="107"/>
      <c r="W303" s="107"/>
      <c r="X303" s="107"/>
      <c r="Y303" s="107"/>
      <c r="Z303" s="107"/>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6"/>
      <c r="E304" s="537"/>
      <c r="F304" s="91">
        <v>6</v>
      </c>
      <c r="G304" s="27"/>
      <c r="H304" s="150"/>
      <c r="I304" s="152"/>
      <c r="J304" s="152"/>
      <c r="K304" s="152"/>
      <c r="L304" s="152"/>
      <c r="M304" s="151"/>
      <c r="N304" s="73">
        <f>IF(A18stdlife="n/a","n/a",IF(N$3&gt;(A18stdlife+$F304),(Input!$M$296*(1+vanilla6)^0.5)-SUM($M304:M304),(Input!$M$296*(1+vanilla6)^0.5)/A18stdlife))</f>
        <v>0</v>
      </c>
      <c r="O304" s="73">
        <f>IF(A18stdlife="n/a","n/a",IF(O$3&gt;(A18stdlife+$F304),(Input!$M$296*(1+vanilla6)^0.5)-SUM($M304:N304),(Input!$M$296*(1+vanilla6)^0.5)/A18stdlife))</f>
        <v>0</v>
      </c>
      <c r="P304" s="73">
        <f>IF(A18stdlife="n/a","n/a",IF(P$3&gt;(A18stdlife+$F304),(Input!$M$296*(1+vanilla6)^0.5)-SUM($M304:O304),(Input!$M$296*(1+vanilla6)^0.5)/A18stdlife))</f>
        <v>0</v>
      </c>
      <c r="Q304" s="73">
        <f>IF(A18stdlife="n/a","n/a",IF(Q$3&gt;(A18stdlife+$F304),(Input!$M$296*(1+vanilla6)^0.5)-SUM($M304:P304),(Input!$M$296*(1+vanilla6)^0.5)/A18stdlife))</f>
        <v>0</v>
      </c>
      <c r="R304" s="73"/>
      <c r="S304" s="107"/>
      <c r="T304" s="107"/>
      <c r="U304" s="107"/>
      <c r="V304" s="107"/>
      <c r="W304" s="107"/>
      <c r="X304" s="107"/>
      <c r="Y304" s="107"/>
      <c r="Z304" s="107"/>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6"/>
      <c r="E305" s="537"/>
      <c r="F305" s="91">
        <v>7</v>
      </c>
      <c r="G305" s="27"/>
      <c r="H305" s="150"/>
      <c r="I305" s="152"/>
      <c r="J305" s="152"/>
      <c r="K305" s="152"/>
      <c r="L305" s="152"/>
      <c r="M305" s="152"/>
      <c r="N305" s="151"/>
      <c r="O305" s="73">
        <f>IF(A18stdlife="n/a","n/a",IF(O$3&gt;(A18stdlife+$F305),(Input!$N$296*(1+vanilla7)^0.5)-SUM($N305:N305),(Input!$N$296*(1+vanilla7)^0.5)/A18stdlife))</f>
        <v>0</v>
      </c>
      <c r="P305" s="73">
        <f>IF(A18stdlife="n/a","n/a",IF(P$3&gt;(A18stdlife+$F305),(Input!$N$296*(1+vanilla7)^0.5)-SUM($N305:O305),(Input!$N$296*(1+vanilla7)^0.5)/A18stdlife))</f>
        <v>0</v>
      </c>
      <c r="Q305" s="73">
        <f>IF(A18stdlife="n/a","n/a",IF(Q$3&gt;(A18stdlife+$F305),(Input!$N$296*(1+vanilla7)^0.5)-SUM($N305:P305),(Input!$N$296*(1+vanilla7)^0.5)/A18stdlife))</f>
        <v>0</v>
      </c>
      <c r="R305" s="73"/>
      <c r="S305" s="107"/>
      <c r="T305" s="107"/>
      <c r="U305" s="107"/>
      <c r="V305" s="107"/>
      <c r="W305" s="107"/>
      <c r="X305" s="107"/>
      <c r="Y305" s="107"/>
      <c r="Z305" s="107"/>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37"/>
      <c r="F306" s="91">
        <v>8</v>
      </c>
      <c r="G306" s="27"/>
      <c r="H306" s="150"/>
      <c r="I306" s="152"/>
      <c r="J306" s="152"/>
      <c r="K306" s="152"/>
      <c r="L306" s="152"/>
      <c r="M306" s="152"/>
      <c r="N306" s="152"/>
      <c r="O306" s="151"/>
      <c r="P306" s="73">
        <f>IF(A18stdlife="n/a","n/a",IF(P$3&gt;(A18stdlife+$F306),(Input!$O$296*(1+vanilla8)^0.5)-SUM($O306:O306),(Input!$O$296*(1+vanilla8)^0.5)/A18stdlife))</f>
        <v>0</v>
      </c>
      <c r="Q306" s="73">
        <f>IF(A18stdlife="n/a","n/a",IF(Q$3&gt;(A18stdlife+$F306),(Input!$O$296*(1+vanilla8)^0.5)-SUM($O306:P306),(Input!$O$296*(1+vanilla8)^0.5)/A18stdlife))</f>
        <v>0</v>
      </c>
      <c r="R306" s="73"/>
      <c r="S306" s="107"/>
      <c r="T306" s="107"/>
      <c r="U306" s="107"/>
      <c r="V306" s="107"/>
      <c r="W306" s="107"/>
      <c r="X306" s="107"/>
      <c r="Y306" s="107"/>
      <c r="Z306" s="107"/>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37"/>
      <c r="F307" s="91">
        <v>9</v>
      </c>
      <c r="G307" s="27"/>
      <c r="H307" s="150"/>
      <c r="I307" s="152"/>
      <c r="J307" s="152"/>
      <c r="K307" s="152"/>
      <c r="L307" s="152"/>
      <c r="M307" s="152"/>
      <c r="N307" s="152"/>
      <c r="O307" s="152"/>
      <c r="P307" s="151"/>
      <c r="Q307" s="73">
        <f>IF(A18stdlife="n/a","n/a",IF(Q$3&gt;(A18stdlife+$F307),(Input!$P$296*(1+vanilla9)^0.5)-SUM($P307:P307),(Input!$P$296*(1+vanilla9)^0.5)/A18stdlife))</f>
        <v>0</v>
      </c>
      <c r="R307" s="73"/>
      <c r="S307" s="107"/>
      <c r="T307" s="107"/>
      <c r="U307" s="107"/>
      <c r="V307" s="107"/>
      <c r="W307" s="107"/>
      <c r="X307" s="107"/>
      <c r="Y307" s="107"/>
      <c r="Z307" s="107"/>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37"/>
      <c r="F308" s="92">
        <v>10</v>
      </c>
      <c r="G308" s="27"/>
      <c r="H308" s="150"/>
      <c r="I308" s="152"/>
      <c r="J308" s="152"/>
      <c r="K308" s="152"/>
      <c r="L308" s="152"/>
      <c r="M308" s="152"/>
      <c r="N308" s="152"/>
      <c r="O308" s="152"/>
      <c r="P308" s="152"/>
      <c r="Q308" s="151"/>
      <c r="R308" s="73"/>
      <c r="S308" s="107"/>
      <c r="T308" s="107"/>
      <c r="U308" s="107"/>
      <c r="V308" s="107"/>
      <c r="W308" s="107"/>
      <c r="X308" s="107"/>
      <c r="Y308" s="107"/>
      <c r="Z308" s="107"/>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9"/>
      <c r="D309" s="272">
        <f>Asset18</f>
        <v>0</v>
      </c>
      <c r="E309" s="9"/>
      <c r="F309" s="9"/>
      <c r="G309" s="125"/>
      <c r="H309" s="166">
        <f>-SUM(H297:H308)</f>
        <v>0</v>
      </c>
      <c r="I309" s="166">
        <f>-SUM(I297:I308)</f>
        <v>0</v>
      </c>
      <c r="J309" s="166">
        <f>-SUM(J297:J308)</f>
        <v>0</v>
      </c>
      <c r="K309" s="166">
        <f>-SUM(K297:K308)</f>
        <v>0</v>
      </c>
      <c r="L309" s="166">
        <f>-SUM(L297:L308)</f>
        <v>0</v>
      </c>
      <c r="M309" s="73">
        <f>IF(COUNT($H309:L309)&gt;=Input!$Y$7,0, -SUM(M297:M308))</f>
        <v>0</v>
      </c>
      <c r="N309" s="73">
        <f>IF(COUNT($H309:M309)&gt;=Input!$Y$7,0, -SUM(N297:N308))</f>
        <v>0</v>
      </c>
      <c r="O309" s="73">
        <f>IF(COUNT($H309:N309)&gt;=Input!$Y$7,0, -SUM(O297:O308))</f>
        <v>0</v>
      </c>
      <c r="P309" s="73">
        <f>IF(COUNT($H309:O309)&gt;=Input!$Y$7,0, -SUM(P297:P308))</f>
        <v>0</v>
      </c>
      <c r="Q309" s="73">
        <f>IF(COUNT($H309:P309)&gt;=Input!$Y$7,0, -SUM(Q297:Q308))</f>
        <v>0</v>
      </c>
      <c r="R309" s="166"/>
      <c r="S309" s="109"/>
      <c r="T309" s="109"/>
      <c r="U309" s="109"/>
      <c r="V309" s="109"/>
      <c r="W309" s="109"/>
      <c r="X309" s="109"/>
      <c r="Y309" s="109"/>
      <c r="Z309" s="109"/>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236"/>
      <c r="AX309" s="236"/>
      <c r="AY309" s="236"/>
      <c r="AZ309" s="236"/>
      <c r="BA309" s="236"/>
      <c r="BB309" s="236"/>
      <c r="BC309" s="236"/>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73">
        <f>Asset19</f>
        <v>0</v>
      </c>
      <c r="D310" s="162"/>
      <c r="E310" s="32" t="s">
        <v>5</v>
      </c>
      <c r="F310" s="31"/>
      <c r="G310" s="181"/>
      <c r="H310" s="72">
        <f>IF(H$3&gt;A19remlife,A19value-$G$648-SUM($G310:G310),IF(A19remlife="N/A","n/a",(A19value-$G$648)/A19remlife))</f>
        <v>0</v>
      </c>
      <c r="I310" s="72">
        <f>IF(I$3&gt;A19remlife,A19value-$G$648-SUM($G310:H310),IF(A19remlife="N/A","n/a",(A19value-$G$648)/A19remlife))</f>
        <v>0</v>
      </c>
      <c r="J310" s="72">
        <f>IF(J$3&gt;A19remlife,A19value-$G$648-SUM($G310:I310),IF(A19remlife="N/A","n/a",(A19value-$G$648)/A19remlife))</f>
        <v>0</v>
      </c>
      <c r="K310" s="72">
        <f>IF(K$3&gt;A19remlife,A19value-$G$648-SUM($G310:J310),IF(A19remlife="N/A","n/a",(A19value-$G$648)/A19remlife))</f>
        <v>0</v>
      </c>
      <c r="L310" s="72">
        <f>IF(L$3&gt;A19remlife,A19value-$G$648-SUM($G310:K310),IF(A19remlife="N/A","n/a",(A19value-$G$648)/A19remlife))</f>
        <v>0</v>
      </c>
      <c r="M310" s="72">
        <f>IF(M$3&gt;A19remlife,A19value-$G$648-SUM($G310:L310),IF(A19remlife="N/A","n/a",(A19value-$G$648)/A19remlife))</f>
        <v>0</v>
      </c>
      <c r="N310" s="72">
        <f>IF(N$3&gt;A19remlife,A19value-$G$648-SUM($G310:M310),IF(A19remlife="N/A","n/a",(A19value-$G$648)/A19remlife))</f>
        <v>0</v>
      </c>
      <c r="O310" s="72">
        <f>IF(O$3&gt;A19remlife,A19value-$G$648-SUM($G310:N310),IF(A19remlife="N/A","n/a",(A19value-$G$648)/A19remlife))</f>
        <v>0</v>
      </c>
      <c r="P310" s="72">
        <f>IF(P$3&gt;A19remlife,A19value-$G$648-SUM($G310:O310),IF(A19remlife="N/A","n/a",(A19value-$G$648)/A19remlife))</f>
        <v>0</v>
      </c>
      <c r="Q310" s="72">
        <f>IF(Q$3&gt;A19remlife,A19value-$G$648-SUM($G310:P310),IF(A19remlife="N/A","n/a",(A19value-$G$648)/A19remlife))</f>
        <v>0</v>
      </c>
      <c r="R310" s="72"/>
      <c r="S310" s="107"/>
      <c r="T310" s="107"/>
      <c r="U310" s="107"/>
      <c r="V310" s="107"/>
      <c r="W310" s="107"/>
      <c r="X310" s="107"/>
      <c r="Y310" s="107"/>
      <c r="Z310" s="107"/>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6"/>
      <c r="E311" s="536" t="s">
        <v>59</v>
      </c>
      <c r="F311" s="91"/>
      <c r="G311" s="125"/>
      <c r="H311" s="73"/>
      <c r="I311" s="73"/>
      <c r="J311" s="73"/>
      <c r="K311" s="73"/>
      <c r="L311" s="73"/>
      <c r="M311" s="164"/>
      <c r="N311" s="116"/>
      <c r="O311" s="73"/>
      <c r="P311" s="73"/>
      <c r="Q311" s="73"/>
      <c r="R311" s="73"/>
      <c r="S311" s="107"/>
      <c r="T311" s="107"/>
      <c r="U311" s="107"/>
      <c r="V311" s="107"/>
      <c r="W311" s="107"/>
      <c r="X311" s="107"/>
      <c r="Y311" s="107"/>
      <c r="Z311" s="107"/>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37"/>
      <c r="F312" s="91">
        <v>1</v>
      </c>
      <c r="G312" s="125"/>
      <c r="H312" s="149"/>
      <c r="I312" s="73">
        <f>IF(A19stdlife="n/a","n/a",IF(I$3&gt;(A19stdlife+$F312),(Input!$H$297*(1+vanilla1)^0.5)-SUM($H312:H312),(Input!$H$297*(1+vanilla1)^0.5)/A19stdlife))</f>
        <v>0</v>
      </c>
      <c r="J312" s="73">
        <f>IF(A19stdlife="n/a","n/a",IF(J$3&gt;(A19stdlife+$F312),(Input!$H$297*(1+vanilla1)^0.5)-SUM($H312:I312),(Input!$H$297*(1+vanilla1)^0.5)/A19stdlife))</f>
        <v>0</v>
      </c>
      <c r="K312" s="73">
        <f>IF(A19stdlife="n/a","n/a",IF(K$3&gt;(A19stdlife+$F312),(Input!$H$297*(1+vanilla1)^0.5)-SUM($H312:J312),(Input!$H$297*(1+vanilla1)^0.5)/A19stdlife))</f>
        <v>0</v>
      </c>
      <c r="L312" s="73">
        <f>IF(A19stdlife="n/a","n/a",IF(L$3&gt;(A19stdlife+$F312),(Input!$H$297*(1+vanilla1)^0.5)-SUM($H312:K312),(Input!$H$297*(1+vanilla1)^0.5)/A19stdlife))</f>
        <v>0</v>
      </c>
      <c r="M312" s="73">
        <f>IF(A19stdlife="n/a","n/a",IF(M$3&gt;(A19stdlife+$F312),(Input!$H$297*(1+vanilla1)^0.5)-SUM($H312:L312),(Input!$H$297*(1+vanilla1)^0.5)/A19stdlife))</f>
        <v>0</v>
      </c>
      <c r="N312" s="73">
        <f>IF(A19stdlife="n/a","n/a",IF(N$3&gt;(A19stdlife+$F312),(Input!$H$297*(1+vanilla1)^0.5)-SUM($H312:M312),(Input!$H$297*(1+vanilla1)^0.5)/A19stdlife))</f>
        <v>0</v>
      </c>
      <c r="O312" s="73">
        <f>IF(A19stdlife="n/a","n/a",IF(O$3&gt;(A19stdlife+$F312),(Input!$H$297*(1+vanilla1)^0.5)-SUM($H312:N312),(Input!$H$297*(1+vanilla1)^0.5)/A19stdlife))</f>
        <v>0</v>
      </c>
      <c r="P312" s="73">
        <f>IF(A19stdlife="n/a","n/a",IF(P$3&gt;(A19stdlife+$F312),(Input!$H$297*(1+vanilla1)^0.5)-SUM($H312:O312),(Input!$H$297*(1+vanilla1)^0.5)/A19stdlife))</f>
        <v>0</v>
      </c>
      <c r="Q312" s="73">
        <f>IF(A19stdlife="n/a","n/a",IF(Q$3&gt;(A19stdlife+$F312),(Input!$H$297*(1+vanilla1)^0.5)-SUM($H312:P312),(Input!$H$297*(1+vanilla1)^0.5)/A19stdlife))</f>
        <v>0</v>
      </c>
      <c r="R312" s="73"/>
      <c r="S312" s="107"/>
      <c r="T312" s="107"/>
      <c r="U312" s="107"/>
      <c r="V312" s="107"/>
      <c r="W312" s="107"/>
      <c r="X312" s="107"/>
      <c r="Y312" s="107"/>
      <c r="Z312" s="107"/>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37"/>
      <c r="F313" s="91">
        <v>2</v>
      </c>
      <c r="G313" s="125"/>
      <c r="H313" s="150"/>
      <c r="I313" s="151"/>
      <c r="J313" s="73">
        <f>IF(A19stdlife="n/a","n/a",IF(J$3&gt;(A19stdlife+$F313),(Input!$I$297*(1+vanilla2)^0.5)-SUM($I313:I313),(Input!$I$297*(1+vanilla2)^0.5)/A19stdlife))</f>
        <v>0</v>
      </c>
      <c r="K313" s="73">
        <f>IF(A19stdlife="n/a","n/a",IF(K$3&gt;(A19stdlife+$F313),(Input!$I$297*(1+vanilla2)^0.5)-SUM($I313:J313),(Input!$I$297*(1+vanilla2)^0.5)/A19stdlife))</f>
        <v>0</v>
      </c>
      <c r="L313" s="73">
        <f>IF(A19stdlife="n/a","n/a",IF(L$3&gt;(A19stdlife+$F313),(Input!$I$297*(1+vanilla2)^0.5)-SUM($I313:K313),(Input!$I$297*(1+vanilla2)^0.5)/A19stdlife))</f>
        <v>0</v>
      </c>
      <c r="M313" s="73">
        <f>IF(A19stdlife="n/a","n/a",IF(M$3&gt;(A19stdlife+$F313),(Input!$I$297*(1+vanilla2)^0.5)-SUM($I313:L313),(Input!$I$297*(1+vanilla2)^0.5)/A19stdlife))</f>
        <v>0</v>
      </c>
      <c r="N313" s="73">
        <f>IF(A19stdlife="n/a","n/a",IF(N$3&gt;(A19stdlife+$F313),(Input!$I$297*(1+vanilla2)^0.5)-SUM($I313:M313),(Input!$I$297*(1+vanilla2)^0.5)/A19stdlife))</f>
        <v>0</v>
      </c>
      <c r="O313" s="73">
        <f>IF(A19stdlife="n/a","n/a",IF(O$3&gt;(A19stdlife+$F313),(Input!$I$297*(1+vanilla2)^0.5)-SUM($I313:N313),(Input!$I$297*(1+vanilla2)^0.5)/A19stdlife))</f>
        <v>0</v>
      </c>
      <c r="P313" s="73">
        <f>IF(A19stdlife="n/a","n/a",IF(P$3&gt;(A19stdlife+$F313),(Input!$I$297*(1+vanilla2)^0.5)-SUM($I313:O313),(Input!$I$297*(1+vanilla2)^0.5)/A19stdlife))</f>
        <v>0</v>
      </c>
      <c r="Q313" s="73">
        <f>IF(A19stdlife="n/a","n/a",IF(Q$3&gt;(A19stdlife+$F313),(Input!$I$297*(1+vanilla2)^0.5)-SUM($I313:P313),(Input!$I$297*(1+vanilla2)^0.5)/A19stdlife))</f>
        <v>0</v>
      </c>
      <c r="R313" s="73"/>
      <c r="S313" s="107"/>
      <c r="T313" s="107"/>
      <c r="U313" s="107"/>
      <c r="V313" s="107"/>
      <c r="W313" s="107"/>
      <c r="X313" s="107"/>
      <c r="Y313" s="107"/>
      <c r="Z313" s="107"/>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37"/>
      <c r="F314" s="91">
        <v>3</v>
      </c>
      <c r="G314" s="125"/>
      <c r="H314" s="150"/>
      <c r="I314" s="152"/>
      <c r="J314" s="151"/>
      <c r="K314" s="73">
        <f>IF(A19stdlife="n/a","n/a",IF(K$3&gt;(A19stdlife+$F314),(Input!$J$297*(1+vanilla3)^0.5)-SUM($J314:J314),(Input!$J$297*(1+vanilla3)^0.5)/A19stdlife))</f>
        <v>0</v>
      </c>
      <c r="L314" s="73">
        <f>IF(A19stdlife="n/a","n/a",IF(L$3&gt;(A19stdlife+$F314),(Input!$J$297*(1+vanilla3)^0.5)-SUM($J314:K314),(Input!$J$297*(1+vanilla3)^0.5)/A19stdlife))</f>
        <v>0</v>
      </c>
      <c r="M314" s="73">
        <f>IF(A19stdlife="n/a","n/a",IF(M$3&gt;(A19stdlife+$F314),(Input!$J$297*(1+vanilla3)^0.5)-SUM($J314:L314),(Input!$J$297*(1+vanilla3)^0.5)/A19stdlife))</f>
        <v>0</v>
      </c>
      <c r="N314" s="73">
        <f>IF(A19stdlife="n/a","n/a",IF(N$3&gt;(A19stdlife+$F314),(Input!$J$297*(1+vanilla3)^0.5)-SUM($J314:M314),(Input!$J$297*(1+vanilla3)^0.5)/A19stdlife))</f>
        <v>0</v>
      </c>
      <c r="O314" s="73">
        <f>IF(A19stdlife="n/a","n/a",IF(O$3&gt;(A19stdlife+$F314),(Input!$J$297*(1+vanilla3)^0.5)-SUM($J314:N314),(Input!$J$297*(1+vanilla3)^0.5)/A19stdlife))</f>
        <v>0</v>
      </c>
      <c r="P314" s="73">
        <f>IF(A19stdlife="n/a","n/a",IF(P$3&gt;(A19stdlife+$F314),(Input!$J$297*(1+vanilla3)^0.5)-SUM($J314:O314),(Input!$J$297*(1+vanilla3)^0.5)/A19stdlife))</f>
        <v>0</v>
      </c>
      <c r="Q314" s="73">
        <f>IF(A19stdlife="n/a","n/a",IF(Q$3&gt;(A19stdlife+$F314),(Input!$J$297*(1+vanilla3)^0.5)-SUM($J314:P314),(Input!$J$297*(1+vanilla3)^0.5)/A19stdlife))</f>
        <v>0</v>
      </c>
      <c r="R314" s="73"/>
      <c r="S314" s="107"/>
      <c r="T314" s="107"/>
      <c r="U314" s="107"/>
      <c r="V314" s="107"/>
      <c r="W314" s="107"/>
      <c r="X314" s="107"/>
      <c r="Y314" s="107"/>
      <c r="Z314" s="107"/>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37"/>
      <c r="F315" s="91">
        <v>4</v>
      </c>
      <c r="G315" s="125"/>
      <c r="H315" s="150"/>
      <c r="I315" s="152"/>
      <c r="J315" s="152"/>
      <c r="K315" s="151"/>
      <c r="L315" s="73">
        <f>IF(A19stdlife="n/a","n/a",IF(L$3&gt;(A19stdlife+$F315),(Input!$K$297*(1+vanilla4)^0.5)-SUM($K315:K315),(Input!$K$297*(1+vanilla4)^0.5)/A19stdlife))</f>
        <v>0</v>
      </c>
      <c r="M315" s="73">
        <f>IF(A19stdlife="n/a","n/a",IF(M$3&gt;(A19stdlife+$F315),(Input!$K$297*(1+vanilla4)^0.5)-SUM($K315:L315),(Input!$K$297*(1+vanilla4)^0.5)/A19stdlife))</f>
        <v>0</v>
      </c>
      <c r="N315" s="73">
        <f>IF(A19stdlife="n/a","n/a",IF(N$3&gt;(A19stdlife+$F315),(Input!$K$297*(1+vanilla4)^0.5)-SUM($K315:M315),(Input!$K$297*(1+vanilla4)^0.5)/A19stdlife))</f>
        <v>0</v>
      </c>
      <c r="O315" s="73">
        <f>IF(A19stdlife="n/a","n/a",IF(O$3&gt;(A19stdlife+$F315),(Input!$K$297*(1+vanilla4)^0.5)-SUM($K315:N315),(Input!$K$297*(1+vanilla4)^0.5)/A19stdlife))</f>
        <v>0</v>
      </c>
      <c r="P315" s="73">
        <f>IF(A19stdlife="n/a","n/a",IF(P$3&gt;(A19stdlife+$F315),(Input!$K$297*(1+vanilla4)^0.5)-SUM($K315:O315),(Input!$K$297*(1+vanilla4)^0.5)/A19stdlife))</f>
        <v>0</v>
      </c>
      <c r="Q315" s="73">
        <f>IF(A19stdlife="n/a","n/a",IF(Q$3&gt;(A19stdlife+$F315),(Input!$K$297*(1+vanilla4)^0.5)-SUM($K315:P315),(Input!$K$297*(1+vanilla4)^0.5)/A19stdlife))</f>
        <v>0</v>
      </c>
      <c r="R315" s="73"/>
      <c r="S315" s="107"/>
      <c r="T315" s="107"/>
      <c r="U315" s="107"/>
      <c r="V315" s="107"/>
      <c r="W315" s="107"/>
      <c r="X315" s="107"/>
      <c r="Y315" s="107"/>
      <c r="Z315" s="107"/>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6"/>
      <c r="E316" s="537"/>
      <c r="F316" s="91">
        <v>5</v>
      </c>
      <c r="G316" s="27"/>
      <c r="H316" s="150"/>
      <c r="I316" s="152"/>
      <c r="J316" s="152"/>
      <c r="K316" s="152"/>
      <c r="L316" s="151"/>
      <c r="M316" s="73">
        <f>IF(A19stdlife="n/a","n/a",IF(M$3&gt;(A19stdlife+$F316),(Input!$L$297*(1+vanilla5)^0.5)-SUM($L316:L316),(Input!$L$297*(1+vanilla5)^0.5)/A19stdlife))</f>
        <v>0</v>
      </c>
      <c r="N316" s="73">
        <f>IF(A19stdlife="n/a","n/a",IF(N$3&gt;(A19stdlife+$F316),(Input!$L$297*(1+vanilla5)^0.5)-SUM($L316:M316),(Input!$L$297*(1+vanilla5)^0.5)/A19stdlife))</f>
        <v>0</v>
      </c>
      <c r="O316" s="73">
        <f>IF(A19stdlife="n/a","n/a",IF(O$3&gt;(A19stdlife+$F316),(Input!$L$297*(1+vanilla5)^0.5)-SUM($L316:N316),(Input!$L$297*(1+vanilla5)^0.5)/A19stdlife))</f>
        <v>0</v>
      </c>
      <c r="P316" s="73">
        <f>IF(A19stdlife="n/a","n/a",IF(P$3&gt;(A19stdlife+$F316),(Input!$L$297*(1+vanilla5)^0.5)-SUM($L316:O316),(Input!$L$297*(1+vanilla5)^0.5)/A19stdlife))</f>
        <v>0</v>
      </c>
      <c r="Q316" s="73">
        <f>IF(A19stdlife="n/a","n/a",IF(Q$3&gt;(A19stdlife+$F316),(Input!$L$297*(1+vanilla5)^0.5)-SUM($L316:P316),(Input!$L$297*(1+vanilla5)^0.5)/A19stdlife))</f>
        <v>0</v>
      </c>
      <c r="R316" s="73"/>
      <c r="S316" s="107"/>
      <c r="T316" s="107"/>
      <c r="U316" s="107"/>
      <c r="V316" s="107"/>
      <c r="W316" s="107"/>
      <c r="X316" s="107"/>
      <c r="Y316" s="107"/>
      <c r="Z316" s="107"/>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6"/>
      <c r="E317" s="537"/>
      <c r="F317" s="91">
        <v>6</v>
      </c>
      <c r="G317" s="27"/>
      <c r="H317" s="150"/>
      <c r="I317" s="152"/>
      <c r="J317" s="152"/>
      <c r="K317" s="152"/>
      <c r="L317" s="152"/>
      <c r="M317" s="151"/>
      <c r="N317" s="73">
        <f>IF(A19stdlife="n/a","n/a",IF(N$3&gt;(A19stdlife+$F317),(Input!$M$297*(1+vanilla6)^0.5)-SUM($M317:M317),(Input!$M$297*(1+vanilla6)^0.5)/A19stdlife))</f>
        <v>0</v>
      </c>
      <c r="O317" s="73">
        <f>IF(A19stdlife="n/a","n/a",IF(O$3&gt;(A19stdlife+$F317),(Input!$M$297*(1+vanilla6)^0.5)-SUM($M317:N317),(Input!$M$297*(1+vanilla6)^0.5)/A19stdlife))</f>
        <v>0</v>
      </c>
      <c r="P317" s="73">
        <f>IF(A19stdlife="n/a","n/a",IF(P$3&gt;(A19stdlife+$F317),(Input!$M$297*(1+vanilla6)^0.5)-SUM($M317:O317),(Input!$M$297*(1+vanilla6)^0.5)/A19stdlife))</f>
        <v>0</v>
      </c>
      <c r="Q317" s="73">
        <f>IF(A19stdlife="n/a","n/a",IF(Q$3&gt;(A19stdlife+$F317),(Input!$M$297*(1+vanilla6)^0.5)-SUM($M317:P317),(Input!$M$297*(1+vanilla6)^0.5)/A19stdlife))</f>
        <v>0</v>
      </c>
      <c r="R317" s="73"/>
      <c r="S317" s="107"/>
      <c r="T317" s="107"/>
      <c r="U317" s="107"/>
      <c r="V317" s="107"/>
      <c r="W317" s="107"/>
      <c r="X317" s="107"/>
      <c r="Y317" s="107"/>
      <c r="Z317" s="107"/>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6"/>
      <c r="E318" s="537"/>
      <c r="F318" s="91">
        <v>7</v>
      </c>
      <c r="G318" s="27"/>
      <c r="H318" s="150"/>
      <c r="I318" s="152"/>
      <c r="J318" s="152"/>
      <c r="K318" s="152"/>
      <c r="L318" s="152"/>
      <c r="M318" s="152"/>
      <c r="N318" s="151"/>
      <c r="O318" s="73">
        <f>IF(A19stdlife="n/a","n/a",IF(O$3&gt;(A19stdlife+$F318),(Input!$N$297*(1+vanilla7)^0.5)-SUM($N318:N318),(Input!$N$297*(1+vanilla7)^0.5)/A19stdlife))</f>
        <v>0</v>
      </c>
      <c r="P318" s="73">
        <f>IF(A19stdlife="n/a","n/a",IF(P$3&gt;(A19stdlife+$F318),(Input!$N$297*(1+vanilla7)^0.5)-SUM($N318:O318),(Input!$N$297*(1+vanilla7)^0.5)/A19stdlife))</f>
        <v>0</v>
      </c>
      <c r="Q318" s="73">
        <f>IF(A19stdlife="n/a","n/a",IF(Q$3&gt;(A19stdlife+$F318),(Input!$N$297*(1+vanilla7)^0.5)-SUM($N318:P318),(Input!$N$297*(1+vanilla7)^0.5)/A19stdlife))</f>
        <v>0</v>
      </c>
      <c r="R318" s="73"/>
      <c r="S318" s="107"/>
      <c r="T318" s="107"/>
      <c r="U318" s="107"/>
      <c r="V318" s="107"/>
      <c r="W318" s="107"/>
      <c r="X318" s="107"/>
      <c r="Y318" s="107"/>
      <c r="Z318" s="107"/>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37"/>
      <c r="F319" s="91">
        <v>8</v>
      </c>
      <c r="G319" s="27"/>
      <c r="H319" s="150"/>
      <c r="I319" s="152"/>
      <c r="J319" s="152"/>
      <c r="K319" s="152"/>
      <c r="L319" s="152"/>
      <c r="M319" s="152"/>
      <c r="N319" s="152"/>
      <c r="O319" s="151"/>
      <c r="P319" s="73">
        <f>IF(A19stdlife="n/a","n/a",IF(P$3&gt;(A19stdlife+$F319),(Input!$O$297*(1+vanilla8)^0.5)-SUM($O319:O319),(Input!$O$297*(1+vanilla8)^0.5)/A19stdlife))</f>
        <v>0</v>
      </c>
      <c r="Q319" s="73">
        <f>IF(A19stdlife="n/a","n/a",IF(Q$3&gt;(A19stdlife+$F319),(Input!$O$297*(1+vanilla8)^0.5)-SUM($O319:P319),(Input!$O$297*(1+vanilla8)^0.5)/A19stdlife))</f>
        <v>0</v>
      </c>
      <c r="R319" s="73"/>
      <c r="S319" s="107"/>
      <c r="T319" s="107"/>
      <c r="U319" s="107"/>
      <c r="V319" s="107"/>
      <c r="W319" s="107"/>
      <c r="X319" s="107"/>
      <c r="Y319" s="107"/>
      <c r="Z319" s="107"/>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37"/>
      <c r="F320" s="91">
        <v>9</v>
      </c>
      <c r="G320" s="27"/>
      <c r="H320" s="150"/>
      <c r="I320" s="152"/>
      <c r="J320" s="152"/>
      <c r="K320" s="152"/>
      <c r="L320" s="152"/>
      <c r="M320" s="152"/>
      <c r="N320" s="152"/>
      <c r="O320" s="152"/>
      <c r="P320" s="151"/>
      <c r="Q320" s="73">
        <f>IF(A19stdlife="n/a","n/a",IF(Q$3&gt;(A19stdlife+$F320),(Input!$P$297*(1+vanilla9)^0.5)-SUM($P320:P320),(Input!$P$297*(1+vanilla9)^0.5)/A19stdlife))</f>
        <v>0</v>
      </c>
      <c r="R320" s="73"/>
      <c r="S320" s="107"/>
      <c r="T320" s="107"/>
      <c r="U320" s="107"/>
      <c r="V320" s="107"/>
      <c r="W320" s="107"/>
      <c r="X320" s="107"/>
      <c r="Y320" s="107"/>
      <c r="Z320" s="107"/>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37"/>
      <c r="F321" s="92">
        <v>10</v>
      </c>
      <c r="G321" s="27"/>
      <c r="H321" s="150"/>
      <c r="I321" s="152"/>
      <c r="J321" s="152"/>
      <c r="K321" s="152"/>
      <c r="L321" s="152"/>
      <c r="M321" s="152"/>
      <c r="N321" s="152"/>
      <c r="O321" s="152"/>
      <c r="P321" s="152"/>
      <c r="Q321" s="151"/>
      <c r="R321" s="73"/>
      <c r="S321" s="107"/>
      <c r="T321" s="107"/>
      <c r="U321" s="107"/>
      <c r="V321" s="107"/>
      <c r="W321" s="107"/>
      <c r="X321" s="107"/>
      <c r="Y321" s="107"/>
      <c r="Z321" s="107"/>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c r="A322" s="9"/>
      <c r="B322" s="9"/>
      <c r="C322" s="9"/>
      <c r="D322" s="272">
        <f>Asset19</f>
        <v>0</v>
      </c>
      <c r="E322" s="9"/>
      <c r="F322" s="9"/>
      <c r="G322" s="125"/>
      <c r="H322" s="166">
        <f>-SUM(H310:H321)</f>
        <v>0</v>
      </c>
      <c r="I322" s="166">
        <f>-SUM(I310:I321)</f>
        <v>0</v>
      </c>
      <c r="J322" s="166">
        <f>-SUM(J310:J321)</f>
        <v>0</v>
      </c>
      <c r="K322" s="166">
        <f>-SUM(K310:K321)</f>
        <v>0</v>
      </c>
      <c r="L322" s="166">
        <f>-SUM(L310:L321)</f>
        <v>0</v>
      </c>
      <c r="M322" s="73">
        <f>IF(COUNT($H322:L322)&gt;=Input!$Y$7,0, -SUM(M310:M321))</f>
        <v>0</v>
      </c>
      <c r="N322" s="73">
        <f>IF(COUNT($H322:M322)&gt;=Input!$Y$7,0, -SUM(N310:N321))</f>
        <v>0</v>
      </c>
      <c r="O322" s="73">
        <f>IF(COUNT($H322:N322)&gt;=Input!$Y$7,0, -SUM(O310:O321))</f>
        <v>0</v>
      </c>
      <c r="P322" s="73">
        <f>IF(COUNT($H322:O322)&gt;=Input!$Y$7,0, -SUM(P310:P321))</f>
        <v>0</v>
      </c>
      <c r="Q322" s="73">
        <f>IF(COUNT($H322:P322)&gt;=Input!$Y$7,0, -SUM(Q310:Q321))</f>
        <v>0</v>
      </c>
      <c r="R322" s="71"/>
      <c r="S322" s="109"/>
      <c r="T322" s="109"/>
      <c r="U322" s="109"/>
      <c r="V322" s="109"/>
      <c r="W322" s="109"/>
      <c r="X322" s="109"/>
      <c r="Y322" s="109"/>
      <c r="Z322" s="109"/>
      <c r="AA322" s="236"/>
      <c r="AB322" s="236"/>
      <c r="AC322" s="236"/>
      <c r="AD322" s="236"/>
      <c r="AE322" s="236"/>
      <c r="AF322" s="236"/>
      <c r="AG322" s="236"/>
      <c r="AH322" s="236"/>
      <c r="AI322" s="236"/>
      <c r="AJ322" s="236"/>
      <c r="AK322" s="236"/>
      <c r="AL322" s="236"/>
      <c r="AM322" s="236"/>
      <c r="AN322" s="236"/>
      <c r="AO322" s="236"/>
      <c r="AP322" s="236"/>
      <c r="AQ322" s="236"/>
      <c r="AR322" s="236"/>
      <c r="AS322" s="236"/>
      <c r="AT322" s="236"/>
      <c r="AU322" s="236"/>
      <c r="AV322" s="236"/>
      <c r="AW322" s="236"/>
      <c r="AX322" s="236"/>
      <c r="AY322" s="236"/>
      <c r="AZ322" s="236"/>
      <c r="BA322" s="236"/>
      <c r="BB322" s="236"/>
      <c r="BC322" s="236"/>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73">
        <f>Asset20</f>
        <v>0</v>
      </c>
      <c r="D323" s="162"/>
      <c r="E323" s="32" t="s">
        <v>5</v>
      </c>
      <c r="F323" s="31"/>
      <c r="G323" s="181"/>
      <c r="H323" s="72">
        <f>IF(H$3&gt;A20remlife,A20value-$G$649-SUM($G323:G323),IF(A20remlife="N/A","n/a",(A20value-$G$649)/A20remlife))</f>
        <v>0</v>
      </c>
      <c r="I323" s="72">
        <f>IF(I$3&gt;A20remlife,A20value-$G$649-SUM($G323:H323),IF(A20remlife="N/A","n/a",(A20value-$G$649)/A20remlife))</f>
        <v>0</v>
      </c>
      <c r="J323" s="72">
        <f>IF(J$3&gt;A20remlife,A20value-$G$649-SUM($G323:I323),IF(A20remlife="N/A","n/a",(A20value-$G$649)/A20remlife))</f>
        <v>0</v>
      </c>
      <c r="K323" s="72">
        <f>IF(K$3&gt;A20remlife,A20value-$G$649-SUM($G323:J323),IF(A20remlife="N/A","n/a",(A20value-$G$649)/A20remlife))</f>
        <v>0</v>
      </c>
      <c r="L323" s="72">
        <f>IF(L$3&gt;A20remlife,A20value-$G$649-SUM($G323:K323),IF(A20remlife="N/A","n/a",(A20value-$G$649)/A20remlife))</f>
        <v>0</v>
      </c>
      <c r="M323" s="72">
        <f>IF(M$3&gt;A20remlife,A20value-$G$649-SUM($G323:L323),IF(A20remlife="N/A","n/a",(A20value-$G$649)/A20remlife))</f>
        <v>0</v>
      </c>
      <c r="N323" s="72">
        <f>IF(N$3&gt;A20remlife,A20value-$G$649-SUM($G323:M323),IF(A20remlife="N/A","n/a",(A20value-$G$649)/A20remlife))</f>
        <v>0</v>
      </c>
      <c r="O323" s="72">
        <f>IF(O$3&gt;A20remlife,A20value-$G$649-SUM($G323:N323),IF(A20remlife="N/A","n/a",(A20value-$G$649)/A20remlife))</f>
        <v>0</v>
      </c>
      <c r="P323" s="72">
        <f>IF(P$3&gt;A20remlife,A20value-$G$649-SUM($G323:O323),IF(A20remlife="N/A","n/a",(A20value-$G$649)/A20remlife))</f>
        <v>0</v>
      </c>
      <c r="Q323" s="72">
        <f>IF(Q$3&gt;A20remlife,A20value-$G$649-SUM($G323:P323),IF(A20remlife="N/A","n/a",(A20value-$G$649)/A20remlife))</f>
        <v>0</v>
      </c>
      <c r="R323" s="72"/>
      <c r="S323" s="107"/>
      <c r="T323" s="107"/>
      <c r="U323" s="107"/>
      <c r="V323" s="107"/>
      <c r="W323" s="107"/>
      <c r="X323" s="107"/>
      <c r="Y323" s="107"/>
      <c r="Z323" s="107"/>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6"/>
      <c r="E324" s="536" t="s">
        <v>59</v>
      </c>
      <c r="F324" s="91"/>
      <c r="G324" s="125"/>
      <c r="H324" s="73"/>
      <c r="I324" s="73"/>
      <c r="J324" s="73"/>
      <c r="K324" s="73"/>
      <c r="L324" s="73"/>
      <c r="M324" s="164"/>
      <c r="N324" s="116"/>
      <c r="O324" s="73"/>
      <c r="P324" s="73"/>
      <c r="Q324" s="73"/>
      <c r="R324" s="73"/>
      <c r="S324" s="107"/>
      <c r="T324" s="107"/>
      <c r="U324" s="107"/>
      <c r="V324" s="107"/>
      <c r="W324" s="107"/>
      <c r="X324" s="107"/>
      <c r="Y324" s="107"/>
      <c r="Z324" s="107"/>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37"/>
      <c r="F325" s="91">
        <v>1</v>
      </c>
      <c r="G325" s="125"/>
      <c r="H325" s="149"/>
      <c r="I325" s="73">
        <f>IF(A20stdlife="n/a","n/a",IF(I$3&gt;(A20stdlife+$F325),(Input!$H$298*(1+vanilla1)^0.5)-SUM($H325:H325),(Input!$H$298*(1+vanilla1)^0.5)/A20stdlife))</f>
        <v>0</v>
      </c>
      <c r="J325" s="73">
        <f>IF(A20stdlife="n/a","n/a",IF(J$3&gt;(A20stdlife+$F325),(Input!$H$298*(1+vanilla1)^0.5)-SUM($H325:I325),(Input!$H$298*(1+vanilla1)^0.5)/A20stdlife))</f>
        <v>0</v>
      </c>
      <c r="K325" s="73">
        <f>IF(A20stdlife="n/a","n/a",IF(K$3&gt;(A20stdlife+$F325),(Input!$H$298*(1+vanilla1)^0.5)-SUM($H325:J325),(Input!$H$298*(1+vanilla1)^0.5)/A20stdlife))</f>
        <v>0</v>
      </c>
      <c r="L325" s="73">
        <f>IF(A20stdlife="n/a","n/a",IF(L$3&gt;(A20stdlife+$F325),(Input!$H$298*(1+vanilla1)^0.5)-SUM($H325:K325),(Input!$H$298*(1+vanilla1)^0.5)/A20stdlife))</f>
        <v>0</v>
      </c>
      <c r="M325" s="73">
        <f>IF(A20stdlife="n/a","n/a",IF(M$3&gt;(A20stdlife+$F325),(Input!$H$298*(1+vanilla1)^0.5)-SUM($H325:L325),(Input!$H$298*(1+vanilla1)^0.5)/A20stdlife))</f>
        <v>0</v>
      </c>
      <c r="N325" s="73">
        <f>IF(A20stdlife="n/a","n/a",IF(N$3&gt;(A20stdlife+$F325),(Input!$H$298*(1+vanilla1)^0.5)-SUM($H325:M325),(Input!$H$298*(1+vanilla1)^0.5)/A20stdlife))</f>
        <v>0</v>
      </c>
      <c r="O325" s="73">
        <f>IF(A20stdlife="n/a","n/a",IF(O$3&gt;(A20stdlife+$F325),(Input!$H$298*(1+vanilla1)^0.5)-SUM($H325:N325),(Input!$H$298*(1+vanilla1)^0.5)/A20stdlife))</f>
        <v>0</v>
      </c>
      <c r="P325" s="73">
        <f>IF(A20stdlife="n/a","n/a",IF(P$3&gt;(A20stdlife+$F325),(Input!$H$298*(1+vanilla1)^0.5)-SUM($H325:O325),(Input!$H$298*(1+vanilla1)^0.5)/A20stdlife))</f>
        <v>0</v>
      </c>
      <c r="Q325" s="73">
        <f>IF(A20stdlife="n/a","n/a",IF(Q$3&gt;(A20stdlife+$F325),(Input!$H$298*(1+vanilla1)^0.5)-SUM($H325:P325),(Input!$H$298*(1+vanilla1)^0.5)/A20stdlife))</f>
        <v>0</v>
      </c>
      <c r="R325" s="73"/>
      <c r="S325" s="107"/>
      <c r="T325" s="107"/>
      <c r="U325" s="107"/>
      <c r="V325" s="107"/>
      <c r="W325" s="107"/>
      <c r="X325" s="107"/>
      <c r="Y325" s="107"/>
      <c r="Z325" s="107"/>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37"/>
      <c r="F326" s="91">
        <v>2</v>
      </c>
      <c r="G326" s="125"/>
      <c r="H326" s="150"/>
      <c r="I326" s="151"/>
      <c r="J326" s="73">
        <f>IF(A20stdlife="n/a","n/a",IF(J$3&gt;(A20stdlife+$F326),(Input!$I$298*(1+vanilla2)^0.5)-SUM($I326:I326),(Input!$I$298*(1+vanilla2)^0.5)/A20stdlife))</f>
        <v>0</v>
      </c>
      <c r="K326" s="73">
        <f>IF(A20stdlife="n/a","n/a",IF(K$3&gt;(A20stdlife+$F326),(Input!$I$298*(1+vanilla2)^0.5)-SUM($I326:J326),(Input!$I$298*(1+vanilla2)^0.5)/A20stdlife))</f>
        <v>0</v>
      </c>
      <c r="L326" s="73">
        <f>IF(A20stdlife="n/a","n/a",IF(L$3&gt;(A20stdlife+$F326),(Input!$I$298*(1+vanilla2)^0.5)-SUM($I326:K326),(Input!$I$298*(1+vanilla2)^0.5)/A20stdlife))</f>
        <v>0</v>
      </c>
      <c r="M326" s="73">
        <f>IF(A20stdlife="n/a","n/a",IF(M$3&gt;(A20stdlife+$F326),(Input!$I$298*(1+vanilla2)^0.5)-SUM($I326:L326),(Input!$I$298*(1+vanilla2)^0.5)/A20stdlife))</f>
        <v>0</v>
      </c>
      <c r="N326" s="73">
        <f>IF(A20stdlife="n/a","n/a",IF(N$3&gt;(A20stdlife+$F326),(Input!$I$298*(1+vanilla2)^0.5)-SUM($I326:M326),(Input!$I$298*(1+vanilla2)^0.5)/A20stdlife))</f>
        <v>0</v>
      </c>
      <c r="O326" s="73">
        <f>IF(A20stdlife="n/a","n/a",IF(O$3&gt;(A20stdlife+$F326),(Input!$I$298*(1+vanilla2)^0.5)-SUM($I326:N326),(Input!$I$298*(1+vanilla2)^0.5)/A20stdlife))</f>
        <v>0</v>
      </c>
      <c r="P326" s="73">
        <f>IF(A20stdlife="n/a","n/a",IF(P$3&gt;(A20stdlife+$F326),(Input!$I$298*(1+vanilla2)^0.5)-SUM($I326:O326),(Input!$I$298*(1+vanilla2)^0.5)/A20stdlife))</f>
        <v>0</v>
      </c>
      <c r="Q326" s="73">
        <f>IF(A20stdlife="n/a","n/a",IF(Q$3&gt;(A20stdlife+$F326),(Input!$I$298*(1+vanilla2)^0.5)-SUM($I326:P326),(Input!$I$298*(1+vanilla2)^0.5)/A20stdlife))</f>
        <v>0</v>
      </c>
      <c r="R326" s="73"/>
      <c r="S326" s="107"/>
      <c r="T326" s="107"/>
      <c r="U326" s="107"/>
      <c r="V326" s="107"/>
      <c r="W326" s="107"/>
      <c r="X326" s="107"/>
      <c r="Y326" s="107"/>
      <c r="Z326" s="107"/>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37"/>
      <c r="F327" s="91">
        <v>3</v>
      </c>
      <c r="G327" s="125"/>
      <c r="H327" s="150"/>
      <c r="I327" s="152"/>
      <c r="J327" s="151"/>
      <c r="K327" s="73">
        <f>IF(A20stdlife="n/a","n/a",IF(K$3&gt;(A20stdlife+$F327),(Input!$J$298*(1+vanilla3)^0.5)-SUM($J327:J327),(Input!$J$298*(1+vanilla3)^0.5)/A20stdlife))</f>
        <v>0</v>
      </c>
      <c r="L327" s="73">
        <f>IF(A20stdlife="n/a","n/a",IF(L$3&gt;(A20stdlife+$F327),(Input!$J$298*(1+vanilla3)^0.5)-SUM($J327:K327),(Input!$J$298*(1+vanilla3)^0.5)/A20stdlife))</f>
        <v>0</v>
      </c>
      <c r="M327" s="73">
        <f>IF(A20stdlife="n/a","n/a",IF(M$3&gt;(A20stdlife+$F327),(Input!$J$298*(1+vanilla3)^0.5)-SUM($J327:L327),(Input!$J$298*(1+vanilla3)^0.5)/A20stdlife))</f>
        <v>0</v>
      </c>
      <c r="N327" s="73">
        <f>IF(A20stdlife="n/a","n/a",IF(N$3&gt;(A20stdlife+$F327),(Input!$J$298*(1+vanilla3)^0.5)-SUM($J327:M327),(Input!$J$298*(1+vanilla3)^0.5)/A20stdlife))</f>
        <v>0</v>
      </c>
      <c r="O327" s="73">
        <f>IF(A20stdlife="n/a","n/a",IF(O$3&gt;(A20stdlife+$F327),(Input!$J$298*(1+vanilla3)^0.5)-SUM($J327:N327),(Input!$J$298*(1+vanilla3)^0.5)/A20stdlife))</f>
        <v>0</v>
      </c>
      <c r="P327" s="73">
        <f>IF(A20stdlife="n/a","n/a",IF(P$3&gt;(A20stdlife+$F327),(Input!$J$298*(1+vanilla3)^0.5)-SUM($J327:O327),(Input!$J$298*(1+vanilla3)^0.5)/A20stdlife))</f>
        <v>0</v>
      </c>
      <c r="Q327" s="73">
        <f>IF(A20stdlife="n/a","n/a",IF(Q$3&gt;(A20stdlife+$F327),(Input!$J$298*(1+vanilla3)^0.5)-SUM($J327:P327),(Input!$J$298*(1+vanilla3)^0.5)/A20stdlife))</f>
        <v>0</v>
      </c>
      <c r="R327" s="73"/>
      <c r="S327" s="107"/>
      <c r="T327" s="107"/>
      <c r="U327" s="107"/>
      <c r="V327" s="107"/>
      <c r="W327" s="107"/>
      <c r="X327" s="107"/>
      <c r="Y327" s="107"/>
      <c r="Z327" s="107"/>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37"/>
      <c r="F328" s="91">
        <v>4</v>
      </c>
      <c r="G328" s="125"/>
      <c r="H328" s="150"/>
      <c r="I328" s="152"/>
      <c r="J328" s="152"/>
      <c r="K328" s="151"/>
      <c r="L328" s="73">
        <f>IF(A20stdlife="n/a","n/a",IF(L$3&gt;(A20stdlife+$F328),(Input!$K$298*(1+vanilla4)^0.5)-SUM($K328:K328),(Input!$K$298*(1+vanilla4)^0.5)/A20stdlife))</f>
        <v>0</v>
      </c>
      <c r="M328" s="73">
        <f>IF(A20stdlife="n/a","n/a",IF(M$3&gt;(A20stdlife+$F328),(Input!$K$298*(1+vanilla4)^0.5)-SUM($K328:L328),(Input!$K$298*(1+vanilla4)^0.5)/A20stdlife))</f>
        <v>0</v>
      </c>
      <c r="N328" s="73">
        <f>IF(A20stdlife="n/a","n/a",IF(N$3&gt;(A20stdlife+$F328),(Input!$K$298*(1+vanilla4)^0.5)-SUM($K328:M328),(Input!$K$298*(1+vanilla4)^0.5)/A20stdlife))</f>
        <v>0</v>
      </c>
      <c r="O328" s="73">
        <f>IF(A20stdlife="n/a","n/a",IF(O$3&gt;(A20stdlife+$F328),(Input!$K$298*(1+vanilla4)^0.5)-SUM($K328:N328),(Input!$K$298*(1+vanilla4)^0.5)/A20stdlife))</f>
        <v>0</v>
      </c>
      <c r="P328" s="73">
        <f>IF(A20stdlife="n/a","n/a",IF(P$3&gt;(A20stdlife+$F328),(Input!$K$298*(1+vanilla4)^0.5)-SUM($K328:O328),(Input!$K$298*(1+vanilla4)^0.5)/A20stdlife))</f>
        <v>0</v>
      </c>
      <c r="Q328" s="73">
        <f>IF(A20stdlife="n/a","n/a",IF(Q$3&gt;(A20stdlife+$F328),(Input!$K$298*(1+vanilla4)^0.5)-SUM($K328:P328),(Input!$K$298*(1+vanilla4)^0.5)/A20stdlife))</f>
        <v>0</v>
      </c>
      <c r="R328" s="73"/>
      <c r="S328" s="107"/>
      <c r="T328" s="107"/>
      <c r="U328" s="107"/>
      <c r="V328" s="107"/>
      <c r="W328" s="107"/>
      <c r="X328" s="107"/>
      <c r="Y328" s="107"/>
      <c r="Z328" s="107"/>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6"/>
      <c r="E329" s="537"/>
      <c r="F329" s="91">
        <v>5</v>
      </c>
      <c r="G329" s="27"/>
      <c r="H329" s="150"/>
      <c r="I329" s="152"/>
      <c r="J329" s="152"/>
      <c r="K329" s="152"/>
      <c r="L329" s="151"/>
      <c r="M329" s="73">
        <f>IF(A20stdlife="n/a","n/a",IF(M$3&gt;(A20stdlife+$F329),(Input!$L$298*(1+vanilla5)^0.5)-SUM($L329:L329),(Input!$L$298*(1+vanilla5)^0.5)/A20stdlife))</f>
        <v>0</v>
      </c>
      <c r="N329" s="73">
        <f>IF(A20stdlife="n/a","n/a",IF(N$3&gt;(A20stdlife+$F329),(Input!$L$298*(1+vanilla5)^0.5)-SUM($L329:M329),(Input!$L$298*(1+vanilla5)^0.5)/A20stdlife))</f>
        <v>0</v>
      </c>
      <c r="O329" s="73">
        <f>IF(A20stdlife="n/a","n/a",IF(O$3&gt;(A20stdlife+$F329),(Input!$L$298*(1+vanilla5)^0.5)-SUM($L329:N329),(Input!$L$298*(1+vanilla5)^0.5)/A20stdlife))</f>
        <v>0</v>
      </c>
      <c r="P329" s="73">
        <f>IF(A20stdlife="n/a","n/a",IF(P$3&gt;(A20stdlife+$F329),(Input!$L$298*(1+vanilla5)^0.5)-SUM($L329:O329),(Input!$L$298*(1+vanilla5)^0.5)/A20stdlife))</f>
        <v>0</v>
      </c>
      <c r="Q329" s="73">
        <f>IF(A20stdlife="n/a","n/a",IF(Q$3&gt;(A20stdlife+$F329),(Input!$L$298*(1+vanilla5)^0.5)-SUM($L329:P329),(Input!$L$298*(1+vanilla5)^0.5)/A20stdlife))</f>
        <v>0</v>
      </c>
      <c r="R329" s="73"/>
      <c r="S329" s="107"/>
      <c r="T329" s="107"/>
      <c r="U329" s="107"/>
      <c r="V329" s="107"/>
      <c r="W329" s="107"/>
      <c r="X329" s="107"/>
      <c r="Y329" s="107"/>
      <c r="Z329" s="107"/>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6"/>
      <c r="E330" s="537"/>
      <c r="F330" s="91">
        <v>6</v>
      </c>
      <c r="G330" s="27"/>
      <c r="H330" s="150"/>
      <c r="I330" s="152"/>
      <c r="J330" s="152"/>
      <c r="K330" s="152"/>
      <c r="L330" s="152"/>
      <c r="M330" s="151"/>
      <c r="N330" s="73">
        <f>IF(A20stdlife="n/a","n/a",IF(N$3&gt;(A20stdlife+$F330),(Input!$M$298*(1+vanilla6)^0.5)-SUM($M330:M330),(Input!$M$298*(1+vanilla6)^0.5)/A20stdlife))</f>
        <v>0</v>
      </c>
      <c r="O330" s="73">
        <f>IF(A20stdlife="n/a","n/a",IF(O$3&gt;(A20stdlife+$F330),(Input!$M$298*(1+vanilla6)^0.5)-SUM($M330:N330),(Input!$M$298*(1+vanilla6)^0.5)/A20stdlife))</f>
        <v>0</v>
      </c>
      <c r="P330" s="73">
        <f>IF(A20stdlife="n/a","n/a",IF(P$3&gt;(A20stdlife+$F330),(Input!$M$298*(1+vanilla6)^0.5)-SUM($M330:O330),(Input!$M$298*(1+vanilla6)^0.5)/A20stdlife))</f>
        <v>0</v>
      </c>
      <c r="Q330" s="73">
        <f>IF(A20stdlife="n/a","n/a",IF(Q$3&gt;(A20stdlife+$F330),(Input!$M$298*(1+vanilla6)^0.5)-SUM($M330:P330),(Input!$M$298*(1+vanilla6)^0.5)/A20stdlife))</f>
        <v>0</v>
      </c>
      <c r="R330" s="73"/>
      <c r="S330" s="107"/>
      <c r="T330" s="107"/>
      <c r="U330" s="107"/>
      <c r="V330" s="107"/>
      <c r="W330" s="107"/>
      <c r="X330" s="107"/>
      <c r="Y330" s="107"/>
      <c r="Z330" s="107"/>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6"/>
      <c r="E331" s="537"/>
      <c r="F331" s="91">
        <v>7</v>
      </c>
      <c r="G331" s="27"/>
      <c r="H331" s="150"/>
      <c r="I331" s="152"/>
      <c r="J331" s="152"/>
      <c r="K331" s="152"/>
      <c r="L331" s="152"/>
      <c r="M331" s="152"/>
      <c r="N331" s="151"/>
      <c r="O331" s="73">
        <f>IF(A20stdlife="n/a","n/a",IF(O$3&gt;(A20stdlife+$F331),(Input!N$298*(1+vanilla7)^0.5)-SUM($N331:N331),(Input!$N$298*(1+vanilla7)^0.5)/A20stdlife))</f>
        <v>0</v>
      </c>
      <c r="P331" s="73">
        <f>IF(A20stdlife="n/a","n/a",IF(P$3&gt;(A20stdlife+$F331),(Input!O$298*(1+vanilla7)^0.5)-SUM($N331:O331),(Input!$N$298*(1+vanilla7)^0.5)/A20stdlife))</f>
        <v>0</v>
      </c>
      <c r="Q331" s="73">
        <f>IF(A20stdlife="n/a","n/a",IF(Q$3&gt;(A20stdlife+$F331),(Input!P$298*(1+vanilla7)^0.5)-SUM($N331:P331),(Input!$N$298*(1+vanilla7)^0.5)/A20stdlife))</f>
        <v>0</v>
      </c>
      <c r="R331" s="73"/>
      <c r="S331" s="107"/>
      <c r="T331" s="107"/>
      <c r="U331" s="107"/>
      <c r="V331" s="107"/>
      <c r="W331" s="107"/>
      <c r="X331" s="107"/>
      <c r="Y331" s="107"/>
      <c r="Z331" s="107"/>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37"/>
      <c r="F332" s="91">
        <v>8</v>
      </c>
      <c r="G332" s="27"/>
      <c r="H332" s="150"/>
      <c r="I332" s="152"/>
      <c r="J332" s="152"/>
      <c r="K332" s="152"/>
      <c r="L332" s="152"/>
      <c r="M332" s="152"/>
      <c r="N332" s="152"/>
      <c r="O332" s="151"/>
      <c r="P332" s="73">
        <f>IF(A20stdlife="n/a","n/a",IF(P$3&gt;(A20stdlife+$F332),(Input!$O$298*(1+vanilla8)^0.5)-SUM($O332:O332),(Input!$O$298*(1+vanilla8)^0.5)/A20stdlife))</f>
        <v>0</v>
      </c>
      <c r="Q332" s="73">
        <f>IF(A20stdlife="n/a","n/a",IF(Q$3&gt;(A20stdlife+$F332),(Input!$O$298*(1+vanilla8)^0.5)-SUM($O332:P332),(Input!$O$298*(1+vanilla8)^0.5)/A20stdlife))</f>
        <v>0</v>
      </c>
      <c r="R332" s="73"/>
      <c r="S332" s="107"/>
      <c r="T332" s="107"/>
      <c r="U332" s="107"/>
      <c r="V332" s="107"/>
      <c r="W332" s="107"/>
      <c r="X332" s="107"/>
      <c r="Y332" s="107"/>
      <c r="Z332" s="107"/>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37"/>
      <c r="F333" s="91">
        <v>9</v>
      </c>
      <c r="G333" s="27"/>
      <c r="H333" s="150"/>
      <c r="I333" s="152"/>
      <c r="J333" s="152"/>
      <c r="K333" s="152"/>
      <c r="L333" s="152"/>
      <c r="M333" s="152"/>
      <c r="N333" s="152"/>
      <c r="O333" s="152"/>
      <c r="P333" s="151"/>
      <c r="Q333" s="73">
        <f>IF(A20stdlife="n/a","n/a",IF(Q$3&gt;(A20stdlife+$F333),(Input!$P$298*(1+vanilla9)^0.5)-SUM($P333:P333),(Input!$P$298*(1+vanilla9)^0.5)/A20stdlife))</f>
        <v>0</v>
      </c>
      <c r="R333" s="73"/>
      <c r="S333" s="107"/>
      <c r="T333" s="107"/>
      <c r="U333" s="107"/>
      <c r="V333" s="107"/>
      <c r="W333" s="107"/>
      <c r="X333" s="107"/>
      <c r="Y333" s="107"/>
      <c r="Z333" s="107"/>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37"/>
      <c r="F334" s="92">
        <v>10</v>
      </c>
      <c r="G334" s="27"/>
      <c r="H334" s="150"/>
      <c r="I334" s="152"/>
      <c r="J334" s="152"/>
      <c r="K334" s="152"/>
      <c r="L334" s="152"/>
      <c r="M334" s="152"/>
      <c r="N334" s="152"/>
      <c r="O334" s="152"/>
      <c r="P334" s="152"/>
      <c r="Q334" s="151"/>
      <c r="R334" s="73"/>
      <c r="S334" s="107"/>
      <c r="T334" s="107"/>
      <c r="U334" s="107"/>
      <c r="V334" s="107"/>
      <c r="W334" s="107"/>
      <c r="X334" s="107"/>
      <c r="Y334" s="107"/>
      <c r="Z334" s="107"/>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c r="A335" s="9"/>
      <c r="B335" s="9"/>
      <c r="C335" s="9"/>
      <c r="D335" s="272">
        <f>Asset20</f>
        <v>0</v>
      </c>
      <c r="E335" s="9"/>
      <c r="F335" s="9"/>
      <c r="G335" s="125"/>
      <c r="H335" s="166">
        <f>-SUM(H323:H334)</f>
        <v>0</v>
      </c>
      <c r="I335" s="166">
        <f>-SUM(I323:I334)</f>
        <v>0</v>
      </c>
      <c r="J335" s="166">
        <f>-SUM(J323:J334)</f>
        <v>0</v>
      </c>
      <c r="K335" s="166">
        <f>-SUM(K323:K334)</f>
        <v>0</v>
      </c>
      <c r="L335" s="166">
        <f>-SUM(L323:L334)</f>
        <v>0</v>
      </c>
      <c r="M335" s="73">
        <f>IF(COUNT($H335:L335)&gt;=Input!$Y$7,0, -SUM(M323:M334))</f>
        <v>0</v>
      </c>
      <c r="N335" s="73">
        <f>IF(COUNT($H335:M335)&gt;=Input!$Y$7,0, -SUM(N323:N334))</f>
        <v>0</v>
      </c>
      <c r="O335" s="73">
        <f>IF(COUNT($H335:N335)&gt;=Input!$Y$7,0, -SUM(O323:O334))</f>
        <v>0</v>
      </c>
      <c r="P335" s="73">
        <f>IF(COUNT($H335:O335)&gt;=Input!$Y$7,0, -SUM(P323:P334))</f>
        <v>0</v>
      </c>
      <c r="Q335" s="73">
        <f>IF(COUNT($H335:P335)&gt;=Input!$Y$7,0, -SUM(Q323:Q334))</f>
        <v>0</v>
      </c>
      <c r="R335" s="71"/>
      <c r="S335" s="109"/>
      <c r="T335" s="109"/>
      <c r="U335" s="109"/>
      <c r="V335" s="109"/>
      <c r="W335" s="109"/>
      <c r="X335" s="109"/>
      <c r="Y335" s="109"/>
      <c r="Z335" s="109"/>
      <c r="AA335" s="236"/>
      <c r="AB335" s="236"/>
      <c r="AC335" s="236"/>
      <c r="AD335" s="236"/>
      <c r="AE335" s="236"/>
      <c r="AF335" s="236"/>
      <c r="AG335" s="236"/>
      <c r="AH335" s="236"/>
      <c r="AI335" s="236"/>
      <c r="AJ335" s="236"/>
      <c r="AK335" s="236"/>
      <c r="AL335" s="236"/>
      <c r="AM335" s="236"/>
      <c r="AN335" s="236"/>
      <c r="AO335" s="236"/>
      <c r="AP335" s="236"/>
      <c r="AQ335" s="236"/>
      <c r="AR335" s="236"/>
      <c r="AS335" s="236"/>
      <c r="AT335" s="236"/>
      <c r="AU335" s="236"/>
      <c r="AV335" s="236"/>
      <c r="AW335" s="236"/>
      <c r="AX335" s="236"/>
      <c r="AY335" s="236"/>
      <c r="AZ335" s="236"/>
      <c r="BA335" s="236"/>
      <c r="BB335" s="236"/>
      <c r="BC335" s="236"/>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73">
        <f>Asset21</f>
        <v>0</v>
      </c>
      <c r="D336" s="162"/>
      <c r="E336" s="32" t="s">
        <v>5</v>
      </c>
      <c r="F336" s="31"/>
      <c r="G336" s="181"/>
      <c r="H336" s="72">
        <f>IF(H$3&gt;A21remlife,A21value-$G$650-SUM($G336:G336),IF(A21remlife="N/A","n/a",(A21value-$G$650)/A21remlife))</f>
        <v>0</v>
      </c>
      <c r="I336" s="72">
        <f>IF(I$3&gt;A21remlife,A21value-$G$650-SUM($G336:H336),IF(A21remlife="N/A","n/a",(A21value-$G$650)/A21remlife))</f>
        <v>0</v>
      </c>
      <c r="J336" s="72">
        <f>IF(J$3&gt;A21remlife,A21value-$G$650-SUM($G336:I336),IF(A21remlife="N/A","n/a",(A21value-$G$650)/A21remlife))</f>
        <v>0</v>
      </c>
      <c r="K336" s="72">
        <f>IF(K$3&gt;A21remlife,A21value-$G$650-SUM($G336:J336),IF(A21remlife="N/A","n/a",(A21value-$G$650)/A21remlife))</f>
        <v>0</v>
      </c>
      <c r="L336" s="72">
        <f>IF(L$3&gt;A21remlife,A21value-$G$650-SUM($G336:K336),IF(A21remlife="N/A","n/a",(A21value-$G$650)/A21remlife))</f>
        <v>0</v>
      </c>
      <c r="M336" s="72">
        <f>IF(M$3&gt;A21remlife,A21value-$G$650-SUM($G336:L336),IF(A21remlife="N/A","n/a",(A21value-$G$650)/A21remlife))</f>
        <v>0</v>
      </c>
      <c r="N336" s="72">
        <f>IF(N$3&gt;A21remlife,A21value-$G$650-SUM($G336:M336),IF(A21remlife="N/A","n/a",(A21value-$G$650)/A21remlife))</f>
        <v>0</v>
      </c>
      <c r="O336" s="72">
        <f>IF(O$3&gt;A21remlife,A21value-$G$650-SUM($G336:N336),IF(A21remlife="N/A","n/a",(A21value-$G$650)/A21remlife))</f>
        <v>0</v>
      </c>
      <c r="P336" s="72">
        <f>IF(P$3&gt;A21remlife,A21value-$G$650-SUM($G336:O336),IF(A21remlife="N/A","n/a",(A21value-$G$650)/A21remlife))</f>
        <v>0</v>
      </c>
      <c r="Q336" s="72">
        <f>IF(Q$3&gt;A21remlife,A21value-$G$650-SUM($G336:P336),IF(A21remlife="N/A","n/a",(A21value-$G$650)/A21remlife))</f>
        <v>0</v>
      </c>
      <c r="R336" s="72"/>
      <c r="S336" s="107"/>
      <c r="T336" s="107"/>
      <c r="U336" s="107"/>
      <c r="V336" s="107"/>
      <c r="W336" s="107"/>
      <c r="X336" s="107"/>
      <c r="Y336" s="107"/>
      <c r="Z336" s="107"/>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6"/>
      <c r="E337" s="536" t="s">
        <v>59</v>
      </c>
      <c r="F337" s="91"/>
      <c r="G337" s="125"/>
      <c r="H337" s="73"/>
      <c r="I337" s="73"/>
      <c r="J337" s="73"/>
      <c r="K337" s="73"/>
      <c r="L337" s="73"/>
      <c r="M337" s="164"/>
      <c r="N337" s="116"/>
      <c r="O337" s="73"/>
      <c r="P337" s="73"/>
      <c r="Q337" s="73"/>
      <c r="R337" s="73"/>
      <c r="S337" s="107"/>
      <c r="T337" s="107"/>
      <c r="U337" s="107"/>
      <c r="V337" s="107"/>
      <c r="W337" s="107"/>
      <c r="X337" s="107"/>
      <c r="Y337" s="107"/>
      <c r="Z337" s="107"/>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37"/>
      <c r="F338" s="91">
        <v>1</v>
      </c>
      <c r="G338" s="125"/>
      <c r="H338" s="149"/>
      <c r="I338" s="73">
        <f>IF(A21stdlife="n/a","n/a",IF(I$3&gt;(A21stdlife+$F338),(Input!$H$299*(1+vanilla1)^0.5)-SUM($H338:H338),(Input!$H$299*(1+vanilla1)^0.5)/A21stdlife))</f>
        <v>0</v>
      </c>
      <c r="J338" s="73">
        <f>IF(A21stdlife="n/a","n/a",IF(J$3&gt;(A21stdlife+$F338),(Input!$H$299*(1+vanilla1)^0.5)-SUM($H338:I338),(Input!$H$299*(1+vanilla1)^0.5)/A21stdlife))</f>
        <v>0</v>
      </c>
      <c r="K338" s="73">
        <f>IF(A21stdlife="n/a","n/a",IF(K$3&gt;(A21stdlife+$F338),(Input!$H$299*(1+vanilla1)^0.5)-SUM($H338:J338),(Input!$H$299*(1+vanilla1)^0.5)/A21stdlife))</f>
        <v>0</v>
      </c>
      <c r="L338" s="73">
        <f>IF(A21stdlife="n/a","n/a",IF(L$3&gt;(A21stdlife+$F338),(Input!$H$299*(1+vanilla1)^0.5)-SUM($H338:K338),(Input!$H$299*(1+vanilla1)^0.5)/A21stdlife))</f>
        <v>0</v>
      </c>
      <c r="M338" s="73">
        <f>IF(A21stdlife="n/a","n/a",IF(M$3&gt;(A21stdlife+$F338),(Input!$H$299*(1+vanilla1)^0.5)-SUM($H338:L338),(Input!$H$299*(1+vanilla1)^0.5)/A21stdlife))</f>
        <v>0</v>
      </c>
      <c r="N338" s="73">
        <f>IF(A21stdlife="n/a","n/a",IF(N$3&gt;(A21stdlife+$F338),(Input!$H$299*(1+vanilla1)^0.5)-SUM($H338:M338),(Input!$H$299*(1+vanilla1)^0.5)/A21stdlife))</f>
        <v>0</v>
      </c>
      <c r="O338" s="73">
        <f>IF(A21stdlife="n/a","n/a",IF(O$3&gt;(A21stdlife+$F338),(Input!$H$299*(1+vanilla1)^0.5)-SUM($H338:N338),(Input!$H$299*(1+vanilla1)^0.5)/A21stdlife))</f>
        <v>0</v>
      </c>
      <c r="P338" s="73">
        <f>IF(A21stdlife="n/a","n/a",IF(P$3&gt;(A21stdlife+$F338),(Input!$H$299*(1+vanilla1)^0.5)-SUM($H338:O338),(Input!$H$299*(1+vanilla1)^0.5)/A21stdlife))</f>
        <v>0</v>
      </c>
      <c r="Q338" s="73">
        <f>IF(A21stdlife="n/a","n/a",IF(Q$3&gt;(A21stdlife+$F338),(Input!$H$299*(1+vanilla1)^0.5)-SUM($H338:P338),(Input!$H$299*(1+vanilla1)^0.5)/A21stdlife))</f>
        <v>0</v>
      </c>
      <c r="R338" s="73"/>
      <c r="S338" s="107"/>
      <c r="T338" s="107"/>
      <c r="U338" s="107"/>
      <c r="V338" s="107"/>
      <c r="W338" s="107"/>
      <c r="X338" s="107"/>
      <c r="Y338" s="107"/>
      <c r="Z338" s="107"/>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37"/>
      <c r="F339" s="91">
        <v>2</v>
      </c>
      <c r="G339" s="125"/>
      <c r="H339" s="150"/>
      <c r="I339" s="151"/>
      <c r="J339" s="73">
        <f>IF(A21stdlife="n/a","n/a",IF(J$3&gt;(A21stdlife+$F339),(Input!$I$299*(1+vanilla2)^0.5)-SUM($I339:I339),(Input!$I$299*(1+vanilla2)^0.5)/A21stdlife))</f>
        <v>0</v>
      </c>
      <c r="K339" s="73">
        <f>IF(A21stdlife="n/a","n/a",IF(K$3&gt;(A21stdlife+$F339),(Input!$I$299*(1+vanilla2)^0.5)-SUM($I339:J339),(Input!$I$299*(1+vanilla2)^0.5)/A21stdlife))</f>
        <v>0</v>
      </c>
      <c r="L339" s="73">
        <f>IF(A21stdlife="n/a","n/a",IF(L$3&gt;(A21stdlife+$F339),(Input!$I$299*(1+vanilla2)^0.5)-SUM($I339:K339),(Input!$I$299*(1+vanilla2)^0.5)/A21stdlife))</f>
        <v>0</v>
      </c>
      <c r="M339" s="73">
        <f>IF(A21stdlife="n/a","n/a",IF(M$3&gt;(A21stdlife+$F339),(Input!$I$299*(1+vanilla2)^0.5)-SUM($I339:L339),(Input!$I$299*(1+vanilla2)^0.5)/A21stdlife))</f>
        <v>0</v>
      </c>
      <c r="N339" s="73">
        <f>IF(A21stdlife="n/a","n/a",IF(N$3&gt;(A21stdlife+$F339),(Input!$I$299*(1+vanilla2)^0.5)-SUM($I339:M339),(Input!$I$299*(1+vanilla2)^0.5)/A21stdlife))</f>
        <v>0</v>
      </c>
      <c r="O339" s="73">
        <f>IF(A21stdlife="n/a","n/a",IF(O$3&gt;(A21stdlife+$F339),(Input!$I$299*(1+vanilla2)^0.5)-SUM($I339:N339),(Input!$I$299*(1+vanilla2)^0.5)/A21stdlife))</f>
        <v>0</v>
      </c>
      <c r="P339" s="73">
        <f>IF(A21stdlife="n/a","n/a",IF(P$3&gt;(A21stdlife+$F339),(Input!$I$299*(1+vanilla2)^0.5)-SUM($I339:O339),(Input!$I$299*(1+vanilla2)^0.5)/A21stdlife))</f>
        <v>0</v>
      </c>
      <c r="Q339" s="73">
        <f>IF(A21stdlife="n/a","n/a",IF(Q$3&gt;(A21stdlife+$F339),(Input!$I$299*(1+vanilla2)^0.5)-SUM($I339:P339),(Input!$I$299*(1+vanilla2)^0.5)/A21stdlife))</f>
        <v>0</v>
      </c>
      <c r="R339" s="73"/>
      <c r="S339" s="107"/>
      <c r="T339" s="107"/>
      <c r="U339" s="107"/>
      <c r="V339" s="107"/>
      <c r="W339" s="107"/>
      <c r="X339" s="107"/>
      <c r="Y339" s="107"/>
      <c r="Z339" s="107"/>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37"/>
      <c r="F340" s="91">
        <v>3</v>
      </c>
      <c r="G340" s="125"/>
      <c r="H340" s="150"/>
      <c r="I340" s="152"/>
      <c r="J340" s="151"/>
      <c r="K340" s="73">
        <f>IF(A21stdlife="n/a","n/a",IF(K$3&gt;(A21stdlife+$F340),(Input!$J$299*(1+vanilla3)^0.5)-SUM($J340:J340),(Input!$J$299*(1+vanilla3)^0.5)/A21stdlife))</f>
        <v>0</v>
      </c>
      <c r="L340" s="73">
        <f>IF(A21stdlife="n/a","n/a",IF(L$3&gt;(A21stdlife+$F340),(Input!$J$299*(1+vanilla3)^0.5)-SUM($J340:K340),(Input!$J$299*(1+vanilla3)^0.5)/A21stdlife))</f>
        <v>0</v>
      </c>
      <c r="M340" s="73">
        <f>IF(A21stdlife="n/a","n/a",IF(M$3&gt;(A21stdlife+$F340),(Input!$J$299*(1+vanilla3)^0.5)-SUM($J340:L340),(Input!$J$299*(1+vanilla3)^0.5)/A21stdlife))</f>
        <v>0</v>
      </c>
      <c r="N340" s="73">
        <f>IF(A21stdlife="n/a","n/a",IF(N$3&gt;(A21stdlife+$F340),(Input!$J$299*(1+vanilla3)^0.5)-SUM($J340:M340),(Input!$J$299*(1+vanilla3)^0.5)/A21stdlife))</f>
        <v>0</v>
      </c>
      <c r="O340" s="73">
        <f>IF(A21stdlife="n/a","n/a",IF(O$3&gt;(A21stdlife+$F340),(Input!$J$299*(1+vanilla3)^0.5)-SUM($J340:N340),(Input!$J$299*(1+vanilla3)^0.5)/A21stdlife))</f>
        <v>0</v>
      </c>
      <c r="P340" s="73">
        <f>IF(A21stdlife="n/a","n/a",IF(P$3&gt;(A21stdlife+$F340),(Input!$J$299*(1+vanilla3)^0.5)-SUM($J340:O340),(Input!$J$299*(1+vanilla3)^0.5)/A21stdlife))</f>
        <v>0</v>
      </c>
      <c r="Q340" s="73">
        <f>IF(A21stdlife="n/a","n/a",IF(Q$3&gt;(A21stdlife+$F340),(Input!$J$299*(1+vanilla3)^0.5)-SUM($J340:P340),(Input!$J$299*(1+vanilla3)^0.5)/A21stdlife))</f>
        <v>0</v>
      </c>
      <c r="R340" s="73"/>
      <c r="S340" s="107"/>
      <c r="T340" s="107"/>
      <c r="U340" s="107"/>
      <c r="V340" s="107"/>
      <c r="W340" s="107"/>
      <c r="X340" s="107"/>
      <c r="Y340" s="107"/>
      <c r="Z340" s="107"/>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37"/>
      <c r="F341" s="91">
        <v>4</v>
      </c>
      <c r="G341" s="125"/>
      <c r="H341" s="150"/>
      <c r="I341" s="152"/>
      <c r="J341" s="152"/>
      <c r="K341" s="151"/>
      <c r="L341" s="73">
        <f>IF(A21stdlife="n/a","n/a",IF(L$3&gt;(A21stdlife+$F341),(Input!$K$299*(1+vanilla4)^0.5)-SUM($K341:K341),(Input!$K$299*(1+vanilla4)^0.5)/A21stdlife))</f>
        <v>0</v>
      </c>
      <c r="M341" s="73">
        <f>IF(A21stdlife="n/a","n/a",IF(M$3&gt;(A21stdlife+$F341),(Input!$K$299*(1+vanilla4)^0.5)-SUM($K341:L341),(Input!$K$299*(1+vanilla4)^0.5)/A21stdlife))</f>
        <v>0</v>
      </c>
      <c r="N341" s="73">
        <f>IF(A21stdlife="n/a","n/a",IF(N$3&gt;(A21stdlife+$F341),(Input!$K$299*(1+vanilla4)^0.5)-SUM($K341:M341),(Input!$K$299*(1+vanilla4)^0.5)/A21stdlife))</f>
        <v>0</v>
      </c>
      <c r="O341" s="73">
        <f>IF(A21stdlife="n/a","n/a",IF(O$3&gt;(A21stdlife+$F341),(Input!$K$299*(1+vanilla4)^0.5)-SUM($K341:N341),(Input!$K$299*(1+vanilla4)^0.5)/A21stdlife))</f>
        <v>0</v>
      </c>
      <c r="P341" s="73">
        <f>IF(A21stdlife="n/a","n/a",IF(P$3&gt;(A21stdlife+$F341),(Input!$K$299*(1+vanilla4)^0.5)-SUM($K341:O341),(Input!$K$299*(1+vanilla4)^0.5)/A21stdlife))</f>
        <v>0</v>
      </c>
      <c r="Q341" s="73">
        <f>IF(A21stdlife="n/a","n/a",IF(Q$3&gt;(A21stdlife+$F341),(Input!$K$299*(1+vanilla4)^0.5)-SUM($K341:P341),(Input!$K$299*(1+vanilla4)^0.5)/A21stdlife))</f>
        <v>0</v>
      </c>
      <c r="R341" s="73"/>
      <c r="S341" s="107"/>
      <c r="T341" s="107"/>
      <c r="U341" s="107"/>
      <c r="V341" s="107"/>
      <c r="W341" s="107"/>
      <c r="X341" s="107"/>
      <c r="Y341" s="107"/>
      <c r="Z341" s="107"/>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6"/>
      <c r="E342" s="537"/>
      <c r="F342" s="91">
        <v>5</v>
      </c>
      <c r="G342" s="27"/>
      <c r="H342" s="150"/>
      <c r="I342" s="152"/>
      <c r="J342" s="152"/>
      <c r="K342" s="152"/>
      <c r="L342" s="151"/>
      <c r="M342" s="73">
        <f>IF(A21stdlife="n/a","n/a",IF(M$3&gt;(A21stdlife+$F342),(Input!$L$299*(1+vanilla5)^0.5)-SUM($L342:L342),(Input!$L$299*(1+vanilla5)^0.5)/A21stdlife))</f>
        <v>0</v>
      </c>
      <c r="N342" s="73">
        <f>IF(A21stdlife="n/a","n/a",IF(N$3&gt;(A21stdlife+$F342),(Input!$L$299*(1+vanilla5)^0.5)-SUM($L342:M342),(Input!$L$299*(1+vanilla5)^0.5)/A21stdlife))</f>
        <v>0</v>
      </c>
      <c r="O342" s="73">
        <f>IF(A21stdlife="n/a","n/a",IF(O$3&gt;(A21stdlife+$F342),(Input!$L$299*(1+vanilla5)^0.5)-SUM($L342:N342),(Input!$L$299*(1+vanilla5)^0.5)/A21stdlife))</f>
        <v>0</v>
      </c>
      <c r="P342" s="73">
        <f>IF(A21stdlife="n/a","n/a",IF(P$3&gt;(A21stdlife+$F342),(Input!$L$299*(1+vanilla5)^0.5)-SUM($L342:O342),(Input!$L$299*(1+vanilla5)^0.5)/A21stdlife))</f>
        <v>0</v>
      </c>
      <c r="Q342" s="73">
        <f>IF(A21stdlife="n/a","n/a",IF(Q$3&gt;(A21stdlife+$F342),(Input!$L$299*(1+vanilla5)^0.5)-SUM($L342:P342),(Input!$L$299*(1+vanilla5)^0.5)/A21stdlife))</f>
        <v>0</v>
      </c>
      <c r="R342" s="73"/>
      <c r="S342" s="107"/>
      <c r="T342" s="107"/>
      <c r="U342" s="107"/>
      <c r="V342" s="107"/>
      <c r="W342" s="107"/>
      <c r="X342" s="107"/>
      <c r="Y342" s="107"/>
      <c r="Z342" s="107"/>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6"/>
      <c r="E343" s="537"/>
      <c r="F343" s="91">
        <v>6</v>
      </c>
      <c r="G343" s="27"/>
      <c r="H343" s="150"/>
      <c r="I343" s="152"/>
      <c r="J343" s="152"/>
      <c r="K343" s="152"/>
      <c r="L343" s="152"/>
      <c r="M343" s="151"/>
      <c r="N343" s="73">
        <f>IF(A21stdlife="n/a","n/a",IF(N$3&gt;(A21stdlife+$F343),(Input!$M$299*(1+vanilla6)^0.5)-SUM($M343:M343),(Input!$M$299*(1+vanilla6)^0.5)/A21stdlife))</f>
        <v>0</v>
      </c>
      <c r="O343" s="73">
        <f>IF(A21stdlife="n/a","n/a",IF(O$3&gt;(A21stdlife+$F343),(Input!$M$299*(1+vanilla6)^0.5)-SUM($M343:N343),(Input!$M$299*(1+vanilla6)^0.5)/A21stdlife))</f>
        <v>0</v>
      </c>
      <c r="P343" s="73">
        <f>IF(A21stdlife="n/a","n/a",IF(P$3&gt;(A21stdlife+$F343),(Input!$M$299*(1+vanilla6)^0.5)-SUM($M343:O343),(Input!$M$299*(1+vanilla6)^0.5)/A21stdlife))</f>
        <v>0</v>
      </c>
      <c r="Q343" s="73">
        <f>IF(A21stdlife="n/a","n/a",IF(Q$3&gt;(A21stdlife+$F343),(Input!$M$299*(1+vanilla6)^0.5)-SUM($M343:P343),(Input!$M$299*(1+vanilla6)^0.5)/A21stdlife))</f>
        <v>0</v>
      </c>
      <c r="R343" s="73"/>
      <c r="S343" s="107"/>
      <c r="T343" s="107"/>
      <c r="U343" s="107"/>
      <c r="V343" s="107"/>
      <c r="W343" s="107"/>
      <c r="X343" s="107"/>
      <c r="Y343" s="107"/>
      <c r="Z343" s="107"/>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6"/>
      <c r="E344" s="537"/>
      <c r="F344" s="91">
        <v>7</v>
      </c>
      <c r="G344" s="27"/>
      <c r="H344" s="150"/>
      <c r="I344" s="152"/>
      <c r="J344" s="152"/>
      <c r="K344" s="152"/>
      <c r="L344" s="152"/>
      <c r="M344" s="152"/>
      <c r="N344" s="151"/>
      <c r="O344" s="73">
        <f>IF(A22stdlife="n/a","n/a",IF(O$3&gt;(A22stdlife+$F344),(Input!N$299*(1+vanilla7)^0.5)-SUM($N344:N344),(Input!$N$299*(1+vanilla7)^0.5)/A21stdlife))</f>
        <v>0</v>
      </c>
      <c r="P344" s="73">
        <f>IF(A22stdlife="n/a","n/a",IF(P$3&gt;(A22stdlife+$F344),(Input!O$299*(1+vanilla7)^0.5)-SUM($N344:O344),(Input!$N$299*(1+vanilla7)^0.5)/A21stdlife))</f>
        <v>0</v>
      </c>
      <c r="Q344" s="73">
        <f>IF(A22stdlife="n/a","n/a",IF(Q$3&gt;(A22stdlife+$F344),(Input!P$299*(1+vanilla7)^0.5)-SUM($N344:P344),(Input!$N$299*(1+vanilla7)^0.5)/A21stdlife))</f>
        <v>0</v>
      </c>
      <c r="R344" s="73"/>
      <c r="S344" s="107"/>
      <c r="T344" s="107"/>
      <c r="U344" s="107"/>
      <c r="V344" s="107"/>
      <c r="W344" s="107"/>
      <c r="X344" s="107"/>
      <c r="Y344" s="107"/>
      <c r="Z344" s="107"/>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37"/>
      <c r="F345" s="91">
        <v>8</v>
      </c>
      <c r="G345" s="27"/>
      <c r="H345" s="150"/>
      <c r="I345" s="152"/>
      <c r="J345" s="152"/>
      <c r="K345" s="152"/>
      <c r="L345" s="152"/>
      <c r="M345" s="152"/>
      <c r="N345" s="152"/>
      <c r="O345" s="151"/>
      <c r="P345" s="73">
        <f>IF(A21stdlife="n/a","n/a",IF(P$3&gt;(A21stdlife+$F345),(Input!$O$299*(1+vanilla8)^0.5)-SUM($O345:O345),(Input!$O$299*(1+vanilla8)^0.5)/A21stdlife))</f>
        <v>0</v>
      </c>
      <c r="Q345" s="73">
        <f>IF(A21stdlife="n/a","n/a",IF(Q$3&gt;(A21stdlife+$F345),(Input!$O$299*(1+vanilla8)^0.5)-SUM($O345:P345),(Input!$O$299*(1+vanilla8)^0.5)/A21stdlife))</f>
        <v>0</v>
      </c>
      <c r="R345" s="73"/>
      <c r="S345" s="107"/>
      <c r="T345" s="107"/>
      <c r="U345" s="107"/>
      <c r="V345" s="107"/>
      <c r="W345" s="107"/>
      <c r="X345" s="107"/>
      <c r="Y345" s="107"/>
      <c r="Z345" s="107"/>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37"/>
      <c r="F346" s="91">
        <v>9</v>
      </c>
      <c r="G346" s="27"/>
      <c r="H346" s="150"/>
      <c r="I346" s="152"/>
      <c r="J346" s="152"/>
      <c r="K346" s="152"/>
      <c r="L346" s="152"/>
      <c r="M346" s="152"/>
      <c r="N346" s="152"/>
      <c r="O346" s="152"/>
      <c r="P346" s="151"/>
      <c r="Q346" s="73">
        <f>IF(A21stdlife="n/a","n/a",IF(Q$3&gt;(A21stdlife+$F346),(Input!$P$299*(1+vanilla9)^0.5)-SUM($P346:P346),(Input!$P$299*(1+vanilla9)^0.5)/A21stdlife))</f>
        <v>0</v>
      </c>
      <c r="R346" s="73"/>
      <c r="S346" s="107"/>
      <c r="T346" s="107"/>
      <c r="U346" s="107"/>
      <c r="V346" s="107"/>
      <c r="W346" s="107"/>
      <c r="X346" s="107"/>
      <c r="Y346" s="107"/>
      <c r="Z346" s="107"/>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37"/>
      <c r="F347" s="92">
        <v>10</v>
      </c>
      <c r="G347" s="27"/>
      <c r="H347" s="150"/>
      <c r="I347" s="152"/>
      <c r="J347" s="152"/>
      <c r="K347" s="152"/>
      <c r="L347" s="152"/>
      <c r="M347" s="152"/>
      <c r="N347" s="152"/>
      <c r="O347" s="152"/>
      <c r="P347" s="152"/>
      <c r="Q347" s="151"/>
      <c r="R347" s="73"/>
      <c r="S347" s="107"/>
      <c r="T347" s="107"/>
      <c r="U347" s="107"/>
      <c r="V347" s="107"/>
      <c r="W347" s="107"/>
      <c r="X347" s="107"/>
      <c r="Y347" s="107"/>
      <c r="Z347" s="107"/>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c r="A348" s="9"/>
      <c r="B348" s="9"/>
      <c r="C348" s="9"/>
      <c r="D348" s="272">
        <f>Asset21</f>
        <v>0</v>
      </c>
      <c r="E348" s="9"/>
      <c r="F348" s="9"/>
      <c r="G348" s="125"/>
      <c r="H348" s="166">
        <f>-SUM(H336:H347)</f>
        <v>0</v>
      </c>
      <c r="I348" s="166">
        <f>-SUM(I336:I347)</f>
        <v>0</v>
      </c>
      <c r="J348" s="166">
        <f>-SUM(J336:J347)</f>
        <v>0</v>
      </c>
      <c r="K348" s="166">
        <f>-SUM(K336:K347)</f>
        <v>0</v>
      </c>
      <c r="L348" s="166">
        <f>-SUM(L336:L347)</f>
        <v>0</v>
      </c>
      <c r="M348" s="73">
        <f>IF(COUNT($H348:L348)&gt;=Input!$Y$7,0, -SUM(M336:M347))</f>
        <v>0</v>
      </c>
      <c r="N348" s="73">
        <f>IF(COUNT($H348:M348)&gt;=Input!$Y$7,0, -SUM(N336:N347))</f>
        <v>0</v>
      </c>
      <c r="O348" s="73">
        <f>IF(COUNT($H348:N348)&gt;=Input!$Y$7,0, -SUM(O336:O347))</f>
        <v>0</v>
      </c>
      <c r="P348" s="73">
        <f>IF(COUNT($H348:O348)&gt;=Input!$Y$7,0, -SUM(P336:P347))</f>
        <v>0</v>
      </c>
      <c r="Q348" s="73">
        <f>IF(COUNT($H348:P348)&gt;=Input!$Y$7,0, -SUM(Q336:Q347))</f>
        <v>0</v>
      </c>
      <c r="R348" s="71"/>
      <c r="S348" s="109"/>
      <c r="T348" s="109"/>
      <c r="U348" s="109"/>
      <c r="V348" s="109"/>
      <c r="W348" s="109"/>
      <c r="X348" s="109"/>
      <c r="Y348" s="109"/>
      <c r="Z348" s="109"/>
      <c r="AA348" s="236"/>
      <c r="AB348" s="236"/>
      <c r="AC348" s="236"/>
      <c r="AD348" s="236"/>
      <c r="AE348" s="236"/>
      <c r="AF348" s="236"/>
      <c r="AG348" s="236"/>
      <c r="AH348" s="236"/>
      <c r="AI348" s="236"/>
      <c r="AJ348" s="236"/>
      <c r="AK348" s="236"/>
      <c r="AL348" s="236"/>
      <c r="AM348" s="236"/>
      <c r="AN348" s="236"/>
      <c r="AO348" s="236"/>
      <c r="AP348" s="236"/>
      <c r="AQ348" s="236"/>
      <c r="AR348" s="236"/>
      <c r="AS348" s="236"/>
      <c r="AT348" s="236"/>
      <c r="AU348" s="236"/>
      <c r="AV348" s="236"/>
      <c r="AW348" s="236"/>
      <c r="AX348" s="236"/>
      <c r="AY348" s="236"/>
      <c r="AZ348" s="236"/>
      <c r="BA348" s="236"/>
      <c r="BB348" s="236"/>
      <c r="BC348" s="236"/>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73">
        <f>Asset22</f>
        <v>0</v>
      </c>
      <c r="D349" s="162"/>
      <c r="E349" s="32" t="s">
        <v>5</v>
      </c>
      <c r="F349" s="31"/>
      <c r="G349" s="181"/>
      <c r="H349" s="72">
        <f>IF(H$3&gt;A22remlife,A22value-$G$651-SUM($G349:G349),IF(A22remlife="N/A","n/a",(A22value-$G$651)/A22remlife))</f>
        <v>0</v>
      </c>
      <c r="I349" s="72">
        <f>IF(I$3&gt;A22remlife,A22value-$G$651-SUM($G349:H349),IF(A22remlife="N/A","n/a",(A22value-$G$651)/A22remlife))</f>
        <v>0</v>
      </c>
      <c r="J349" s="72">
        <f>IF(J$3&gt;A22remlife,A22value-$G$651-SUM($G349:I349),IF(A22remlife="N/A","n/a",(A22value-$G$651)/A22remlife))</f>
        <v>0</v>
      </c>
      <c r="K349" s="72">
        <f>IF(K$3&gt;A22remlife,A22value-$G$651-SUM($G349:J349),IF(A22remlife="N/A","n/a",(A22value-$G$651)/A22remlife))</f>
        <v>0</v>
      </c>
      <c r="L349" s="72">
        <f>IF(L$3&gt;A22remlife,A22value-$G$651-SUM($G349:K349),IF(A22remlife="N/A","n/a",(A22value-$G$651)/A22remlife))</f>
        <v>0</v>
      </c>
      <c r="M349" s="72">
        <f>IF(M$3&gt;A22remlife,A22value-$G$651-SUM($G349:L349),IF(A22remlife="N/A","n/a",(A22value-$G$651)/A22remlife))</f>
        <v>0</v>
      </c>
      <c r="N349" s="72">
        <f>IF(N$3&gt;A22remlife,A22value-$G$651-SUM($G349:M349),IF(A22remlife="N/A","n/a",(A22value-$G$651)/A22remlife))</f>
        <v>0</v>
      </c>
      <c r="O349" s="72">
        <f>IF(O$3&gt;A22remlife,A22value-$G$651-SUM($G349:N349),IF(A22remlife="N/A","n/a",(A22value-$G$651)/A22remlife))</f>
        <v>0</v>
      </c>
      <c r="P349" s="72">
        <f>IF(P$3&gt;A22remlife,A22value-$G$651-SUM($G349:O349),IF(A22remlife="N/A","n/a",(A22value-$G$651)/A22remlife))</f>
        <v>0</v>
      </c>
      <c r="Q349" s="72">
        <f>IF(Q$3&gt;A22remlife,A22value-$G$651-SUM($G349:P349),IF(A22remlife="N/A","n/a",(A22value-$G$651)/A22remlife))</f>
        <v>0</v>
      </c>
      <c r="R349" s="72"/>
      <c r="S349" s="107"/>
      <c r="T349" s="107"/>
      <c r="U349" s="107"/>
      <c r="V349" s="107"/>
      <c r="W349" s="107"/>
      <c r="X349" s="107"/>
      <c r="Y349" s="107"/>
      <c r="Z349" s="107"/>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6"/>
      <c r="E350" s="536" t="s">
        <v>59</v>
      </c>
      <c r="F350" s="91"/>
      <c r="G350" s="125"/>
      <c r="H350" s="73"/>
      <c r="I350" s="73"/>
      <c r="J350" s="73"/>
      <c r="K350" s="73"/>
      <c r="L350" s="73"/>
      <c r="M350" s="164"/>
      <c r="N350" s="116"/>
      <c r="O350" s="73"/>
      <c r="P350" s="73"/>
      <c r="Q350" s="73"/>
      <c r="R350" s="73"/>
      <c r="S350" s="107"/>
      <c r="T350" s="107"/>
      <c r="U350" s="107"/>
      <c r="V350" s="107"/>
      <c r="W350" s="107"/>
      <c r="X350" s="107"/>
      <c r="Y350" s="107"/>
      <c r="Z350" s="107"/>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37"/>
      <c r="F351" s="91">
        <v>1</v>
      </c>
      <c r="G351" s="125"/>
      <c r="H351" s="149"/>
      <c r="I351" s="73">
        <f>IF(A22stdlife="n/a","n/a",IF(I$3&gt;(A22stdlife+$F351),(Input!$H$300*(1+vanilla1)^0.5)-SUM($H351:H351),(Input!$H$300*(1+vanilla1)^0.5)/A22stdlife))</f>
        <v>0</v>
      </c>
      <c r="J351" s="73">
        <f>IF(A22stdlife="n/a","n/a",IF(J$3&gt;(A22stdlife+$F351),(Input!$H$300*(1+vanilla1)^0.5)-SUM($H351:I351),(Input!$H$300*(1+vanilla1)^0.5)/A22stdlife))</f>
        <v>0</v>
      </c>
      <c r="K351" s="73">
        <f>IF(A22stdlife="n/a","n/a",IF(K$3&gt;(A22stdlife+$F351),(Input!$H$300*(1+vanilla1)^0.5)-SUM($H351:J351),(Input!$H$300*(1+vanilla1)^0.5)/A22stdlife))</f>
        <v>0</v>
      </c>
      <c r="L351" s="73">
        <f>IF(A22stdlife="n/a","n/a",IF(L$3&gt;(A22stdlife+$F351),(Input!$H$300*(1+vanilla1)^0.5)-SUM($H351:K351),(Input!$H$300*(1+vanilla1)^0.5)/A22stdlife))</f>
        <v>0</v>
      </c>
      <c r="M351" s="73">
        <f>IF(A22stdlife="n/a","n/a",IF(M$3&gt;(A22stdlife+$F351),(Input!$H$300*(1+vanilla1)^0.5)-SUM($H351:L351),(Input!$H$300*(1+vanilla1)^0.5)/A22stdlife))</f>
        <v>0</v>
      </c>
      <c r="N351" s="73">
        <f>IF(A22stdlife="n/a","n/a",IF(N$3&gt;(A22stdlife+$F351),(Input!$H$300*(1+vanilla1)^0.5)-SUM($H351:M351),(Input!$H$300*(1+vanilla1)^0.5)/A22stdlife))</f>
        <v>0</v>
      </c>
      <c r="O351" s="73">
        <f>IF(A22stdlife="n/a","n/a",IF(O$3&gt;(A22stdlife+$F351),(Input!$H$300*(1+vanilla1)^0.5)-SUM($H351:N351),(Input!$H$300*(1+vanilla1)^0.5)/A22stdlife))</f>
        <v>0</v>
      </c>
      <c r="P351" s="73">
        <f>IF(A22stdlife="n/a","n/a",IF(P$3&gt;(A22stdlife+$F351),(Input!$H$300*(1+vanilla1)^0.5)-SUM($H351:O351),(Input!$H$300*(1+vanilla1)^0.5)/A22stdlife))</f>
        <v>0</v>
      </c>
      <c r="Q351" s="73">
        <f>IF(A22stdlife="n/a","n/a",IF(Q$3&gt;(A22stdlife+$F351),(Input!$H$300*(1+vanilla1)^0.5)-SUM($H351:P351),(Input!$H$300*(1+vanilla1)^0.5)/A22stdlife))</f>
        <v>0</v>
      </c>
      <c r="R351" s="73"/>
      <c r="S351" s="107"/>
      <c r="T351" s="107"/>
      <c r="U351" s="107"/>
      <c r="V351" s="107"/>
      <c r="W351" s="107"/>
      <c r="X351" s="107"/>
      <c r="Y351" s="107"/>
      <c r="Z351" s="107"/>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37"/>
      <c r="F352" s="91">
        <v>2</v>
      </c>
      <c r="G352" s="125"/>
      <c r="H352" s="150"/>
      <c r="I352" s="151"/>
      <c r="J352" s="73">
        <f>IF(A22stdlife="n/a","n/a",IF(J$3&gt;(A22stdlife+$F352),(Input!$I$300*(1+vanilla2)^0.5)-SUM($I352:I352),(Input!$I$300*(1+vanilla2)^0.5)/A22stdlife))</f>
        <v>0</v>
      </c>
      <c r="K352" s="73">
        <f>IF(A22stdlife="n/a","n/a",IF(K$3&gt;(A22stdlife+$F352),(Input!$I$300*(1+vanilla2)^0.5)-SUM($I352:J352),(Input!$I$300*(1+vanilla2)^0.5)/A22stdlife))</f>
        <v>0</v>
      </c>
      <c r="L352" s="73">
        <f>IF(A22stdlife="n/a","n/a",IF(L$3&gt;(A22stdlife+$F352),(Input!$I$300*(1+vanilla2)^0.5)-SUM($I352:K352),(Input!$I$300*(1+vanilla2)^0.5)/A22stdlife))</f>
        <v>0</v>
      </c>
      <c r="M352" s="73">
        <f>IF(A22stdlife="n/a","n/a",IF(M$3&gt;(A22stdlife+$F352),(Input!$I$300*(1+vanilla2)^0.5)-SUM($I352:L352),(Input!$I$300*(1+vanilla2)^0.5)/A22stdlife))</f>
        <v>0</v>
      </c>
      <c r="N352" s="73">
        <f>IF(A22stdlife="n/a","n/a",IF(N$3&gt;(A22stdlife+$F352),(Input!$I$300*(1+vanilla2)^0.5)-SUM($I352:M352),(Input!$I$300*(1+vanilla2)^0.5)/A22stdlife))</f>
        <v>0</v>
      </c>
      <c r="O352" s="73">
        <f>IF(A22stdlife="n/a","n/a",IF(O$3&gt;(A22stdlife+$F352),(Input!$I$300*(1+vanilla2)^0.5)-SUM($I352:N352),(Input!$I$300*(1+vanilla2)^0.5)/A22stdlife))</f>
        <v>0</v>
      </c>
      <c r="P352" s="73">
        <f>IF(A22stdlife="n/a","n/a",IF(P$3&gt;(A22stdlife+$F352),(Input!$I$300*(1+vanilla2)^0.5)-SUM($I352:O352),(Input!$I$300*(1+vanilla2)^0.5)/A22stdlife))</f>
        <v>0</v>
      </c>
      <c r="Q352" s="73">
        <f>IF(A22stdlife="n/a","n/a",IF(Q$3&gt;(A22stdlife+$F352),(Input!$I$300*(1+vanilla2)^0.5)-SUM($I352:P352),(Input!$I$300*(1+vanilla2)^0.5)/A22stdlife))</f>
        <v>0</v>
      </c>
      <c r="R352" s="73"/>
      <c r="S352" s="107"/>
      <c r="T352" s="107"/>
      <c r="U352" s="107"/>
      <c r="V352" s="107"/>
      <c r="W352" s="107"/>
      <c r="X352" s="107"/>
      <c r="Y352" s="107"/>
      <c r="Z352" s="107"/>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37"/>
      <c r="F353" s="91">
        <v>3</v>
      </c>
      <c r="G353" s="125"/>
      <c r="H353" s="150"/>
      <c r="I353" s="152"/>
      <c r="J353" s="151"/>
      <c r="K353" s="73">
        <f>IF(A22stdlife="n/a","n/a",IF(K$3&gt;(A22stdlife+$F353),(Input!$J$300*(1+vanilla3)^0.5)-SUM($J353:J353),(Input!$J$300*(1+vanilla3)^0.5)/A22stdlife))</f>
        <v>0</v>
      </c>
      <c r="L353" s="73">
        <f>IF(A22stdlife="n/a","n/a",IF(L$3&gt;(A22stdlife+$F353),(Input!$J$300*(1+vanilla3)^0.5)-SUM($J353:K353),(Input!$J$300*(1+vanilla3)^0.5)/A22stdlife))</f>
        <v>0</v>
      </c>
      <c r="M353" s="73">
        <f>IF(A22stdlife="n/a","n/a",IF(M$3&gt;(A22stdlife+$F353),(Input!$J$300*(1+vanilla3)^0.5)-SUM($J353:L353),(Input!$J$300*(1+vanilla3)^0.5)/A22stdlife))</f>
        <v>0</v>
      </c>
      <c r="N353" s="73">
        <f>IF(A22stdlife="n/a","n/a",IF(N$3&gt;(A22stdlife+$F353),(Input!$J$300*(1+vanilla3)^0.5)-SUM($J353:M353),(Input!$J$300*(1+vanilla3)^0.5)/A22stdlife))</f>
        <v>0</v>
      </c>
      <c r="O353" s="73">
        <f>IF(A22stdlife="n/a","n/a",IF(O$3&gt;(A22stdlife+$F353),(Input!$J$300*(1+vanilla3)^0.5)-SUM($J353:N353),(Input!$J$300*(1+vanilla3)^0.5)/A22stdlife))</f>
        <v>0</v>
      </c>
      <c r="P353" s="73">
        <f>IF(A22stdlife="n/a","n/a",IF(P$3&gt;(A22stdlife+$F353),(Input!$J$300*(1+vanilla3)^0.5)-SUM($J353:O353),(Input!$J$300*(1+vanilla3)^0.5)/A22stdlife))</f>
        <v>0</v>
      </c>
      <c r="Q353" s="73">
        <f>IF(A22stdlife="n/a","n/a",IF(Q$3&gt;(A22stdlife+$F353),(Input!$J$300*(1+vanilla3)^0.5)-SUM($J353:P353),(Input!$J$300*(1+vanilla3)^0.5)/A22stdlife))</f>
        <v>0</v>
      </c>
      <c r="R353" s="73"/>
      <c r="S353" s="107"/>
      <c r="T353" s="107"/>
      <c r="U353" s="107"/>
      <c r="V353" s="107"/>
      <c r="W353" s="107"/>
      <c r="X353" s="107"/>
      <c r="Y353" s="107"/>
      <c r="Z353" s="107"/>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37"/>
      <c r="F354" s="91">
        <v>4</v>
      </c>
      <c r="G354" s="125"/>
      <c r="H354" s="150"/>
      <c r="I354" s="152"/>
      <c r="J354" s="152"/>
      <c r="K354" s="151"/>
      <c r="L354" s="73">
        <f>IF(A22stdlife="n/a","n/a",IF(L$3&gt;(A22stdlife+$F354),(Input!$K$300*(1+vanilla4)^0.5)-SUM($K354:K354),(Input!$K$300*(1+vanilla4)^0.5)/A22stdlife))</f>
        <v>0</v>
      </c>
      <c r="M354" s="73">
        <f>IF(A22stdlife="n/a","n/a",IF(M$3&gt;(A22stdlife+$F354),(Input!$K$300*(1+vanilla4)^0.5)-SUM($K354:L354),(Input!$K$300*(1+vanilla4)^0.5)/A22stdlife))</f>
        <v>0</v>
      </c>
      <c r="N354" s="73">
        <f>IF(A22stdlife="n/a","n/a",IF(N$3&gt;(A22stdlife+$F354),(Input!$K$300*(1+vanilla4)^0.5)-SUM($K354:M354),(Input!$K$300*(1+vanilla4)^0.5)/A22stdlife))</f>
        <v>0</v>
      </c>
      <c r="O354" s="73">
        <f>IF(A22stdlife="n/a","n/a",IF(O$3&gt;(A22stdlife+$F354),(Input!$K$300*(1+vanilla4)^0.5)-SUM($K354:N354),(Input!$K$300*(1+vanilla4)^0.5)/A22stdlife))</f>
        <v>0</v>
      </c>
      <c r="P354" s="73">
        <f>IF(A22stdlife="n/a","n/a",IF(P$3&gt;(A22stdlife+$F354),(Input!$K$300*(1+vanilla4)^0.5)-SUM($K354:O354),(Input!$K$300*(1+vanilla4)^0.5)/A22stdlife))</f>
        <v>0</v>
      </c>
      <c r="Q354" s="73">
        <f>IF(A22stdlife="n/a","n/a",IF(Q$3&gt;(A22stdlife+$F354),(Input!$K$300*(1+vanilla4)^0.5)-SUM($K354:P354),(Input!$K$300*(1+vanilla4)^0.5)/A22stdlife))</f>
        <v>0</v>
      </c>
      <c r="R354" s="73"/>
      <c r="S354" s="107"/>
      <c r="T354" s="107"/>
      <c r="U354" s="107"/>
      <c r="V354" s="107"/>
      <c r="W354" s="107"/>
      <c r="X354" s="107"/>
      <c r="Y354" s="107"/>
      <c r="Z354" s="107"/>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6"/>
      <c r="E355" s="537"/>
      <c r="F355" s="91">
        <v>5</v>
      </c>
      <c r="G355" s="27"/>
      <c r="H355" s="150"/>
      <c r="I355" s="152"/>
      <c r="J355" s="152"/>
      <c r="K355" s="152"/>
      <c r="L355" s="151"/>
      <c r="M355" s="73">
        <f>IF(A22stdlife="n/a","n/a",IF(M$3&gt;(A22stdlife+$F355),(Input!$L$300*(1+vanilla5)^0.5)-SUM($L355:L355),(Input!$L$300*(1+vanilla5)^0.5)/A22stdlife))</f>
        <v>0</v>
      </c>
      <c r="N355" s="73">
        <f>IF(A22stdlife="n/a","n/a",IF(N$3&gt;(A22stdlife+$F355),(Input!$L$300*(1+vanilla5)^0.5)-SUM($L355:M355),(Input!$L$300*(1+vanilla5)^0.5)/A22stdlife))</f>
        <v>0</v>
      </c>
      <c r="O355" s="73">
        <f>IF(A22stdlife="n/a","n/a",IF(O$3&gt;(A22stdlife+$F355),(Input!$L$300*(1+vanilla5)^0.5)-SUM($L355:N355),(Input!$L$300*(1+vanilla5)^0.5)/A22stdlife))</f>
        <v>0</v>
      </c>
      <c r="P355" s="73">
        <f>IF(A22stdlife="n/a","n/a",IF(P$3&gt;(A22stdlife+$F355),(Input!$L$300*(1+vanilla5)^0.5)-SUM($L355:O355),(Input!$L$300*(1+vanilla5)^0.5)/A22stdlife))</f>
        <v>0</v>
      </c>
      <c r="Q355" s="73">
        <f>IF(A22stdlife="n/a","n/a",IF(Q$3&gt;(A22stdlife+$F355),(Input!$L$300*(1+vanilla5)^0.5)-SUM($L355:P355),(Input!$L$300*(1+vanilla5)^0.5)/A22stdlife))</f>
        <v>0</v>
      </c>
      <c r="R355" s="73"/>
      <c r="S355" s="107"/>
      <c r="T355" s="107"/>
      <c r="U355" s="107"/>
      <c r="V355" s="107"/>
      <c r="W355" s="107"/>
      <c r="X355" s="107"/>
      <c r="Y355" s="107"/>
      <c r="Z355" s="107"/>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6"/>
      <c r="E356" s="537"/>
      <c r="F356" s="91">
        <v>6</v>
      </c>
      <c r="G356" s="27"/>
      <c r="H356" s="150"/>
      <c r="I356" s="152"/>
      <c r="J356" s="152"/>
      <c r="K356" s="152"/>
      <c r="L356" s="152"/>
      <c r="M356" s="151"/>
      <c r="N356" s="73">
        <f>IF(A22stdlife="n/a","n/a",IF(N$3&gt;(A22stdlife+$F356),(Input!$M$300*(1+vanilla6)^0.5)-SUM($M356:M356),(Input!$M$300*(1+vanilla6)^0.5)/A22stdlife))</f>
        <v>0</v>
      </c>
      <c r="O356" s="73">
        <f>IF(A22stdlife="n/a","n/a",IF(O$3&gt;(A22stdlife+$F356),(Input!$M$300*(1+vanilla6)^0.5)-SUM($M356:N356),(Input!$M$300*(1+vanilla6)^0.5)/A22stdlife))</f>
        <v>0</v>
      </c>
      <c r="P356" s="73">
        <f>IF(A22stdlife="n/a","n/a",IF(P$3&gt;(A22stdlife+$F356),(Input!$M$300*(1+vanilla6)^0.5)-SUM($M356:O356),(Input!$M$300*(1+vanilla6)^0.5)/A22stdlife))</f>
        <v>0</v>
      </c>
      <c r="Q356" s="73">
        <f>IF(A22stdlife="n/a","n/a",IF(Q$3&gt;(A22stdlife+$F356),(Input!$M$300*(1+vanilla6)^0.5)-SUM($M356:P356),(Input!$M$300*(1+vanilla6)^0.5)/A22stdlife))</f>
        <v>0</v>
      </c>
      <c r="R356" s="73"/>
      <c r="S356" s="107"/>
      <c r="T356" s="107"/>
      <c r="U356" s="107"/>
      <c r="V356" s="107"/>
      <c r="W356" s="107"/>
      <c r="X356" s="107"/>
      <c r="Y356" s="107"/>
      <c r="Z356" s="107"/>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6"/>
      <c r="E357" s="537"/>
      <c r="F357" s="91">
        <v>7</v>
      </c>
      <c r="G357" s="27"/>
      <c r="H357" s="150"/>
      <c r="I357" s="152"/>
      <c r="J357" s="152"/>
      <c r="K357" s="152"/>
      <c r="L357" s="152"/>
      <c r="M357" s="152"/>
      <c r="N357" s="151"/>
      <c r="O357" s="73">
        <f>IF(A22stdlife="n/a","n/a",IF(O$3&gt;(A22stdlife+$F357),(Input!N$300*(1+vanilla7)^0.5)-SUM($N357:N357),(Input!$N$300*(1+vanilla7)^0.5)/A22stdlife))</f>
        <v>0</v>
      </c>
      <c r="P357" s="73">
        <f>IF(A22stdlife="n/a","n/a",IF(P$3&gt;(A22stdlife+$F357),(Input!O$300*(1+vanilla7)^0.5)-SUM($N357:O357),(Input!$N$300*(1+vanilla7)^0.5)/A22stdlife))</f>
        <v>0</v>
      </c>
      <c r="Q357" s="73">
        <f>IF(A22stdlife="n/a","n/a",IF(Q$3&gt;(A22stdlife+$F357),(Input!P$300*(1+vanilla7)^0.5)-SUM($N357:P357),(Input!$N$300*(1+vanilla7)^0.5)/A22stdlife))</f>
        <v>0</v>
      </c>
      <c r="R357" s="73"/>
      <c r="S357" s="107"/>
      <c r="T357" s="107"/>
      <c r="U357" s="107"/>
      <c r="V357" s="107"/>
      <c r="W357" s="107"/>
      <c r="X357" s="107"/>
      <c r="Y357" s="107"/>
      <c r="Z357" s="107"/>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37"/>
      <c r="F358" s="91">
        <v>8</v>
      </c>
      <c r="G358" s="27"/>
      <c r="H358" s="150"/>
      <c r="I358" s="152"/>
      <c r="J358" s="152"/>
      <c r="K358" s="152"/>
      <c r="L358" s="152"/>
      <c r="M358" s="152"/>
      <c r="N358" s="152"/>
      <c r="O358" s="151"/>
      <c r="P358" s="73">
        <f>IF(A22stdlife="n/a","n/a",IF(P$3&gt;(A22stdlife+$F358),(Input!$O$300*(1+vanilla8)^0.5)-SUM($O358:O358),(Input!$O$300*(1+vanilla8)^0.5)/A22stdlife))</f>
        <v>0</v>
      </c>
      <c r="Q358" s="73">
        <f>IF(A22stdlife="n/a","n/a",IF(Q$3&gt;(A22stdlife+$F358),(Input!$O$300*(1+vanilla8)^0.5)-SUM($O358:P358),(Input!$O$300*(1+vanilla8)^0.5)/A22stdlife))</f>
        <v>0</v>
      </c>
      <c r="R358" s="73"/>
      <c r="S358" s="107"/>
      <c r="T358" s="107"/>
      <c r="U358" s="107"/>
      <c r="V358" s="107"/>
      <c r="W358" s="107"/>
      <c r="X358" s="107"/>
      <c r="Y358" s="107"/>
      <c r="Z358" s="107"/>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37"/>
      <c r="F359" s="91">
        <v>9</v>
      </c>
      <c r="G359" s="27"/>
      <c r="H359" s="150"/>
      <c r="I359" s="152"/>
      <c r="J359" s="152"/>
      <c r="K359" s="152"/>
      <c r="L359" s="152"/>
      <c r="M359" s="152"/>
      <c r="N359" s="152"/>
      <c r="O359" s="152"/>
      <c r="P359" s="151"/>
      <c r="Q359" s="73">
        <f>IF(A22stdlife="n/a","n/a",IF(Q$3&gt;(A22stdlife+$F359),(Input!$P$300*(1+vanilla9)^0.5)-SUM($P359:P359),(Input!$P$300*(1+vanilla9)^0.5)/A22stdlife))</f>
        <v>0</v>
      </c>
      <c r="R359" s="73"/>
      <c r="S359" s="107"/>
      <c r="T359" s="107"/>
      <c r="U359" s="107"/>
      <c r="V359" s="107"/>
      <c r="W359" s="107"/>
      <c r="X359" s="107"/>
      <c r="Y359" s="107"/>
      <c r="Z359" s="107"/>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37"/>
      <c r="F360" s="92">
        <v>10</v>
      </c>
      <c r="G360" s="27"/>
      <c r="H360" s="150"/>
      <c r="I360" s="152"/>
      <c r="J360" s="152"/>
      <c r="K360" s="152"/>
      <c r="L360" s="152"/>
      <c r="M360" s="152"/>
      <c r="N360" s="152"/>
      <c r="O360" s="152"/>
      <c r="P360" s="152"/>
      <c r="Q360" s="151"/>
      <c r="R360" s="73"/>
      <c r="S360" s="107"/>
      <c r="T360" s="107"/>
      <c r="U360" s="107"/>
      <c r="V360" s="107"/>
      <c r="W360" s="107"/>
      <c r="X360" s="107"/>
      <c r="Y360" s="107"/>
      <c r="Z360" s="107"/>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c r="A361" s="9"/>
      <c r="B361" s="9"/>
      <c r="C361" s="9"/>
      <c r="D361" s="272">
        <f>Asset22</f>
        <v>0</v>
      </c>
      <c r="E361" s="9"/>
      <c r="F361" s="9"/>
      <c r="G361" s="125"/>
      <c r="H361" s="166">
        <f>-SUM(H349:H360)</f>
        <v>0</v>
      </c>
      <c r="I361" s="166">
        <f>-SUM(I349:I360)</f>
        <v>0</v>
      </c>
      <c r="J361" s="166">
        <f>-SUM(J349:J360)</f>
        <v>0</v>
      </c>
      <c r="K361" s="166">
        <f>-SUM(K349:K360)</f>
        <v>0</v>
      </c>
      <c r="L361" s="166">
        <f>-SUM(L349:L360)</f>
        <v>0</v>
      </c>
      <c r="M361" s="73">
        <f>IF(COUNT($H361:L361)&gt;=Input!$Y$7,0, -SUM(M349:M360))</f>
        <v>0</v>
      </c>
      <c r="N361" s="73">
        <f>IF(COUNT($H361:M361)&gt;=Input!$Y$7,0, -SUM(N349:N360))</f>
        <v>0</v>
      </c>
      <c r="O361" s="73">
        <f>IF(COUNT($H361:N361)&gt;=Input!$Y$7,0, -SUM(O349:O360))</f>
        <v>0</v>
      </c>
      <c r="P361" s="73">
        <f>IF(COUNT($H361:O361)&gt;=Input!$Y$7,0, -SUM(P349:P360))</f>
        <v>0</v>
      </c>
      <c r="Q361" s="73">
        <f>IF(COUNT($H361:P361)&gt;=Input!$Y$7,0, -SUM(Q349:Q360))</f>
        <v>0</v>
      </c>
      <c r="R361" s="71"/>
      <c r="S361" s="109"/>
      <c r="T361" s="109"/>
      <c r="U361" s="109"/>
      <c r="V361" s="109"/>
      <c r="W361" s="109"/>
      <c r="X361" s="109"/>
      <c r="Y361" s="109"/>
      <c r="Z361" s="109"/>
      <c r="AA361" s="236"/>
      <c r="AB361" s="236"/>
      <c r="AC361" s="236"/>
      <c r="AD361" s="236"/>
      <c r="AE361" s="236"/>
      <c r="AF361" s="236"/>
      <c r="AG361" s="236"/>
      <c r="AH361" s="236"/>
      <c r="AI361" s="236"/>
      <c r="AJ361" s="236"/>
      <c r="AK361" s="236"/>
      <c r="AL361" s="236"/>
      <c r="AM361" s="236"/>
      <c r="AN361" s="236"/>
      <c r="AO361" s="236"/>
      <c r="AP361" s="236"/>
      <c r="AQ361" s="236"/>
      <c r="AR361" s="236"/>
      <c r="AS361" s="236"/>
      <c r="AT361" s="236"/>
      <c r="AU361" s="236"/>
      <c r="AV361" s="236"/>
      <c r="AW361" s="236"/>
      <c r="AX361" s="236"/>
      <c r="AY361" s="236"/>
      <c r="AZ361" s="236"/>
      <c r="BA361" s="236"/>
      <c r="BB361" s="236"/>
      <c r="BC361" s="236"/>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73">
        <f>Asset23</f>
        <v>0</v>
      </c>
      <c r="D362" s="162"/>
      <c r="E362" s="32" t="s">
        <v>5</v>
      </c>
      <c r="F362" s="31"/>
      <c r="G362" s="181"/>
      <c r="H362" s="72">
        <f>IF(H$3&gt;A23remlife,A23value-$G$652-SUM($G362:G362),IF(A23remlife="N/A","n/a",(A23value-$G$652)/A23remlife))</f>
        <v>0</v>
      </c>
      <c r="I362" s="72">
        <f>IF(I$3&gt;A23remlife,A23value-$G$652-SUM($G362:H362),IF(A23remlife="N/A","n/a",(A23value-$G$652)/A23remlife))</f>
        <v>0</v>
      </c>
      <c r="J362" s="72">
        <f>IF(J$3&gt;A23remlife,A23value-$G$652-SUM($G362:I362),IF(A23remlife="N/A","n/a",(A23value-$G$652)/A23remlife))</f>
        <v>0</v>
      </c>
      <c r="K362" s="72">
        <f>IF(K$3&gt;A23remlife,A23value-$G$652-SUM($G362:J362),IF(A23remlife="N/A","n/a",(A23value-$G$652)/A23remlife))</f>
        <v>0</v>
      </c>
      <c r="L362" s="72">
        <f>IF(L$3&gt;A23remlife,A23value-$G$652-SUM($G362:K362),IF(A23remlife="N/A","n/a",(A23value-$G$652)/A23remlife))</f>
        <v>0</v>
      </c>
      <c r="M362" s="72">
        <f>IF(M$3&gt;A23remlife,A23value-$G$652-SUM($G362:L362),IF(A23remlife="N/A","n/a",(A23value-$G$652)/A23remlife))</f>
        <v>0</v>
      </c>
      <c r="N362" s="72">
        <f>IF(N$3&gt;A23remlife,A23value-$G$652-SUM($G362:M362),IF(A23remlife="N/A","n/a",(A23value-$G$652)/A23remlife))</f>
        <v>0</v>
      </c>
      <c r="O362" s="72">
        <f>IF(O$3&gt;A23remlife,A23value-$G$652-SUM($G362:N362),IF(A23remlife="N/A","n/a",(A23value-$G$652)/A23remlife))</f>
        <v>0</v>
      </c>
      <c r="P362" s="72">
        <f>IF(P$3&gt;A23remlife,A23value-$G$652-SUM($G362:O362),IF(A23remlife="N/A","n/a",(A23value-$G$652)/A23remlife))</f>
        <v>0</v>
      </c>
      <c r="Q362" s="72">
        <f>IF(Q$3&gt;A23remlife,A23value-$G$652-SUM($G362:P362),IF(A23remlife="N/A","n/a",(A23value-$G$652)/A23remlife))</f>
        <v>0</v>
      </c>
      <c r="R362" s="72"/>
      <c r="S362" s="107"/>
      <c r="T362" s="107"/>
      <c r="U362" s="107"/>
      <c r="V362" s="107"/>
      <c r="W362" s="107"/>
      <c r="X362" s="107"/>
      <c r="Y362" s="107"/>
      <c r="Z362" s="107"/>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6"/>
      <c r="E363" s="536" t="s">
        <v>59</v>
      </c>
      <c r="F363" s="91"/>
      <c r="G363" s="125"/>
      <c r="H363" s="73"/>
      <c r="I363" s="73"/>
      <c r="J363" s="73"/>
      <c r="K363" s="73"/>
      <c r="L363" s="73"/>
      <c r="M363" s="164"/>
      <c r="N363" s="116"/>
      <c r="O363" s="73"/>
      <c r="P363" s="73"/>
      <c r="Q363" s="73"/>
      <c r="R363" s="73"/>
      <c r="S363" s="107"/>
      <c r="T363" s="107"/>
      <c r="U363" s="107"/>
      <c r="V363" s="107"/>
      <c r="W363" s="107"/>
      <c r="X363" s="107"/>
      <c r="Y363" s="107"/>
      <c r="Z363" s="107"/>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6"/>
      <c r="E364" s="537"/>
      <c r="F364" s="91">
        <v>1</v>
      </c>
      <c r="G364" s="125"/>
      <c r="H364" s="149"/>
      <c r="I364" s="73">
        <f>IF(A23stdlife="n/a","n/a",IF(I$3&gt;(A23stdlife+$F364),(Input!$H$301*(1+vanilla1)^0.5)-SUM($H364:H364),(Input!$H$301*(1+vanilla1)^0.5)/A23stdlife))</f>
        <v>0</v>
      </c>
      <c r="J364" s="73">
        <f>IF(A23stdlife="n/a","n/a",IF(J$3&gt;(A23stdlife+$F364),(Input!$H$301*(1+vanilla1)^0.5)-SUM($H364:I364),(Input!$H$301*(1+vanilla1)^0.5)/A23stdlife))</f>
        <v>0</v>
      </c>
      <c r="K364" s="73">
        <f>IF(A23stdlife="n/a","n/a",IF(K$3&gt;(A23stdlife+$F364),(Input!$H$301*(1+vanilla1)^0.5)-SUM($H364:J364),(Input!$H$301*(1+vanilla1)^0.5)/A23stdlife))</f>
        <v>0</v>
      </c>
      <c r="L364" s="73">
        <f>IF(A23stdlife="n/a","n/a",IF(L$3&gt;(A23stdlife+$F364),(Input!$H$301*(1+vanilla1)^0.5)-SUM($H364:K364),(Input!$H$301*(1+vanilla1)^0.5)/A23stdlife))</f>
        <v>0</v>
      </c>
      <c r="M364" s="73">
        <f>IF(A23stdlife="n/a","n/a",IF(M$3&gt;(A23stdlife+$F364),(Input!$H$301*(1+vanilla1)^0.5)-SUM($H364:L364),(Input!$H$301*(1+vanilla1)^0.5)/A23stdlife))</f>
        <v>0</v>
      </c>
      <c r="N364" s="73">
        <f>IF(A23stdlife="n/a","n/a",IF(N$3&gt;(A23stdlife+$F364),(Input!$H$301*(1+vanilla1)^0.5)-SUM($H364:M364),(Input!$H$301*(1+vanilla1)^0.5)/A23stdlife))</f>
        <v>0</v>
      </c>
      <c r="O364" s="73">
        <f>IF(A23stdlife="n/a","n/a",IF(O$3&gt;(A23stdlife+$F364),(Input!$H$301*(1+vanilla1)^0.5)-SUM($H364:N364),(Input!$H$301*(1+vanilla1)^0.5)/A23stdlife))</f>
        <v>0</v>
      </c>
      <c r="P364" s="73">
        <f>IF(A23stdlife="n/a","n/a",IF(P$3&gt;(A23stdlife+$F364),(Input!$H$301*(1+vanilla1)^0.5)-SUM($H364:O364),(Input!$H$301*(1+vanilla1)^0.5)/A23stdlife))</f>
        <v>0</v>
      </c>
      <c r="Q364" s="73">
        <f>IF(A23stdlife="n/a","n/a",IF(Q$3&gt;(A23stdlife+$F364),(Input!$H$301*(1+vanilla1)^0.5)-SUM($H364:P364),(Input!$H$301*(1+vanilla1)^0.5)/A23stdlife))</f>
        <v>0</v>
      </c>
      <c r="R364" s="73"/>
      <c r="S364" s="107"/>
      <c r="T364" s="107"/>
      <c r="U364" s="107"/>
      <c r="V364" s="107"/>
      <c r="W364" s="107"/>
      <c r="X364" s="107"/>
      <c r="Y364" s="107"/>
      <c r="Z364" s="107"/>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6"/>
      <c r="E365" s="537"/>
      <c r="F365" s="91">
        <v>2</v>
      </c>
      <c r="G365" s="125"/>
      <c r="H365" s="150"/>
      <c r="I365" s="151"/>
      <c r="J365" s="73">
        <f>IF(A23stdlife="n/a","n/a",IF(J$3&gt;(A23stdlife+$F365),(Input!$I$301*(1+vanilla2)^0.5)-SUM($I365:I365),(Input!$I$301*(1+vanilla2)^0.5)/A23stdlife))</f>
        <v>0</v>
      </c>
      <c r="K365" s="73">
        <f>IF(A23stdlife="n/a","n/a",IF(K$3&gt;(A23stdlife+$F365),(Input!$I$301*(1+vanilla2)^0.5)-SUM($I365:J365),(Input!$I$301*(1+vanilla2)^0.5)/A23stdlife))</f>
        <v>0</v>
      </c>
      <c r="L365" s="73">
        <f>IF(A23stdlife="n/a","n/a",IF(L$3&gt;(A23stdlife+$F365),(Input!$I$301*(1+vanilla2)^0.5)-SUM($I365:K365),(Input!$I$301*(1+vanilla2)^0.5)/A23stdlife))</f>
        <v>0</v>
      </c>
      <c r="M365" s="73">
        <f>IF(A23stdlife="n/a","n/a",IF(M$3&gt;(A23stdlife+$F365),(Input!$I$301*(1+vanilla2)^0.5)-SUM($I365:L365),(Input!$I$301*(1+vanilla2)^0.5)/A23stdlife))</f>
        <v>0</v>
      </c>
      <c r="N365" s="73">
        <f>IF(A23stdlife="n/a","n/a",IF(N$3&gt;(A23stdlife+$F365),(Input!$I$301*(1+vanilla2)^0.5)-SUM($I365:M365),(Input!$I$301*(1+vanilla2)^0.5)/A23stdlife))</f>
        <v>0</v>
      </c>
      <c r="O365" s="73">
        <f>IF(A23stdlife="n/a","n/a",IF(O$3&gt;(A23stdlife+$F365),(Input!$I$301*(1+vanilla2)^0.5)-SUM($I365:N365),(Input!$I$301*(1+vanilla2)^0.5)/A23stdlife))</f>
        <v>0</v>
      </c>
      <c r="P365" s="73">
        <f>IF(A23stdlife="n/a","n/a",IF(P$3&gt;(A23stdlife+$F365),(Input!$I$301*(1+vanilla2)^0.5)-SUM($I365:O365),(Input!$I$301*(1+vanilla2)^0.5)/A23stdlife))</f>
        <v>0</v>
      </c>
      <c r="Q365" s="73">
        <f>IF(A23stdlife="n/a","n/a",IF(Q$3&gt;(A23stdlife+$F365),(Input!$I$301*(1+vanilla2)^0.5)-SUM($I365:P365),(Input!$I$301*(1+vanilla2)^0.5)/A23stdlife))</f>
        <v>0</v>
      </c>
      <c r="R365" s="73"/>
      <c r="S365" s="107"/>
      <c r="T365" s="107"/>
      <c r="U365" s="107"/>
      <c r="V365" s="107"/>
      <c r="W365" s="107"/>
      <c r="X365" s="107"/>
      <c r="Y365" s="107"/>
      <c r="Z365" s="107"/>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6"/>
      <c r="E366" s="537"/>
      <c r="F366" s="91">
        <v>3</v>
      </c>
      <c r="G366" s="125"/>
      <c r="H366" s="150"/>
      <c r="I366" s="152"/>
      <c r="J366" s="151"/>
      <c r="K366" s="73">
        <f>IF(A23stdlife="n/a","n/a",IF(K$3&gt;(A23stdlife+$F366),(Input!$J$301*(1+vanilla3)^0.5)-SUM($J366:J366),(Input!$J$301*(1+vanilla3)^0.5)/A23stdlife))</f>
        <v>0</v>
      </c>
      <c r="L366" s="73">
        <f>IF(A23stdlife="n/a","n/a",IF(L$3&gt;(A23stdlife+$F366),(Input!$J$301*(1+vanilla3)^0.5)-SUM($J366:K366),(Input!$J$301*(1+vanilla3)^0.5)/A23stdlife))</f>
        <v>0</v>
      </c>
      <c r="M366" s="73">
        <f>IF(A23stdlife="n/a","n/a",IF(M$3&gt;(A23stdlife+$F366),(Input!$J$301*(1+vanilla3)^0.5)-SUM($J366:L366),(Input!$J$301*(1+vanilla3)^0.5)/A23stdlife))</f>
        <v>0</v>
      </c>
      <c r="N366" s="73">
        <f>IF(A23stdlife="n/a","n/a",IF(N$3&gt;(A23stdlife+$F366),(Input!$J$301*(1+vanilla3)^0.5)-SUM($J366:M366),(Input!$J$301*(1+vanilla3)^0.5)/A23stdlife))</f>
        <v>0</v>
      </c>
      <c r="O366" s="73">
        <f>IF(A23stdlife="n/a","n/a",IF(O$3&gt;(A23stdlife+$F366),(Input!$J$301*(1+vanilla3)^0.5)-SUM($J366:N366),(Input!$J$301*(1+vanilla3)^0.5)/A23stdlife))</f>
        <v>0</v>
      </c>
      <c r="P366" s="73">
        <f>IF(A23stdlife="n/a","n/a",IF(P$3&gt;(A23stdlife+$F366),(Input!$J$301*(1+vanilla3)^0.5)-SUM($J366:O366),(Input!$J$301*(1+vanilla3)^0.5)/A23stdlife))</f>
        <v>0</v>
      </c>
      <c r="Q366" s="73">
        <f>IF(A23stdlife="n/a","n/a",IF(Q$3&gt;(A23stdlife+$F366),(Input!$J$301*(1+vanilla3)^0.5)-SUM($J366:P366),(Input!$J$301*(1+vanilla3)^0.5)/A23stdlife))</f>
        <v>0</v>
      </c>
      <c r="R366" s="73"/>
      <c r="S366" s="107"/>
      <c r="T366" s="107"/>
      <c r="U366" s="107"/>
      <c r="V366" s="107"/>
      <c r="W366" s="107"/>
      <c r="X366" s="107"/>
      <c r="Y366" s="107"/>
      <c r="Z366" s="107"/>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6"/>
      <c r="E367" s="537"/>
      <c r="F367" s="91">
        <v>4</v>
      </c>
      <c r="G367" s="125"/>
      <c r="H367" s="150"/>
      <c r="I367" s="152"/>
      <c r="J367" s="152"/>
      <c r="K367" s="151"/>
      <c r="L367" s="73">
        <f>IF(A23stdlife="n/a","n/a",IF(L$3&gt;(A23stdlife+$F367),(Input!$K$301*(1+vanilla4)^0.5)-SUM($K367:K367),(Input!$K$301*(1+vanilla4)^0.5)/A23stdlife))</f>
        <v>0</v>
      </c>
      <c r="M367" s="73">
        <f>IF(A23stdlife="n/a","n/a",IF(M$3&gt;(A23stdlife+$F367),(Input!$K$301*(1+vanilla4)^0.5)-SUM($K367:L367),(Input!$K$301*(1+vanilla4)^0.5)/A23stdlife))</f>
        <v>0</v>
      </c>
      <c r="N367" s="73">
        <f>IF(A23stdlife="n/a","n/a",IF(N$3&gt;(A23stdlife+$F367),(Input!$K$301*(1+vanilla4)^0.5)-SUM($K367:M367),(Input!$K$301*(1+vanilla4)^0.5)/A23stdlife))</f>
        <v>0</v>
      </c>
      <c r="O367" s="73">
        <f>IF(A23stdlife="n/a","n/a",IF(O$3&gt;(A23stdlife+$F367),(Input!$K$301*(1+vanilla4)^0.5)-SUM($K367:N367),(Input!$K$301*(1+vanilla4)^0.5)/A23stdlife))</f>
        <v>0</v>
      </c>
      <c r="P367" s="73">
        <f>IF(A23stdlife="n/a","n/a",IF(P$3&gt;(A23stdlife+$F367),(Input!$K$301*(1+vanilla4)^0.5)-SUM($K367:O367),(Input!$K$301*(1+vanilla4)^0.5)/A23stdlife))</f>
        <v>0</v>
      </c>
      <c r="Q367" s="73">
        <f>IF(A23stdlife="n/a","n/a",IF(Q$3&gt;(A23stdlife+$F367),(Input!$K$301*(1+vanilla4)^0.5)-SUM($K367:P367),(Input!$K$301*(1+vanilla4)^0.5)/A23stdlife))</f>
        <v>0</v>
      </c>
      <c r="R367" s="73"/>
      <c r="S367" s="107"/>
      <c r="T367" s="107"/>
      <c r="U367" s="107"/>
      <c r="V367" s="107"/>
      <c r="W367" s="107"/>
      <c r="X367" s="107"/>
      <c r="Y367" s="107"/>
      <c r="Z367" s="107"/>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6"/>
      <c r="E368" s="537"/>
      <c r="F368" s="91">
        <v>5</v>
      </c>
      <c r="G368" s="27"/>
      <c r="H368" s="150"/>
      <c r="I368" s="152"/>
      <c r="J368" s="152"/>
      <c r="K368" s="152"/>
      <c r="L368" s="151"/>
      <c r="M368" s="73">
        <f>IF(A23stdlife="n/a","n/a",IF(M$3&gt;(A23stdlife+$F368),(Input!$L$301*(1+vanilla5)^0.5)-SUM($L368:L368),(Input!$L$301*(1+vanilla5)^0.5)/A23stdlife))</f>
        <v>0</v>
      </c>
      <c r="N368" s="73">
        <f>IF(A23stdlife="n/a","n/a",IF(N$3&gt;(A23stdlife+$F368),(Input!$L$301*(1+vanilla5)^0.5)-SUM($L368:M368),(Input!$L$301*(1+vanilla5)^0.5)/A23stdlife))</f>
        <v>0</v>
      </c>
      <c r="O368" s="73">
        <f>IF(A23stdlife="n/a","n/a",IF(O$3&gt;(A23stdlife+$F368),(Input!$L$301*(1+vanilla5)^0.5)-SUM($L368:N368),(Input!$L$301*(1+vanilla5)^0.5)/A23stdlife))</f>
        <v>0</v>
      </c>
      <c r="P368" s="73">
        <f>IF(A23stdlife="n/a","n/a",IF(P$3&gt;(A23stdlife+$F368),(Input!$L$301*(1+vanilla5)^0.5)-SUM($L368:O368),(Input!$L$301*(1+vanilla5)^0.5)/A23stdlife))</f>
        <v>0</v>
      </c>
      <c r="Q368" s="73">
        <f>IF(A23stdlife="n/a","n/a",IF(Q$3&gt;(A23stdlife+$F368),(Input!$L$301*(1+vanilla5)^0.5)-SUM($L368:P368),(Input!$L$301*(1+vanilla5)^0.5)/A23stdlife))</f>
        <v>0</v>
      </c>
      <c r="R368" s="73"/>
      <c r="S368" s="107"/>
      <c r="T368" s="107"/>
      <c r="U368" s="107"/>
      <c r="V368" s="107"/>
      <c r="W368" s="107"/>
      <c r="X368" s="107"/>
      <c r="Y368" s="107"/>
      <c r="Z368" s="107"/>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6"/>
      <c r="E369" s="537"/>
      <c r="F369" s="91">
        <v>6</v>
      </c>
      <c r="G369" s="27"/>
      <c r="H369" s="150"/>
      <c r="I369" s="152"/>
      <c r="J369" s="152"/>
      <c r="K369" s="152"/>
      <c r="L369" s="152"/>
      <c r="M369" s="151"/>
      <c r="N369" s="73">
        <f>IF(A23stdlife="n/a","n/a",IF(N$3&gt;(A23stdlife+$F369),(Input!$M$301*(1+vanilla6)^0.5)-SUM($M369:M369),(Input!$M$301*(1+vanilla6)^0.5)/A23stdlife))</f>
        <v>0</v>
      </c>
      <c r="O369" s="73">
        <f>IF(A23stdlife="n/a","n/a",IF(O$3&gt;(A23stdlife+$F369),(Input!$M$301*(1+vanilla6)^0.5)-SUM($M369:N369),(Input!$M$301*(1+vanilla6)^0.5)/A23stdlife))</f>
        <v>0</v>
      </c>
      <c r="P369" s="73">
        <f>IF(A23stdlife="n/a","n/a",IF(P$3&gt;(A23stdlife+$F369),(Input!$M$301*(1+vanilla6)^0.5)-SUM($M369:O369),(Input!$M$301*(1+vanilla6)^0.5)/A23stdlife))</f>
        <v>0</v>
      </c>
      <c r="Q369" s="73">
        <f>IF(A23stdlife="n/a","n/a",IF(Q$3&gt;(A23stdlife+$F369),(Input!$M$301*(1+vanilla6)^0.5)-SUM($M369:P369),(Input!$M$301*(1+vanilla6)^0.5)/A23stdlife))</f>
        <v>0</v>
      </c>
      <c r="R369" s="73"/>
      <c r="S369" s="107"/>
      <c r="T369" s="107"/>
      <c r="U369" s="107"/>
      <c r="V369" s="107"/>
      <c r="W369" s="107"/>
      <c r="X369" s="107"/>
      <c r="Y369" s="107"/>
      <c r="Z369" s="107"/>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37"/>
      <c r="F370" s="91">
        <v>7</v>
      </c>
      <c r="G370" s="27"/>
      <c r="H370" s="150"/>
      <c r="I370" s="152"/>
      <c r="J370" s="152"/>
      <c r="K370" s="152"/>
      <c r="L370" s="152"/>
      <c r="M370" s="152"/>
      <c r="N370" s="151"/>
      <c r="O370" s="73">
        <f>IF(A23stdlife="n/a","n/a",IF(O$3&gt;(A23stdlife+$F370),(Input!N$301*(1+vanilla7)^0.5)-SUM($N370:N370),(Input!$N$301*(1+vanilla7)^0.5)/A23stdlife))</f>
        <v>0</v>
      </c>
      <c r="P370" s="73">
        <f>IF(A23stdlife="n/a","n/a",IF(P$3&gt;(A23stdlife+$F370),(Input!O$301*(1+vanilla7)^0.5)-SUM($N370:O370),(Input!$N$301*(1+vanilla7)^0.5)/A23stdlife))</f>
        <v>0</v>
      </c>
      <c r="Q370" s="73">
        <f>IF(A23stdlife="n/a","n/a",IF(Q$3&gt;(A23stdlife+$F370),(Input!P$301*(1+vanilla7)^0.5)-SUM($N370:P370),(Input!$N$301*(1+vanilla7)^0.5)/A23stdlife))</f>
        <v>0</v>
      </c>
      <c r="R370" s="73"/>
      <c r="S370" s="107"/>
      <c r="T370" s="107"/>
      <c r="U370" s="107"/>
      <c r="V370" s="107"/>
      <c r="W370" s="107"/>
      <c r="X370" s="107"/>
      <c r="Y370" s="107"/>
      <c r="Z370" s="107"/>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6"/>
      <c r="E371" s="537"/>
      <c r="F371" s="91">
        <v>8</v>
      </c>
      <c r="G371" s="27"/>
      <c r="H371" s="150"/>
      <c r="I371" s="152"/>
      <c r="J371" s="152"/>
      <c r="K371" s="152"/>
      <c r="L371" s="152"/>
      <c r="M371" s="152"/>
      <c r="N371" s="152"/>
      <c r="O371" s="151"/>
      <c r="P371" s="73">
        <f>IF(A23stdlife="n/a","n/a",IF(P$3&gt;(A23stdlife+$F371),(Input!$O$301*(1+vanilla8)^0.5)-SUM($O371:O371),(Input!$O$301*(1+vanilla8)^0.5)/A23stdlife))</f>
        <v>0</v>
      </c>
      <c r="Q371" s="73">
        <f>IF(A23stdlife="n/a","n/a",IF(Q$3&gt;(A23stdlife+$F371),(Input!$O$301*(1+vanilla8)^0.5)-SUM($O371:P371),(Input!$O$301*(1+vanilla8)^0.5)/A23stdlife))</f>
        <v>0</v>
      </c>
      <c r="R371" s="73"/>
      <c r="S371" s="107"/>
      <c r="T371" s="107"/>
      <c r="U371" s="107"/>
      <c r="V371" s="107"/>
      <c r="W371" s="107"/>
      <c r="X371" s="107"/>
      <c r="Y371" s="107"/>
      <c r="Z371" s="107"/>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6"/>
      <c r="E372" s="537"/>
      <c r="F372" s="91">
        <v>9</v>
      </c>
      <c r="G372" s="27"/>
      <c r="H372" s="150"/>
      <c r="I372" s="152"/>
      <c r="J372" s="152"/>
      <c r="K372" s="152"/>
      <c r="L372" s="152"/>
      <c r="M372" s="152"/>
      <c r="N372" s="152"/>
      <c r="O372" s="152"/>
      <c r="P372" s="151"/>
      <c r="Q372" s="73">
        <f>IF(A23stdlife="n/a","n/a",IF(Q$3&gt;(A23stdlife+$F372),(Input!$P$301*(1+vanilla9)^0.5)-SUM($P372:P372),(Input!$P$301*(1+vanilla9)^0.5)/A23stdlife))</f>
        <v>0</v>
      </c>
      <c r="R372" s="73"/>
      <c r="S372" s="107"/>
      <c r="T372" s="107"/>
      <c r="U372" s="107"/>
      <c r="V372" s="107"/>
      <c r="W372" s="107"/>
      <c r="X372" s="107"/>
      <c r="Y372" s="107"/>
      <c r="Z372" s="107"/>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6"/>
      <c r="E373" s="537"/>
      <c r="F373" s="92">
        <v>10</v>
      </c>
      <c r="G373" s="27"/>
      <c r="H373" s="150"/>
      <c r="I373" s="152"/>
      <c r="J373" s="152"/>
      <c r="K373" s="152"/>
      <c r="L373" s="152"/>
      <c r="M373" s="152"/>
      <c r="N373" s="152"/>
      <c r="O373" s="152"/>
      <c r="P373" s="152"/>
      <c r="Q373" s="151"/>
      <c r="R373" s="73"/>
      <c r="S373" s="107"/>
      <c r="T373" s="107"/>
      <c r="U373" s="107"/>
      <c r="V373" s="107"/>
      <c r="W373" s="107"/>
      <c r="X373" s="107"/>
      <c r="Y373" s="107"/>
      <c r="Z373" s="107"/>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c r="A374" s="9"/>
      <c r="B374" s="9"/>
      <c r="C374" s="9"/>
      <c r="D374" s="272">
        <f>Asset23</f>
        <v>0</v>
      </c>
      <c r="E374" s="9"/>
      <c r="F374" s="9"/>
      <c r="G374" s="125"/>
      <c r="H374" s="166">
        <f>-SUM(H362:H373)</f>
        <v>0</v>
      </c>
      <c r="I374" s="166">
        <f>-SUM(I362:I373)</f>
        <v>0</v>
      </c>
      <c r="J374" s="166">
        <f>-SUM(J362:J373)</f>
        <v>0</v>
      </c>
      <c r="K374" s="166">
        <f>-SUM(K362:K373)</f>
        <v>0</v>
      </c>
      <c r="L374" s="166">
        <f>-SUM(L362:L373)</f>
        <v>0</v>
      </c>
      <c r="M374" s="73">
        <f>IF(COUNT($H374:L374)&gt;=Input!$Y$7,0, -SUM(M362:M373))</f>
        <v>0</v>
      </c>
      <c r="N374" s="73">
        <f>IF(COUNT($H374:M374)&gt;=Input!$Y$7,0, -SUM(N362:N373))</f>
        <v>0</v>
      </c>
      <c r="O374" s="73">
        <f>IF(COUNT($H374:N374)&gt;=Input!$Y$7,0, -SUM(O362:O373))</f>
        <v>0</v>
      </c>
      <c r="P374" s="73">
        <f>IF(COUNT($H374:O374)&gt;=Input!$Y$7,0, -SUM(P362:P373))</f>
        <v>0</v>
      </c>
      <c r="Q374" s="73">
        <f>IF(COUNT($H374:P374)&gt;=Input!$Y$7,0, -SUM(Q362:Q373))</f>
        <v>0</v>
      </c>
      <c r="R374" s="71"/>
      <c r="S374" s="109"/>
      <c r="T374" s="109"/>
      <c r="U374" s="109"/>
      <c r="V374" s="109"/>
      <c r="W374" s="109"/>
      <c r="X374" s="109"/>
      <c r="Y374" s="109"/>
      <c r="Z374" s="109"/>
      <c r="AA374" s="236"/>
      <c r="AB374" s="236"/>
      <c r="AC374" s="236"/>
      <c r="AD374" s="236"/>
      <c r="AE374" s="236"/>
      <c r="AF374" s="236"/>
      <c r="AG374" s="236"/>
      <c r="AH374" s="236"/>
      <c r="AI374" s="236"/>
      <c r="AJ374" s="236"/>
      <c r="AK374" s="236"/>
      <c r="AL374" s="236"/>
      <c r="AM374" s="236"/>
      <c r="AN374" s="236"/>
      <c r="AO374" s="236"/>
      <c r="AP374" s="236"/>
      <c r="AQ374" s="236"/>
      <c r="AR374" s="236"/>
      <c r="AS374" s="236"/>
      <c r="AT374" s="236"/>
      <c r="AU374" s="236"/>
      <c r="AV374" s="236"/>
      <c r="AW374" s="236"/>
      <c r="AX374" s="236"/>
      <c r="AY374" s="236"/>
      <c r="AZ374" s="236"/>
      <c r="BA374" s="236"/>
      <c r="BB374" s="236"/>
      <c r="BC374" s="236"/>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73">
        <f>Asset24</f>
        <v>0</v>
      </c>
      <c r="D375" s="162"/>
      <c r="E375" s="32" t="s">
        <v>5</v>
      </c>
      <c r="F375" s="31"/>
      <c r="G375" s="181"/>
      <c r="H375" s="72">
        <f>IF(H$3&gt;A24remlife,A24value-$G$653-SUM($G375:G375),IF(A24remlife="N/A","n/a",(A24value-$G$653)/A24remlife))</f>
        <v>0</v>
      </c>
      <c r="I375" s="72">
        <f>IF(I$3&gt;A24remlife,A24value-$G$653-SUM($G375:H375),IF(A24remlife="N/A","n/a",(A24value-$G$653)/A24remlife))</f>
        <v>0</v>
      </c>
      <c r="J375" s="72">
        <f>IF(J$3&gt;A24remlife,A24value-$G$653-SUM($G375:I375),IF(A24remlife="N/A","n/a",(A24value-$G$653)/A24remlife))</f>
        <v>0</v>
      </c>
      <c r="K375" s="72">
        <f>IF(K$3&gt;A24remlife,A24value-$G$653-SUM($G375:J375),IF(A24remlife="N/A","n/a",(A24value-$G$653)/A24remlife))</f>
        <v>0</v>
      </c>
      <c r="L375" s="72">
        <f>IF(L$3&gt;A24remlife,A24value-$G$653-SUM($G375:K375),IF(A24remlife="N/A","n/a",(A24value-$G$653)/A24remlife))</f>
        <v>0</v>
      </c>
      <c r="M375" s="72">
        <f>IF(M$3&gt;A24remlife,A24value-$G$653-SUM($G375:L375),IF(A24remlife="N/A","n/a",(A24value-$G$653)/A24remlife))</f>
        <v>0</v>
      </c>
      <c r="N375" s="72">
        <f>IF(N$3&gt;A24remlife,A24value-$G$653-SUM($G375:M375),IF(A24remlife="N/A","n/a",(A24value-$G$653)/A24remlife))</f>
        <v>0</v>
      </c>
      <c r="O375" s="72">
        <f>IF(O$3&gt;A24remlife,A24value-$G$653-SUM($G375:N375),IF(A24remlife="N/A","n/a",(A24value-$G$653)/A24remlife))</f>
        <v>0</v>
      </c>
      <c r="P375" s="72">
        <f>IF(P$3&gt;A24remlife,A24value-$G$653-SUM($G375:O375),IF(A24remlife="N/A","n/a",(A24value-$G$653)/A24remlife))</f>
        <v>0</v>
      </c>
      <c r="Q375" s="72">
        <f>IF(Q$3&gt;A24remlife,A24value-$G$653-SUM($G375:P375),IF(A24remlife="N/A","n/a",(A24value-$G$653)/A24remlife))</f>
        <v>0</v>
      </c>
      <c r="R375" s="72"/>
      <c r="S375" s="107"/>
      <c r="T375" s="107"/>
      <c r="U375" s="107"/>
      <c r="V375" s="107"/>
      <c r="W375" s="107"/>
      <c r="X375" s="107"/>
      <c r="Y375" s="107"/>
      <c r="Z375" s="107"/>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6"/>
      <c r="E376" s="536" t="s">
        <v>59</v>
      </c>
      <c r="F376" s="91"/>
      <c r="G376" s="125"/>
      <c r="H376" s="73"/>
      <c r="I376" s="73"/>
      <c r="J376" s="73"/>
      <c r="K376" s="73"/>
      <c r="L376" s="73"/>
      <c r="M376" s="164"/>
      <c r="N376" s="116"/>
      <c r="O376" s="73"/>
      <c r="P376" s="73"/>
      <c r="Q376" s="73"/>
      <c r="R376" s="73"/>
      <c r="S376" s="107"/>
      <c r="T376" s="107"/>
      <c r="U376" s="107"/>
      <c r="V376" s="107"/>
      <c r="W376" s="107"/>
      <c r="X376" s="107"/>
      <c r="Y376" s="107"/>
      <c r="Z376" s="107"/>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37"/>
      <c r="F377" s="91">
        <v>1</v>
      </c>
      <c r="G377" s="125"/>
      <c r="H377" s="149"/>
      <c r="I377" s="73">
        <f>IF(A24stdlife="n/a","n/a",IF(I$3&gt;(A24stdlife+$F377),(Input!$H$302*(1+vanilla1)^0.5)-SUM($H377:H377),(Input!$H$302*(1+vanilla1)^0.5)/A24stdlife))</f>
        <v>0</v>
      </c>
      <c r="J377" s="73">
        <f>IF(A24stdlife="n/a","n/a",IF(J$3&gt;(A24stdlife+$F377),(Input!$H$302*(1+vanilla1)^0.5)-SUM($H377:I377),(Input!$H$302*(1+vanilla1)^0.5)/A24stdlife))</f>
        <v>0</v>
      </c>
      <c r="K377" s="73">
        <f>IF(A24stdlife="n/a","n/a",IF(K$3&gt;(A24stdlife+$F377),(Input!$H$302*(1+vanilla1)^0.5)-SUM($H377:J377),(Input!$H$302*(1+vanilla1)^0.5)/A24stdlife))</f>
        <v>0</v>
      </c>
      <c r="L377" s="73">
        <f>IF(A24stdlife="n/a","n/a",IF(L$3&gt;(A24stdlife+$F377),(Input!$H$302*(1+vanilla1)^0.5)-SUM($H377:K377),(Input!$H$302*(1+vanilla1)^0.5)/A24stdlife))</f>
        <v>0</v>
      </c>
      <c r="M377" s="73">
        <f>IF(A24stdlife="n/a","n/a",IF(M$3&gt;(A24stdlife+$F377),(Input!$H$302*(1+vanilla1)^0.5)-SUM($H377:L377),(Input!$H$302*(1+vanilla1)^0.5)/A24stdlife))</f>
        <v>0</v>
      </c>
      <c r="N377" s="73">
        <f>IF(A24stdlife="n/a","n/a",IF(N$3&gt;(A24stdlife+$F377),(Input!$H$302*(1+vanilla1)^0.5)-SUM($H377:M377),(Input!$H$302*(1+vanilla1)^0.5)/A24stdlife))</f>
        <v>0</v>
      </c>
      <c r="O377" s="73">
        <f>IF(A24stdlife="n/a","n/a",IF(O$3&gt;(A24stdlife+$F377),(Input!$H$302*(1+vanilla1)^0.5)-SUM($H377:N377),(Input!$H$302*(1+vanilla1)^0.5)/A24stdlife))</f>
        <v>0</v>
      </c>
      <c r="P377" s="73">
        <f>IF(A24stdlife="n/a","n/a",IF(P$3&gt;(A24stdlife+$F377),(Input!$H$302*(1+vanilla1)^0.5)-SUM($H377:O377),(Input!$H$302*(1+vanilla1)^0.5)/A24stdlife))</f>
        <v>0</v>
      </c>
      <c r="Q377" s="73">
        <f>IF(A24stdlife="n/a","n/a",IF(Q$3&gt;(A24stdlife+$F377),(Input!$H$302*(1+vanilla1)^0.5)-SUM($H377:P377),(Input!$H$302*(1+vanilla1)^0.5)/A24stdlife))</f>
        <v>0</v>
      </c>
      <c r="R377" s="73"/>
      <c r="S377" s="107"/>
      <c r="T377" s="107"/>
      <c r="U377" s="107"/>
      <c r="V377" s="107"/>
      <c r="W377" s="107"/>
      <c r="X377" s="107"/>
      <c r="Y377" s="107"/>
      <c r="Z377" s="107"/>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37"/>
      <c r="F378" s="91">
        <v>2</v>
      </c>
      <c r="G378" s="125"/>
      <c r="H378" s="150"/>
      <c r="I378" s="151"/>
      <c r="J378" s="73">
        <f>IF(A24stdlife="n/a","n/a",IF(J$3&gt;(A24stdlife+$F378),(Input!$I$302*(1+vanilla2)^0.5)-SUM($I378:I378),(Input!$I$302*(1+vanilla2)^0.5)/A24stdlife))</f>
        <v>0</v>
      </c>
      <c r="K378" s="73">
        <f>IF(A24stdlife="n/a","n/a",IF(K$3&gt;(A24stdlife+$F378),(Input!$I$302*(1+vanilla2)^0.5)-SUM($I378:J378),(Input!$I$302*(1+vanilla2)^0.5)/A24stdlife))</f>
        <v>0</v>
      </c>
      <c r="L378" s="73">
        <f>IF(A24stdlife="n/a","n/a",IF(L$3&gt;(A24stdlife+$F378),(Input!$I$302*(1+vanilla2)^0.5)-SUM($I378:K378),(Input!$I$302*(1+vanilla2)^0.5)/A24stdlife))</f>
        <v>0</v>
      </c>
      <c r="M378" s="73">
        <f>IF(A24stdlife="n/a","n/a",IF(M$3&gt;(A24stdlife+$F378),(Input!$I$302*(1+vanilla2)^0.5)-SUM($I378:L378),(Input!$I$302*(1+vanilla2)^0.5)/A24stdlife))</f>
        <v>0</v>
      </c>
      <c r="N378" s="73">
        <f>IF(A24stdlife="n/a","n/a",IF(N$3&gt;(A24stdlife+$F378),(Input!$I$302*(1+vanilla2)^0.5)-SUM($I378:M378),(Input!$I$302*(1+vanilla2)^0.5)/A24stdlife))</f>
        <v>0</v>
      </c>
      <c r="O378" s="73">
        <f>IF(A24stdlife="n/a","n/a",IF(O$3&gt;(A24stdlife+$F378),(Input!$I$302*(1+vanilla2)^0.5)-SUM($I378:N378),(Input!$I$302*(1+vanilla2)^0.5)/A24stdlife))</f>
        <v>0</v>
      </c>
      <c r="P378" s="73">
        <f>IF(A24stdlife="n/a","n/a",IF(P$3&gt;(A24stdlife+$F378),(Input!$I$302*(1+vanilla2)^0.5)-SUM($I378:O378),(Input!$I$302*(1+vanilla2)^0.5)/A24stdlife))</f>
        <v>0</v>
      </c>
      <c r="Q378" s="73">
        <f>IF(A24stdlife="n/a","n/a",IF(Q$3&gt;(A24stdlife+$F378),(Input!$I$302*(1+vanilla2)^0.5)-SUM($I378:P378),(Input!$I$302*(1+vanilla2)^0.5)/A24stdlife))</f>
        <v>0</v>
      </c>
      <c r="R378" s="73"/>
      <c r="S378" s="107"/>
      <c r="T378" s="107"/>
      <c r="U378" s="107"/>
      <c r="V378" s="107"/>
      <c r="W378" s="107"/>
      <c r="X378" s="107"/>
      <c r="Y378" s="107"/>
      <c r="Z378" s="107"/>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37"/>
      <c r="F379" s="91">
        <v>3</v>
      </c>
      <c r="G379" s="125"/>
      <c r="H379" s="150"/>
      <c r="I379" s="152"/>
      <c r="J379" s="151"/>
      <c r="K379" s="73">
        <f>IF(A24stdlife="n/a","n/a",IF(K$3&gt;(A24stdlife+$F379),(Input!$J$302*(1+vanilla3)^0.5)-SUM($J379:J379),(Input!$J$302*(1+vanilla3)^0.5)/A24stdlife))</f>
        <v>0</v>
      </c>
      <c r="L379" s="73">
        <f>IF(A24stdlife="n/a","n/a",IF(L$3&gt;(A24stdlife+$F379),(Input!$J$302*(1+vanilla3)^0.5)-SUM($J379:K379),(Input!$J$302*(1+vanilla3)^0.5)/A24stdlife))</f>
        <v>0</v>
      </c>
      <c r="M379" s="73">
        <f>IF(A24stdlife="n/a","n/a",IF(M$3&gt;(A24stdlife+$F379),(Input!$J$302*(1+vanilla3)^0.5)-SUM($J379:L379),(Input!$J$302*(1+vanilla3)^0.5)/A24stdlife))</f>
        <v>0</v>
      </c>
      <c r="N379" s="73">
        <f>IF(A24stdlife="n/a","n/a",IF(N$3&gt;(A24stdlife+$F379),(Input!$J$302*(1+vanilla3)^0.5)-SUM($J379:M379),(Input!$J$302*(1+vanilla3)^0.5)/A24stdlife))</f>
        <v>0</v>
      </c>
      <c r="O379" s="73">
        <f>IF(A24stdlife="n/a","n/a",IF(O$3&gt;(A24stdlife+$F379),(Input!$J$302*(1+vanilla3)^0.5)-SUM($J379:N379),(Input!$J$302*(1+vanilla3)^0.5)/A24stdlife))</f>
        <v>0</v>
      </c>
      <c r="P379" s="73">
        <f>IF(A24stdlife="n/a","n/a",IF(P$3&gt;(A24stdlife+$F379),(Input!$J$302*(1+vanilla3)^0.5)-SUM($J379:O379),(Input!$J$302*(1+vanilla3)^0.5)/A24stdlife))</f>
        <v>0</v>
      </c>
      <c r="Q379" s="73">
        <f>IF(A24stdlife="n/a","n/a",IF(Q$3&gt;(A24stdlife+$F379),(Input!$J$302*(1+vanilla3)^0.5)-SUM($J379:P379),(Input!$J$302*(1+vanilla3)^0.5)/A24stdlife))</f>
        <v>0</v>
      </c>
      <c r="R379" s="73"/>
      <c r="S379" s="107"/>
      <c r="T379" s="107"/>
      <c r="U379" s="107"/>
      <c r="V379" s="107"/>
      <c r="W379" s="107"/>
      <c r="X379" s="107"/>
      <c r="Y379" s="107"/>
      <c r="Z379" s="107"/>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37"/>
      <c r="F380" s="91">
        <v>4</v>
      </c>
      <c r="G380" s="125"/>
      <c r="H380" s="150"/>
      <c r="I380" s="152"/>
      <c r="J380" s="152"/>
      <c r="K380" s="151"/>
      <c r="L380" s="73">
        <f>IF(A24stdlife="n/a","n/a",IF(L$3&gt;(A24stdlife+$F380),(Input!$K$302*(1+vanilla4)^0.5)-SUM($K380:K380),(Input!$K$302*(1+vanilla4)^0.5)/A24stdlife))</f>
        <v>0</v>
      </c>
      <c r="M380" s="73">
        <f>IF(A24stdlife="n/a","n/a",IF(M$3&gt;(A24stdlife+$F380),(Input!$K$302*(1+vanilla4)^0.5)-SUM($K380:L380),(Input!$K$302*(1+vanilla4)^0.5)/A24stdlife))</f>
        <v>0</v>
      </c>
      <c r="N380" s="73">
        <f>IF(A24stdlife="n/a","n/a",IF(N$3&gt;(A24stdlife+$F380),(Input!$K$302*(1+vanilla4)^0.5)-SUM($K380:M380),(Input!$K$302*(1+vanilla4)^0.5)/A24stdlife))</f>
        <v>0</v>
      </c>
      <c r="O380" s="73">
        <f>IF(A24stdlife="n/a","n/a",IF(O$3&gt;(A24stdlife+$F380),(Input!$K$302*(1+vanilla4)^0.5)-SUM($K380:N380),(Input!$K$302*(1+vanilla4)^0.5)/A24stdlife))</f>
        <v>0</v>
      </c>
      <c r="P380" s="73">
        <f>IF(A24stdlife="n/a","n/a",IF(P$3&gt;(A24stdlife+$F380),(Input!$K$302*(1+vanilla4)^0.5)-SUM($K380:O380),(Input!$K$302*(1+vanilla4)^0.5)/A24stdlife))</f>
        <v>0</v>
      </c>
      <c r="Q380" s="73">
        <f>IF(A24stdlife="n/a","n/a",IF(Q$3&gt;(A24stdlife+$F380),(Input!$K$302*(1+vanilla4)^0.5)-SUM($K380:P380),(Input!$K$302*(1+vanilla4)^0.5)/A24stdlife))</f>
        <v>0</v>
      </c>
      <c r="R380" s="73"/>
      <c r="S380" s="107"/>
      <c r="T380" s="107"/>
      <c r="U380" s="107"/>
      <c r="V380" s="107"/>
      <c r="W380" s="107"/>
      <c r="X380" s="107"/>
      <c r="Y380" s="107"/>
      <c r="Z380" s="107"/>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6"/>
      <c r="E381" s="537"/>
      <c r="F381" s="91">
        <v>5</v>
      </c>
      <c r="G381" s="27"/>
      <c r="H381" s="150"/>
      <c r="I381" s="152"/>
      <c r="J381" s="152"/>
      <c r="K381" s="152"/>
      <c r="L381" s="151"/>
      <c r="M381" s="73">
        <f>IF(A24stdlife="n/a","n/a",IF(M$3&gt;(A24stdlife+$F381),(Input!$L$302*(1+vanilla5)^0.5)-SUM($L381:L381),(Input!$L$302*(1+vanilla5)^0.5)/A24stdlife))</f>
        <v>0</v>
      </c>
      <c r="N381" s="73">
        <f>IF(A24stdlife="n/a","n/a",IF(N$3&gt;(A24stdlife+$F381),(Input!$L$302*(1+vanilla5)^0.5)-SUM($L381:M381),(Input!$L$302*(1+vanilla5)^0.5)/A24stdlife))</f>
        <v>0</v>
      </c>
      <c r="O381" s="73">
        <f>IF(A24stdlife="n/a","n/a",IF(O$3&gt;(A24stdlife+$F381),(Input!$L$302*(1+vanilla5)^0.5)-SUM($L381:N381),(Input!$L$302*(1+vanilla5)^0.5)/A24stdlife))</f>
        <v>0</v>
      </c>
      <c r="P381" s="73">
        <f>IF(A24stdlife="n/a","n/a",IF(P$3&gt;(A24stdlife+$F381),(Input!$L$302*(1+vanilla5)^0.5)-SUM($L381:O381),(Input!$L$302*(1+vanilla5)^0.5)/A24stdlife))</f>
        <v>0</v>
      </c>
      <c r="Q381" s="73">
        <f>IF(A24stdlife="n/a","n/a",IF(Q$3&gt;(A24stdlife+$F381),(Input!$L$302*(1+vanilla5)^0.5)-SUM($L381:P381),(Input!$L$302*(1+vanilla5)^0.5)/A24stdlife))</f>
        <v>0</v>
      </c>
      <c r="R381" s="73"/>
      <c r="S381" s="107"/>
      <c r="T381" s="107"/>
      <c r="U381" s="107"/>
      <c r="V381" s="107"/>
      <c r="W381" s="107"/>
      <c r="X381" s="107"/>
      <c r="Y381" s="107"/>
      <c r="Z381" s="107"/>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6"/>
      <c r="E382" s="537"/>
      <c r="F382" s="91">
        <v>6</v>
      </c>
      <c r="G382" s="27"/>
      <c r="H382" s="150"/>
      <c r="I382" s="152"/>
      <c r="J382" s="152"/>
      <c r="K382" s="152"/>
      <c r="L382" s="152"/>
      <c r="M382" s="151"/>
      <c r="N382" s="73">
        <f>IF(A24stdlife="n/a","n/a",IF(N$3&gt;(A24stdlife+$F382),(Input!$M$302*(1+vanilla6)^0.5)-SUM($M382:M382),(Input!$M$302*(1+vanilla6)^0.5)/A24stdlife))</f>
        <v>0</v>
      </c>
      <c r="O382" s="73">
        <f>IF(A24stdlife="n/a","n/a",IF(O$3&gt;(A24stdlife+$F382),(Input!$M$302*(1+vanilla6)^0.5)-SUM($M382:N382),(Input!$M$302*(1+vanilla6)^0.5)/A24stdlife))</f>
        <v>0</v>
      </c>
      <c r="P382" s="73">
        <f>IF(A24stdlife="n/a","n/a",IF(P$3&gt;(A24stdlife+$F382),(Input!$M$302*(1+vanilla6)^0.5)-SUM($M382:O382),(Input!$M$302*(1+vanilla6)^0.5)/A24stdlife))</f>
        <v>0</v>
      </c>
      <c r="Q382" s="73">
        <f>IF(A24stdlife="n/a","n/a",IF(Q$3&gt;(A24stdlife+$F382),(Input!$M$302*(1+vanilla6)^0.5)-SUM($M382:P382),(Input!$M$302*(1+vanilla6)^0.5)/A24stdlife))</f>
        <v>0</v>
      </c>
      <c r="R382" s="73"/>
      <c r="S382" s="107"/>
      <c r="T382" s="107"/>
      <c r="U382" s="107"/>
      <c r="V382" s="107"/>
      <c r="W382" s="107"/>
      <c r="X382" s="107"/>
      <c r="Y382" s="107"/>
      <c r="Z382" s="107"/>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6"/>
      <c r="E383" s="537"/>
      <c r="F383" s="91">
        <v>7</v>
      </c>
      <c r="G383" s="27"/>
      <c r="H383" s="150"/>
      <c r="I383" s="152"/>
      <c r="J383" s="152"/>
      <c r="K383" s="152"/>
      <c r="L383" s="152"/>
      <c r="M383" s="152"/>
      <c r="N383" s="151"/>
      <c r="O383" s="73">
        <f>IF(A24stdlife="n/a","n/a",IF(O$3&gt;(A24stdlife+$F383),(Input!N$302*(1+vanilla7)^0.5)-SUM($N383:N383),(Input!$N$302*(1+vanilla7)^0.5)/A24stdlife))</f>
        <v>0</v>
      </c>
      <c r="P383" s="73">
        <f>IF(A24stdlife="n/a","n/a",IF(P$3&gt;(A24stdlife+$F383),(Input!O$302*(1+vanilla7)^0.5)-SUM($N383:O383),(Input!$N$302*(1+vanilla7)^0.5)/A24stdlife))</f>
        <v>0</v>
      </c>
      <c r="Q383" s="73">
        <f>IF(A24stdlife="n/a","n/a",IF(Q$3&gt;(A24stdlife+$F383),(Input!P$302*(1+vanilla7)^0.5)-SUM($N383:P383),(Input!$N$302*(1+vanilla7)^0.5)/A24stdlife))</f>
        <v>0</v>
      </c>
      <c r="R383" s="73"/>
      <c r="S383" s="107"/>
      <c r="T383" s="107"/>
      <c r="U383" s="107"/>
      <c r="V383" s="107"/>
      <c r="W383" s="107"/>
      <c r="X383" s="107"/>
      <c r="Y383" s="107"/>
      <c r="Z383" s="107"/>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37"/>
      <c r="F384" s="91">
        <v>8</v>
      </c>
      <c r="G384" s="27"/>
      <c r="H384" s="150"/>
      <c r="I384" s="152"/>
      <c r="J384" s="152"/>
      <c r="K384" s="152"/>
      <c r="L384" s="152"/>
      <c r="M384" s="152"/>
      <c r="N384" s="152"/>
      <c r="O384" s="151"/>
      <c r="P384" s="73">
        <f>IF(A24stdlife="n/a","n/a",IF(P$3&gt;(A24stdlife+$F384),(Input!$O$302*(1+vanilla8)^0.5)-SUM($O384:O384),(Input!$O$302*(1+vanilla8)^0.5)/A24stdlife))</f>
        <v>0</v>
      </c>
      <c r="Q384" s="73">
        <f>IF(A24stdlife="n/a","n/a",IF(Q$3&gt;(A24stdlife+$F384),(Input!$O$302*(1+vanilla8)^0.5)-SUM($O384:P384),(Input!$O$302*(1+vanilla8)^0.5)/A24stdlife))</f>
        <v>0</v>
      </c>
      <c r="R384" s="73"/>
      <c r="S384" s="107"/>
      <c r="T384" s="107"/>
      <c r="U384" s="107"/>
      <c r="V384" s="107"/>
      <c r="W384" s="107"/>
      <c r="X384" s="107"/>
      <c r="Y384" s="107"/>
      <c r="Z384" s="107"/>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37"/>
      <c r="F385" s="91">
        <v>9</v>
      </c>
      <c r="G385" s="27"/>
      <c r="H385" s="150"/>
      <c r="I385" s="152"/>
      <c r="J385" s="152"/>
      <c r="K385" s="152"/>
      <c r="L385" s="152"/>
      <c r="M385" s="152"/>
      <c r="N385" s="152"/>
      <c r="O385" s="152"/>
      <c r="P385" s="151"/>
      <c r="Q385" s="73">
        <f>IF(A24stdlife="n/a","n/a",IF(Q$3&gt;(A24stdlife+$F385),(Input!$P$302*(1+vanilla9)^0.5)-SUM($P385:P385),(Input!$P$302*(1+vanilla9)^0.5)/A24stdlife))</f>
        <v>0</v>
      </c>
      <c r="R385" s="73"/>
      <c r="S385" s="107"/>
      <c r="T385" s="107"/>
      <c r="U385" s="107"/>
      <c r="V385" s="107"/>
      <c r="W385" s="107"/>
      <c r="X385" s="107"/>
      <c r="Y385" s="107"/>
      <c r="Z385" s="107"/>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37"/>
      <c r="F386" s="92">
        <v>10</v>
      </c>
      <c r="G386" s="27"/>
      <c r="H386" s="150"/>
      <c r="I386" s="152"/>
      <c r="J386" s="152"/>
      <c r="K386" s="152"/>
      <c r="L386" s="152"/>
      <c r="M386" s="152"/>
      <c r="N386" s="152"/>
      <c r="O386" s="152"/>
      <c r="P386" s="152"/>
      <c r="Q386" s="151"/>
      <c r="R386" s="73"/>
      <c r="S386" s="107"/>
      <c r="T386" s="107"/>
      <c r="U386" s="107"/>
      <c r="V386" s="107"/>
      <c r="W386" s="107"/>
      <c r="X386" s="107"/>
      <c r="Y386" s="107"/>
      <c r="Z386" s="107"/>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c r="A387" s="9"/>
      <c r="B387" s="9"/>
      <c r="C387" s="9"/>
      <c r="D387" s="272">
        <f>Asset24</f>
        <v>0</v>
      </c>
      <c r="E387" s="9"/>
      <c r="F387" s="9"/>
      <c r="G387" s="125"/>
      <c r="H387" s="166">
        <f>-SUM(H375:H386)</f>
        <v>0</v>
      </c>
      <c r="I387" s="166">
        <f>-SUM(I375:I386)</f>
        <v>0</v>
      </c>
      <c r="J387" s="166">
        <f>-SUM(J375:J386)</f>
        <v>0</v>
      </c>
      <c r="K387" s="166">
        <f>-SUM(K375:K386)</f>
        <v>0</v>
      </c>
      <c r="L387" s="166">
        <f>-SUM(L375:L386)</f>
        <v>0</v>
      </c>
      <c r="M387" s="73">
        <f>IF(COUNT($H387:L387)&gt;=Input!$Y$7,0, -SUM(M375:M386))</f>
        <v>0</v>
      </c>
      <c r="N387" s="73">
        <f>IF(COUNT($H387:M387)&gt;=Input!$Y$7,0, -SUM(N375:N386))</f>
        <v>0</v>
      </c>
      <c r="O387" s="73">
        <f>IF(COUNT($H387:N387)&gt;=Input!$Y$7,0, -SUM(O375:O386))</f>
        <v>0</v>
      </c>
      <c r="P387" s="73">
        <f>IF(COUNT($H387:O387)&gt;=Input!$Y$7,0, -SUM(P375:P386))</f>
        <v>0</v>
      </c>
      <c r="Q387" s="73">
        <f>IF(COUNT($H387:P387)&gt;=Input!$Y$7,0, -SUM(Q375:Q386))</f>
        <v>0</v>
      </c>
      <c r="R387" s="71"/>
      <c r="S387" s="109"/>
      <c r="T387" s="109"/>
      <c r="U387" s="109"/>
      <c r="V387" s="109"/>
      <c r="W387" s="109"/>
      <c r="X387" s="109"/>
      <c r="Y387" s="109"/>
      <c r="Z387" s="109"/>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73">
        <f>Asset25</f>
        <v>0</v>
      </c>
      <c r="D388" s="162"/>
      <c r="E388" s="32" t="s">
        <v>5</v>
      </c>
      <c r="F388" s="31"/>
      <c r="G388" s="181"/>
      <c r="H388" s="72">
        <f>IF(H$3&gt;A25remlife,A25value-$G$654-SUM($G388:G388),IF(A25remlife="N/A","n/a",(A25value-$G$654)/A25remlife))</f>
        <v>0</v>
      </c>
      <c r="I388" s="72">
        <f>IF(I$3&gt;A25remlife,A25value-$G$654-SUM($G388:H388),IF(A25remlife="N/A","n/a",(A25value-$G$654)/A25remlife))</f>
        <v>0</v>
      </c>
      <c r="J388" s="72">
        <f>IF(J$3&gt;A25remlife,A25value-$G$654-SUM($G388:I388),IF(A25remlife="N/A","n/a",(A25value-$G$654)/A25remlife))</f>
        <v>0</v>
      </c>
      <c r="K388" s="72">
        <f>IF(K$3&gt;A25remlife,A25value-$G$654-SUM($G388:J388),IF(A25remlife="N/A","n/a",(A25value-$G$654)/A25remlife))</f>
        <v>0</v>
      </c>
      <c r="L388" s="72">
        <f>IF(L$3&gt;A25remlife,A25value-$G$654-SUM($G388:K388),IF(A25remlife="N/A","n/a",(A25value-$G$654)/A25remlife))</f>
        <v>0</v>
      </c>
      <c r="M388" s="72">
        <f>IF(M$3&gt;A25remlife,A25value-$G$654-SUM($G388:L388),IF(A25remlife="N/A","n/a",(A25value-$G$654)/A25remlife))</f>
        <v>0</v>
      </c>
      <c r="N388" s="72">
        <f>IF(N$3&gt;A25remlife,A25value-$G$654-SUM($G388:M388),IF(A25remlife="N/A","n/a",(A25value-$G$654)/A25remlife))</f>
        <v>0</v>
      </c>
      <c r="O388" s="72">
        <f>IF(O$3&gt;A25remlife,A25value-$G$654-SUM($G388:N388),IF(A25remlife="N/A","n/a",(A25value-$G$654)/A25remlife))</f>
        <v>0</v>
      </c>
      <c r="P388" s="72">
        <f>IF(P$3&gt;A25remlife,A25value-$G$654-SUM($G388:O388),IF(A25remlife="N/A","n/a",(A25value-$G$654)/A25remlife))</f>
        <v>0</v>
      </c>
      <c r="Q388" s="72">
        <f>IF(Q$3&gt;A25remlife,A25value-$G$654-SUM($G388:P388),IF(A25remlife="N/A","n/a",(A25value-$G$654)/A25remlife))</f>
        <v>0</v>
      </c>
      <c r="R388" s="72"/>
      <c r="S388" s="107"/>
      <c r="T388" s="107"/>
      <c r="U388" s="107"/>
      <c r="V388" s="107"/>
      <c r="W388" s="107"/>
      <c r="X388" s="107"/>
      <c r="Y388" s="107"/>
      <c r="Z388" s="107"/>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6"/>
      <c r="E389" s="536" t="s">
        <v>59</v>
      </c>
      <c r="F389" s="91"/>
      <c r="G389" s="125"/>
      <c r="H389" s="73"/>
      <c r="I389" s="73"/>
      <c r="J389" s="73"/>
      <c r="K389" s="73"/>
      <c r="L389" s="73"/>
      <c r="M389" s="164"/>
      <c r="N389" s="116"/>
      <c r="O389" s="73"/>
      <c r="P389" s="73"/>
      <c r="Q389" s="73"/>
      <c r="R389" s="73"/>
      <c r="S389" s="107"/>
      <c r="T389" s="107"/>
      <c r="U389" s="107"/>
      <c r="V389" s="107"/>
      <c r="W389" s="107"/>
      <c r="X389" s="107"/>
      <c r="Y389" s="107"/>
      <c r="Z389" s="107"/>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37"/>
      <c r="F390" s="91">
        <v>1</v>
      </c>
      <c r="G390" s="125"/>
      <c r="H390" s="149"/>
      <c r="I390" s="73">
        <f>IF(A25stdlife="n/a","n/a",IF(I$3&gt;(A25stdlife+$F390),(Input!$H$303*(1+vanilla1)^0.5)-SUM($H390:H390),(Input!$H$303*(1+vanilla1)^0.5)/A25stdlife))</f>
        <v>0</v>
      </c>
      <c r="J390" s="73">
        <f>IF(A25stdlife="n/a","n/a",IF(J$3&gt;(A25stdlife+$F390),(Input!$H$303*(1+vanilla1)^0.5)-SUM($H390:I390),(Input!$H$303*(1+vanilla1)^0.5)/A25stdlife))</f>
        <v>0</v>
      </c>
      <c r="K390" s="73">
        <f>IF(A25stdlife="n/a","n/a",IF(K$3&gt;(A25stdlife+$F390),(Input!$H$303*(1+vanilla1)^0.5)-SUM($H390:J390),(Input!$H$303*(1+vanilla1)^0.5)/A25stdlife))</f>
        <v>0</v>
      </c>
      <c r="L390" s="73">
        <f>IF(A25stdlife="n/a","n/a",IF(L$3&gt;(A25stdlife+$F390),(Input!$H$303*(1+vanilla1)^0.5)-SUM($H390:K390),(Input!$H$303*(1+vanilla1)^0.5)/A25stdlife))</f>
        <v>0</v>
      </c>
      <c r="M390" s="73">
        <f>IF(A25stdlife="n/a","n/a",IF(M$3&gt;(A25stdlife+$F390),(Input!$H$303*(1+vanilla1)^0.5)-SUM($H390:L390),(Input!$H$303*(1+vanilla1)^0.5)/A25stdlife))</f>
        <v>0</v>
      </c>
      <c r="N390" s="73">
        <f>IF(A25stdlife="n/a","n/a",IF(N$3&gt;(A25stdlife+$F390),(Input!$H$303*(1+vanilla1)^0.5)-SUM($H390:M390),(Input!$H$303*(1+vanilla1)^0.5)/A25stdlife))</f>
        <v>0</v>
      </c>
      <c r="O390" s="73">
        <f>IF(A25stdlife="n/a","n/a",IF(O$3&gt;(A25stdlife+$F390),(Input!$H$303*(1+vanilla1)^0.5)-SUM($H390:N390),(Input!$H$303*(1+vanilla1)^0.5)/A25stdlife))</f>
        <v>0</v>
      </c>
      <c r="P390" s="73">
        <f>IF(A25stdlife="n/a","n/a",IF(P$3&gt;(A25stdlife+$F390),(Input!$H$303*(1+vanilla1)^0.5)-SUM($H390:O390),(Input!$H$303*(1+vanilla1)^0.5)/A25stdlife))</f>
        <v>0</v>
      </c>
      <c r="Q390" s="73">
        <f>IF(A25stdlife="n/a","n/a",IF(Q$3&gt;(A25stdlife+$F390),(Input!$H$303*(1+vanilla1)^0.5)-SUM($H390:P390),(Input!$H$303*(1+vanilla1)^0.5)/A25stdlife))</f>
        <v>0</v>
      </c>
      <c r="R390" s="73"/>
      <c r="S390" s="107"/>
      <c r="T390" s="107"/>
      <c r="U390" s="107"/>
      <c r="V390" s="107"/>
      <c r="W390" s="107"/>
      <c r="X390" s="107"/>
      <c r="Y390" s="107"/>
      <c r="Z390" s="107"/>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37"/>
      <c r="F391" s="91">
        <v>2</v>
      </c>
      <c r="G391" s="125"/>
      <c r="H391" s="150"/>
      <c r="I391" s="151"/>
      <c r="J391" s="73">
        <f>IF(A25stdlife="n/a","n/a",IF(J$3&gt;(A25stdlife+$F391),(Input!$I$303*(1+vanilla2)^0.5)-SUM($I391:I391),(Input!$I$303*(1+vanilla2)^0.5)/A25stdlife))</f>
        <v>0</v>
      </c>
      <c r="K391" s="73">
        <f>IF(A25stdlife="n/a","n/a",IF(K$3&gt;(A25stdlife+$F391),(Input!$I$303*(1+vanilla2)^0.5)-SUM($I391:J391),(Input!$I$303*(1+vanilla2)^0.5)/A25stdlife))</f>
        <v>0</v>
      </c>
      <c r="L391" s="73">
        <f>IF(A25stdlife="n/a","n/a",IF(L$3&gt;(A25stdlife+$F391),(Input!$I$303*(1+vanilla2)^0.5)-SUM($I391:K391),(Input!$I$303*(1+vanilla2)^0.5)/A25stdlife))</f>
        <v>0</v>
      </c>
      <c r="M391" s="73">
        <f>IF(A25stdlife="n/a","n/a",IF(M$3&gt;(A25stdlife+$F391),(Input!$I$303*(1+vanilla2)^0.5)-SUM($I391:L391),(Input!$I$303*(1+vanilla2)^0.5)/A25stdlife))</f>
        <v>0</v>
      </c>
      <c r="N391" s="73">
        <f>IF(A25stdlife="n/a","n/a",IF(N$3&gt;(A25stdlife+$F391),(Input!$I$303*(1+vanilla2)^0.5)-SUM($I391:M391),(Input!$I$303*(1+vanilla2)^0.5)/A25stdlife))</f>
        <v>0</v>
      </c>
      <c r="O391" s="73">
        <f>IF(A25stdlife="n/a","n/a",IF(O$3&gt;(A25stdlife+$F391),(Input!$I$303*(1+vanilla2)^0.5)-SUM($I391:N391),(Input!$I$303*(1+vanilla2)^0.5)/A25stdlife))</f>
        <v>0</v>
      </c>
      <c r="P391" s="73">
        <f>IF(A25stdlife="n/a","n/a",IF(P$3&gt;(A25stdlife+$F391),(Input!$I$303*(1+vanilla2)^0.5)-SUM($I391:O391),(Input!$I$303*(1+vanilla2)^0.5)/A25stdlife))</f>
        <v>0</v>
      </c>
      <c r="Q391" s="73">
        <f>IF(A25stdlife="n/a","n/a",IF(Q$3&gt;(A25stdlife+$F391),(Input!$I$303*(1+vanilla2)^0.5)-SUM($I391:P391),(Input!$I$303*(1+vanilla2)^0.5)/A25stdlife))</f>
        <v>0</v>
      </c>
      <c r="R391" s="73"/>
      <c r="S391" s="107"/>
      <c r="T391" s="107"/>
      <c r="U391" s="107"/>
      <c r="V391" s="107"/>
      <c r="W391" s="107"/>
      <c r="X391" s="107"/>
      <c r="Y391" s="107"/>
      <c r="Z391" s="107"/>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37"/>
      <c r="F392" s="91">
        <v>3</v>
      </c>
      <c r="G392" s="125"/>
      <c r="H392" s="150"/>
      <c r="I392" s="152"/>
      <c r="J392" s="151"/>
      <c r="K392" s="73">
        <f>IF(A25stdlife="n/a","n/a",IF(K$3&gt;(A25stdlife+$F392),(Input!$J$303*(1+vanilla3)^0.5)-SUM($J392:J392),(Input!$J$303*(1+vanilla3)^0.5)/A25stdlife))</f>
        <v>0</v>
      </c>
      <c r="L392" s="73">
        <f>IF(A25stdlife="n/a","n/a",IF(L$3&gt;(A25stdlife+$F392),(Input!$J$303*(1+vanilla3)^0.5)-SUM($J392:K392),(Input!$J$303*(1+vanilla3)^0.5)/A25stdlife))</f>
        <v>0</v>
      </c>
      <c r="M392" s="73">
        <f>IF(A25stdlife="n/a","n/a",IF(M$3&gt;(A25stdlife+$F392),(Input!$J$303*(1+vanilla3)^0.5)-SUM($J392:L392),(Input!$J$303*(1+vanilla3)^0.5)/A25stdlife))</f>
        <v>0</v>
      </c>
      <c r="N392" s="73">
        <f>IF(A25stdlife="n/a","n/a",IF(N$3&gt;(A25stdlife+$F392),(Input!$J$303*(1+vanilla3)^0.5)-SUM($J392:M392),(Input!$J$303*(1+vanilla3)^0.5)/A25stdlife))</f>
        <v>0</v>
      </c>
      <c r="O392" s="73">
        <f>IF(A25stdlife="n/a","n/a",IF(O$3&gt;(A25stdlife+$F392),(Input!$J$303*(1+vanilla3)^0.5)-SUM($J392:N392),(Input!$J$303*(1+vanilla3)^0.5)/A25stdlife))</f>
        <v>0</v>
      </c>
      <c r="P392" s="73">
        <f>IF(A25stdlife="n/a","n/a",IF(P$3&gt;(A25stdlife+$F392),(Input!$J$303*(1+vanilla3)^0.5)-SUM($J392:O392),(Input!$J$303*(1+vanilla3)^0.5)/A25stdlife))</f>
        <v>0</v>
      </c>
      <c r="Q392" s="73">
        <f>IF(A25stdlife="n/a","n/a",IF(Q$3&gt;(A25stdlife+$F392),(Input!$J$303*(1+vanilla3)^0.5)-SUM($J392:P392),(Input!$J$303*(1+vanilla3)^0.5)/A25stdlife))</f>
        <v>0</v>
      </c>
      <c r="R392" s="73"/>
      <c r="S392" s="107"/>
      <c r="T392" s="107"/>
      <c r="U392" s="107"/>
      <c r="V392" s="107"/>
      <c r="W392" s="107"/>
      <c r="X392" s="107"/>
      <c r="Y392" s="107"/>
      <c r="Z392" s="107"/>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37"/>
      <c r="F393" s="91">
        <v>4</v>
      </c>
      <c r="G393" s="125"/>
      <c r="H393" s="150"/>
      <c r="I393" s="152"/>
      <c r="J393" s="152"/>
      <c r="K393" s="151"/>
      <c r="L393" s="73">
        <f>IF(A25stdlife="n/a","n/a",IF(L$3&gt;(A25stdlife+$F393),(Input!$K$303*(1+vanilla4)^0.5)-SUM($K393:K393),(Input!$K$303*(1+vanilla4)^0.5)/A25stdlife))</f>
        <v>0</v>
      </c>
      <c r="M393" s="73">
        <f>IF(A25stdlife="n/a","n/a",IF(M$3&gt;(A25stdlife+$F393),(Input!$K$303*(1+vanilla4)^0.5)-SUM($K393:L393),(Input!$K$303*(1+vanilla4)^0.5)/A25stdlife))</f>
        <v>0</v>
      </c>
      <c r="N393" s="73">
        <f>IF(A25stdlife="n/a","n/a",IF(N$3&gt;(A25stdlife+$F393),(Input!$K$303*(1+vanilla4)^0.5)-SUM($K393:M393),(Input!$K$303*(1+vanilla4)^0.5)/A25stdlife))</f>
        <v>0</v>
      </c>
      <c r="O393" s="73">
        <f>IF(A25stdlife="n/a","n/a",IF(O$3&gt;(A25stdlife+$F393),(Input!$K$303*(1+vanilla4)^0.5)-SUM($K393:N393),(Input!$K$303*(1+vanilla4)^0.5)/A25stdlife))</f>
        <v>0</v>
      </c>
      <c r="P393" s="73">
        <f>IF(A25stdlife="n/a","n/a",IF(P$3&gt;(A25stdlife+$F393),(Input!$K$303*(1+vanilla4)^0.5)-SUM($K393:O393),(Input!$K$303*(1+vanilla4)^0.5)/A25stdlife))</f>
        <v>0</v>
      </c>
      <c r="Q393" s="73">
        <f>IF(A25stdlife="n/a","n/a",IF(Q$3&gt;(A25stdlife+$F393),(Input!$K$303*(1+vanilla4)^0.5)-SUM($K393:P393),(Input!$K$303*(1+vanilla4)^0.5)/A25stdlife))</f>
        <v>0</v>
      </c>
      <c r="R393" s="73"/>
      <c r="S393" s="107"/>
      <c r="T393" s="107"/>
      <c r="U393" s="107"/>
      <c r="V393" s="107"/>
      <c r="W393" s="107"/>
      <c r="X393" s="107"/>
      <c r="Y393" s="107"/>
      <c r="Z393" s="107"/>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6"/>
      <c r="E394" s="537"/>
      <c r="F394" s="91">
        <v>5</v>
      </c>
      <c r="G394" s="27"/>
      <c r="H394" s="150"/>
      <c r="I394" s="152"/>
      <c r="J394" s="152"/>
      <c r="K394" s="152"/>
      <c r="L394" s="151"/>
      <c r="M394" s="73">
        <f>IF(A25stdlife="n/a","n/a",IF(M$3&gt;(A25stdlife+$F394),(Input!$L$303*(1+vanilla5)^0.5)-SUM($L394:L394),(Input!$L$303*(1+vanilla5)^0.5)/A25stdlife))</f>
        <v>0</v>
      </c>
      <c r="N394" s="73">
        <f>IF(A25stdlife="n/a","n/a",IF(N$3&gt;(A25stdlife+$F394),(Input!$L$303*(1+vanilla5)^0.5)-SUM($L394:M394),(Input!$L$303*(1+vanilla5)^0.5)/A25stdlife))</f>
        <v>0</v>
      </c>
      <c r="O394" s="73">
        <f>IF(A25stdlife="n/a","n/a",IF(O$3&gt;(A25stdlife+$F394),(Input!$L$303*(1+vanilla5)^0.5)-SUM($L394:N394),(Input!$L$303*(1+vanilla5)^0.5)/A25stdlife))</f>
        <v>0</v>
      </c>
      <c r="P394" s="73">
        <f>IF(A25stdlife="n/a","n/a",IF(P$3&gt;(A25stdlife+$F394),(Input!$L$303*(1+vanilla5)^0.5)-SUM($L394:O394),(Input!$L$303*(1+vanilla5)^0.5)/A25stdlife))</f>
        <v>0</v>
      </c>
      <c r="Q394" s="73">
        <f>IF(A25stdlife="n/a","n/a",IF(Q$3&gt;(A25stdlife+$F394),(Input!$L$303*(1+vanilla5)^0.5)-SUM($L394:P394),(Input!$L$303*(1+vanilla5)^0.5)/A25stdlife))</f>
        <v>0</v>
      </c>
      <c r="R394" s="73"/>
      <c r="S394" s="107"/>
      <c r="T394" s="107"/>
      <c r="U394" s="107"/>
      <c r="V394" s="107"/>
      <c r="W394" s="107"/>
      <c r="X394" s="107"/>
      <c r="Y394" s="107"/>
      <c r="Z394" s="107"/>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6"/>
      <c r="E395" s="537"/>
      <c r="F395" s="91">
        <v>6</v>
      </c>
      <c r="G395" s="27"/>
      <c r="H395" s="150"/>
      <c r="I395" s="152"/>
      <c r="J395" s="152"/>
      <c r="K395" s="152"/>
      <c r="L395" s="152"/>
      <c r="M395" s="151"/>
      <c r="N395" s="73">
        <f>IF(A25stdlife="n/a","n/a",IF(N$3&gt;(A25stdlife+$F395),(Input!$M$303*(1+vanilla6)^0.5)-SUM($M395:M395),(Input!$M$303*(1+vanilla6)^0.5)/A25stdlife))</f>
        <v>0</v>
      </c>
      <c r="O395" s="73">
        <f>IF(A25stdlife="n/a","n/a",IF(O$3&gt;(A25stdlife+$F395),(Input!$M$303*(1+vanilla6)^0.5)-SUM($M395:N395),(Input!$M$303*(1+vanilla6)^0.5)/A25stdlife))</f>
        <v>0</v>
      </c>
      <c r="P395" s="73">
        <f>IF(A25stdlife="n/a","n/a",IF(P$3&gt;(A25stdlife+$F395),(Input!$M$303*(1+vanilla6)^0.5)-SUM($M395:O395),(Input!$M$303*(1+vanilla6)^0.5)/A25stdlife))</f>
        <v>0</v>
      </c>
      <c r="Q395" s="73">
        <f>IF(A25stdlife="n/a","n/a",IF(Q$3&gt;(A25stdlife+$F395),(Input!$M$303*(1+vanilla6)^0.5)-SUM($M395:P395),(Input!$M$303*(1+vanilla6)^0.5)/A25stdlife))</f>
        <v>0</v>
      </c>
      <c r="R395" s="73"/>
      <c r="S395" s="107"/>
      <c r="T395" s="107"/>
      <c r="U395" s="107"/>
      <c r="V395" s="107"/>
      <c r="W395" s="107"/>
      <c r="X395" s="107"/>
      <c r="Y395" s="107"/>
      <c r="Z395" s="107"/>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6"/>
      <c r="E396" s="537"/>
      <c r="F396" s="91">
        <v>7</v>
      </c>
      <c r="G396" s="27"/>
      <c r="H396" s="150"/>
      <c r="I396" s="152"/>
      <c r="J396" s="152"/>
      <c r="K396" s="152"/>
      <c r="L396" s="152"/>
      <c r="M396" s="152"/>
      <c r="N396" s="151"/>
      <c r="O396" s="73">
        <f>IF(A25stdlife="n/a","n/a",IF(O$3&gt;(A25stdlife+$F396),(Input!N$303*(1+vanilla7)^0.5)-SUM($N396:N396),(Input!$N$303*(1+vanilla7)^0.5)/A25stdlife))</f>
        <v>0</v>
      </c>
      <c r="P396" s="73">
        <f>IF(A25stdlife="n/a","n/a",IF(P$3&gt;(A25stdlife+$F396),(Input!O$303*(1+vanilla7)^0.5)-SUM($N396:O396),(Input!$N$303*(1+vanilla7)^0.5)/A25stdlife))</f>
        <v>0</v>
      </c>
      <c r="Q396" s="73">
        <f>IF(A25stdlife="n/a","n/a",IF(Q$3&gt;(A25stdlife+$F396),(Input!P$303*(1+vanilla7)^0.5)-SUM($N396:P396),(Input!$N$303*(1+vanilla7)^0.5)/A25stdlife))</f>
        <v>0</v>
      </c>
      <c r="R396" s="73"/>
      <c r="S396" s="107"/>
      <c r="T396" s="107"/>
      <c r="U396" s="107"/>
      <c r="V396" s="107"/>
      <c r="W396" s="107"/>
      <c r="X396" s="107"/>
      <c r="Y396" s="107"/>
      <c r="Z396" s="107"/>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37"/>
      <c r="F397" s="91">
        <v>8</v>
      </c>
      <c r="G397" s="27"/>
      <c r="H397" s="150"/>
      <c r="I397" s="152"/>
      <c r="J397" s="152"/>
      <c r="K397" s="152"/>
      <c r="L397" s="152"/>
      <c r="M397" s="152"/>
      <c r="N397" s="152"/>
      <c r="O397" s="151"/>
      <c r="P397" s="73">
        <f>IF(A25stdlife="n/a","n/a",IF(P$3&gt;(A25stdlife+$F397),(Input!$O$303*(1+vanilla8)^0.5)-SUM($O397:O397),(Input!$O$303*(1+vanilla8)^0.5)/A25stdlife))</f>
        <v>0</v>
      </c>
      <c r="Q397" s="73">
        <f>IF(A25stdlife="n/a","n/a",IF(Q$3&gt;(A25stdlife+$F397),(Input!$O$303*(1+vanilla8)^0.5)-SUM($O397:P397),(Input!$O$303*(1+vanilla8)^0.5)/A25stdlife))</f>
        <v>0</v>
      </c>
      <c r="R397" s="73"/>
      <c r="S397" s="107"/>
      <c r="T397" s="107"/>
      <c r="U397" s="107"/>
      <c r="V397" s="107"/>
      <c r="W397" s="107"/>
      <c r="X397" s="107"/>
      <c r="Y397" s="107"/>
      <c r="Z397" s="107"/>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37"/>
      <c r="F398" s="91">
        <v>9</v>
      </c>
      <c r="G398" s="27"/>
      <c r="H398" s="150"/>
      <c r="I398" s="152"/>
      <c r="J398" s="152"/>
      <c r="K398" s="152"/>
      <c r="L398" s="152"/>
      <c r="M398" s="152"/>
      <c r="N398" s="152"/>
      <c r="O398" s="152"/>
      <c r="P398" s="151"/>
      <c r="Q398" s="73">
        <f>IF(A25stdlife="n/a","n/a",IF(Q$3&gt;(A25stdlife+$F398),(Input!$P$303*(1+vanilla9)^0.5)-SUM($P398:P398),(Input!$P$303*(1+vanilla9)^0.5)/A25stdlife))</f>
        <v>0</v>
      </c>
      <c r="R398" s="73"/>
      <c r="S398" s="107"/>
      <c r="T398" s="107"/>
      <c r="U398" s="107"/>
      <c r="V398" s="107"/>
      <c r="W398" s="107"/>
      <c r="X398" s="107"/>
      <c r="Y398" s="107"/>
      <c r="Z398" s="107"/>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37"/>
      <c r="F399" s="92">
        <v>10</v>
      </c>
      <c r="G399" s="27"/>
      <c r="H399" s="150"/>
      <c r="I399" s="152"/>
      <c r="J399" s="152"/>
      <c r="K399" s="152"/>
      <c r="L399" s="152"/>
      <c r="M399" s="152"/>
      <c r="N399" s="152"/>
      <c r="O399" s="152"/>
      <c r="P399" s="152"/>
      <c r="Q399" s="151"/>
      <c r="R399" s="73"/>
      <c r="S399" s="107"/>
      <c r="T399" s="107"/>
      <c r="U399" s="107"/>
      <c r="V399" s="107"/>
      <c r="W399" s="107"/>
      <c r="X399" s="107"/>
      <c r="Y399" s="107"/>
      <c r="Z399" s="107"/>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c r="A400" s="9"/>
      <c r="B400" s="9"/>
      <c r="C400" s="9"/>
      <c r="D400" s="272">
        <f>Asset25</f>
        <v>0</v>
      </c>
      <c r="E400" s="9"/>
      <c r="F400" s="9"/>
      <c r="G400" s="125"/>
      <c r="H400" s="166">
        <f>-SUM(H388:H399)</f>
        <v>0</v>
      </c>
      <c r="I400" s="166">
        <f>-SUM(I388:I399)</f>
        <v>0</v>
      </c>
      <c r="J400" s="166">
        <f>-SUM(J388:J399)</f>
        <v>0</v>
      </c>
      <c r="K400" s="166">
        <f>-SUM(K388:K399)</f>
        <v>0</v>
      </c>
      <c r="L400" s="166">
        <f>-SUM(L388:L399)</f>
        <v>0</v>
      </c>
      <c r="M400" s="73">
        <f>IF(COUNT($H400:L400)&gt;=Input!$Y$7,0, -SUM(M388:M399))</f>
        <v>0</v>
      </c>
      <c r="N400" s="73">
        <f>IF(COUNT($H400:M400)&gt;=Input!$Y$7,0, -SUM(N388:N399))</f>
        <v>0</v>
      </c>
      <c r="O400" s="73">
        <f>IF(COUNT($H400:N400)&gt;=Input!$Y$7,0, -SUM(O388:O399))</f>
        <v>0</v>
      </c>
      <c r="P400" s="73">
        <f>IF(COUNT($H400:O400)&gt;=Input!$Y$7,0, -SUM(P388:P399))</f>
        <v>0</v>
      </c>
      <c r="Q400" s="73">
        <f>IF(COUNT($H400:P400)&gt;=Input!$Y$7,0, -SUM(Q388:Q399))</f>
        <v>0</v>
      </c>
      <c r="R400" s="71"/>
      <c r="S400" s="109"/>
      <c r="T400" s="109"/>
      <c r="U400" s="109"/>
      <c r="V400" s="109"/>
      <c r="W400" s="109"/>
      <c r="X400" s="109"/>
      <c r="Y400" s="109"/>
      <c r="Z400" s="109"/>
      <c r="AA400" s="236"/>
      <c r="AB400" s="236"/>
      <c r="AC400" s="236"/>
      <c r="AD400" s="236"/>
      <c r="AE400" s="236"/>
      <c r="AF400" s="236"/>
      <c r="AG400" s="236"/>
      <c r="AH400" s="236"/>
      <c r="AI400" s="236"/>
      <c r="AJ400" s="236"/>
      <c r="AK400" s="236"/>
      <c r="AL400" s="236"/>
      <c r="AM400" s="236"/>
      <c r="AN400" s="236"/>
      <c r="AO400" s="236"/>
      <c r="AP400" s="236"/>
      <c r="AQ400" s="236"/>
      <c r="AR400" s="236"/>
      <c r="AS400" s="236"/>
      <c r="AT400" s="236"/>
      <c r="AU400" s="236"/>
      <c r="AV400" s="236"/>
      <c r="AW400" s="236"/>
      <c r="AX400" s="236"/>
      <c r="AY400" s="236"/>
      <c r="AZ400" s="236"/>
      <c r="BA400" s="236"/>
      <c r="BB400" s="236"/>
      <c r="BC400" s="236"/>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73">
        <f>Asset26</f>
        <v>0</v>
      </c>
      <c r="D401" s="162"/>
      <c r="E401" s="32" t="s">
        <v>5</v>
      </c>
      <c r="F401" s="31"/>
      <c r="G401" s="181"/>
      <c r="H401" s="72">
        <f>IF(H$3&gt;A26remlife,A26value-$G$655-SUM($G401:G401),IF(A26remlife="N/A","n/a",(A26value-$G$655)/A26remlife))</f>
        <v>0</v>
      </c>
      <c r="I401" s="72">
        <f>IF(I$3&gt;A26remlife,A26value-$G$655-SUM($G401:H401),IF(A26remlife="N/A","n/a",(A26value-$G$655)/A26remlife))</f>
        <v>0</v>
      </c>
      <c r="J401" s="72">
        <f>IF(J$3&gt;A26remlife,A26value-$G$655-SUM($G401:I401),IF(A26remlife="N/A","n/a",(A26value-$G$655)/A26remlife))</f>
        <v>0</v>
      </c>
      <c r="K401" s="72">
        <f>IF(K$3&gt;A26remlife,A26value-$G$655-SUM($G401:J401),IF(A26remlife="N/A","n/a",(A26value-$G$655)/A26remlife))</f>
        <v>0</v>
      </c>
      <c r="L401" s="72">
        <f>IF(L$3&gt;A26remlife,A26value-$G$655-SUM($G401:K401),IF(A26remlife="N/A","n/a",(A26value-$G$655)/A26remlife))</f>
        <v>0</v>
      </c>
      <c r="M401" s="72">
        <f>IF(M$3&gt;A26remlife,A26value-$G$655-SUM($G401:L401),IF(A26remlife="N/A","n/a",(A26value-$G$655)/A26remlife))</f>
        <v>0</v>
      </c>
      <c r="N401" s="72">
        <f>IF(N$3&gt;A26remlife,A26value-$G$655-SUM($G401:M401),IF(A26remlife="N/A","n/a",(A26value-$G$655)/A26remlife))</f>
        <v>0</v>
      </c>
      <c r="O401" s="72">
        <f>IF(O$3&gt;A26remlife,A26value-$G$655-SUM($G401:N401),IF(A26remlife="N/A","n/a",(A26value-$G$655)/A26remlife))</f>
        <v>0</v>
      </c>
      <c r="P401" s="72">
        <f>IF(P$3&gt;A26remlife,A26value-$G$655-SUM($G401:O401),IF(A26remlife="N/A","n/a",(A26value-$G$655)/A26remlife))</f>
        <v>0</v>
      </c>
      <c r="Q401" s="72">
        <f>IF(Q$3&gt;A26remlife,A26value-$G$655-SUM($G401:P401),IF(A26remlife="N/A","n/a",(A26value-$G$655)/A26remlife))</f>
        <v>0</v>
      </c>
      <c r="R401" s="72"/>
      <c r="S401" s="107"/>
      <c r="T401" s="107"/>
      <c r="U401" s="107"/>
      <c r="V401" s="107"/>
      <c r="W401" s="107"/>
      <c r="X401" s="107"/>
      <c r="Y401" s="107"/>
      <c r="Z401" s="107"/>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6"/>
      <c r="E402" s="536" t="s">
        <v>59</v>
      </c>
      <c r="F402" s="91"/>
      <c r="G402" s="125"/>
      <c r="H402" s="73"/>
      <c r="I402" s="73"/>
      <c r="J402" s="73"/>
      <c r="K402" s="73"/>
      <c r="L402" s="73"/>
      <c r="M402" s="164"/>
      <c r="N402" s="116"/>
      <c r="O402" s="73"/>
      <c r="P402" s="73"/>
      <c r="Q402" s="73"/>
      <c r="R402" s="73"/>
      <c r="S402" s="107"/>
      <c r="T402" s="107"/>
      <c r="U402" s="107"/>
      <c r="V402" s="107"/>
      <c r="W402" s="107"/>
      <c r="X402" s="107"/>
      <c r="Y402" s="107"/>
      <c r="Z402" s="107"/>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37"/>
      <c r="F403" s="91">
        <v>1</v>
      </c>
      <c r="G403" s="125"/>
      <c r="H403" s="149"/>
      <c r="I403" s="73">
        <f>IF(A26stdlife="n/a","n/a",IF(I$3&gt;(A26stdlife+$F403),(Input!$H$304*(1+vanilla1)^0.5)-SUM($H403:H403),(Input!$H$304*(1+vanilla1)^0.5)/A26stdlife))</f>
        <v>0</v>
      </c>
      <c r="J403" s="73">
        <f>IF(A26stdlife="n/a","n/a",IF(J$3&gt;(A26stdlife+$F403),(Input!$H$304*(1+vanilla1)^0.5)-SUM($H403:I403),(Input!$H$304*(1+vanilla1)^0.5)/A26stdlife))</f>
        <v>0</v>
      </c>
      <c r="K403" s="73">
        <f>IF(A26stdlife="n/a","n/a",IF(K$3&gt;(A26stdlife+$F403),(Input!$H$304*(1+vanilla1)^0.5)-SUM($H403:J403),(Input!$H$304*(1+vanilla1)^0.5)/A26stdlife))</f>
        <v>0</v>
      </c>
      <c r="L403" s="73">
        <f>IF(A26stdlife="n/a","n/a",IF(L$3&gt;(A26stdlife+$F403),(Input!$H$304*(1+vanilla1)^0.5)-SUM($H403:K403),(Input!$H$304*(1+vanilla1)^0.5)/A26stdlife))</f>
        <v>0</v>
      </c>
      <c r="M403" s="73">
        <f>IF(A26stdlife="n/a","n/a",IF(M$3&gt;(A26stdlife+$F403),(Input!$H$304*(1+vanilla1)^0.5)-SUM($H403:L403),(Input!$H$304*(1+vanilla1)^0.5)/A26stdlife))</f>
        <v>0</v>
      </c>
      <c r="N403" s="73">
        <f>IF(A26stdlife="n/a","n/a",IF(N$3&gt;(A26stdlife+$F403),(Input!$H$304*(1+vanilla1)^0.5)-SUM($H403:M403),(Input!$H$304*(1+vanilla1)^0.5)/A26stdlife))</f>
        <v>0</v>
      </c>
      <c r="O403" s="73">
        <f>IF(A26stdlife="n/a","n/a",IF(O$3&gt;(A26stdlife+$F403),(Input!$H$304*(1+vanilla1)^0.5)-SUM($H403:N403),(Input!$H$304*(1+vanilla1)^0.5)/A26stdlife))</f>
        <v>0</v>
      </c>
      <c r="P403" s="73">
        <f>IF(A26stdlife="n/a","n/a",IF(P$3&gt;(A26stdlife+$F403),(Input!$H$304*(1+vanilla1)^0.5)-SUM($H403:O403),(Input!$H$304*(1+vanilla1)^0.5)/A26stdlife))</f>
        <v>0</v>
      </c>
      <c r="Q403" s="73">
        <f>IF(A26stdlife="n/a","n/a",IF(Q$3&gt;(A26stdlife+$F403),(Input!$H$304*(1+vanilla1)^0.5)-SUM($H403:P403),(Input!$H$304*(1+vanilla1)^0.5)/A26stdlife))</f>
        <v>0</v>
      </c>
      <c r="R403" s="73"/>
      <c r="S403" s="107"/>
      <c r="T403" s="107"/>
      <c r="U403" s="107"/>
      <c r="V403" s="107"/>
      <c r="W403" s="107"/>
      <c r="X403" s="107"/>
      <c r="Y403" s="107"/>
      <c r="Z403" s="107"/>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37"/>
      <c r="F404" s="91">
        <v>2</v>
      </c>
      <c r="G404" s="125"/>
      <c r="H404" s="150"/>
      <c r="I404" s="151"/>
      <c r="J404" s="73">
        <f>IF(A26stdlife="n/a","n/a",IF(J$3&gt;(A26stdlife+$F404),(Input!$I$304*(1+vanilla2)^0.5)-SUM($I404:I404),(Input!$I$304*(1+vanilla2)^0.5)/A26stdlife))</f>
        <v>0</v>
      </c>
      <c r="K404" s="73">
        <f>IF(A26stdlife="n/a","n/a",IF(K$3&gt;(A26stdlife+$F404),(Input!$I$304*(1+vanilla2)^0.5)-SUM($I404:J404),(Input!$I$304*(1+vanilla2)^0.5)/A26stdlife))</f>
        <v>0</v>
      </c>
      <c r="L404" s="73">
        <f>IF(A26stdlife="n/a","n/a",IF(L$3&gt;(A26stdlife+$F404),(Input!$I$304*(1+vanilla2)^0.5)-SUM($I404:K404),(Input!$I$304*(1+vanilla2)^0.5)/A26stdlife))</f>
        <v>0</v>
      </c>
      <c r="M404" s="73">
        <f>IF(A26stdlife="n/a","n/a",IF(M$3&gt;(A26stdlife+$F404),(Input!$I$304*(1+vanilla2)^0.5)-SUM($I404:L404),(Input!$I$304*(1+vanilla2)^0.5)/A26stdlife))</f>
        <v>0</v>
      </c>
      <c r="N404" s="73">
        <f>IF(A26stdlife="n/a","n/a",IF(N$3&gt;(A26stdlife+$F404),(Input!$I$304*(1+vanilla2)^0.5)-SUM($I404:M404),(Input!$I$304*(1+vanilla2)^0.5)/A26stdlife))</f>
        <v>0</v>
      </c>
      <c r="O404" s="73">
        <f>IF(A26stdlife="n/a","n/a",IF(O$3&gt;(A26stdlife+$F404),(Input!$I$304*(1+vanilla2)^0.5)-SUM($I404:N404),(Input!$I$304*(1+vanilla2)^0.5)/A26stdlife))</f>
        <v>0</v>
      </c>
      <c r="P404" s="73">
        <f>IF(A26stdlife="n/a","n/a",IF(P$3&gt;(A26stdlife+$F404),(Input!$I$304*(1+vanilla2)^0.5)-SUM($I404:O404),(Input!$I$304*(1+vanilla2)^0.5)/A26stdlife))</f>
        <v>0</v>
      </c>
      <c r="Q404" s="73">
        <f>IF(A26stdlife="n/a","n/a",IF(Q$3&gt;(A26stdlife+$F404),(Input!$I$304*(1+vanilla2)^0.5)-SUM($I404:P404),(Input!$I$304*(1+vanilla2)^0.5)/A26stdlife))</f>
        <v>0</v>
      </c>
      <c r="R404" s="73"/>
      <c r="S404" s="107"/>
      <c r="T404" s="107"/>
      <c r="U404" s="107"/>
      <c r="V404" s="107"/>
      <c r="W404" s="107"/>
      <c r="X404" s="107"/>
      <c r="Y404" s="107"/>
      <c r="Z404" s="107"/>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37"/>
      <c r="F405" s="91">
        <v>3</v>
      </c>
      <c r="G405" s="125"/>
      <c r="H405" s="150"/>
      <c r="I405" s="152"/>
      <c r="J405" s="151"/>
      <c r="K405" s="73">
        <f>IF(A26stdlife="n/a","n/a",IF(K$3&gt;(A26stdlife+$F405),(Input!$J$304*(1+vanilla3)^0.5)-SUM($J405:J405),(Input!$J$304*(1+vanilla3)^0.5)/A26stdlife))</f>
        <v>0</v>
      </c>
      <c r="L405" s="73">
        <f>IF(A26stdlife="n/a","n/a",IF(L$3&gt;(A26stdlife+$F405),(Input!$J$304*(1+vanilla3)^0.5)-SUM($J405:K405),(Input!$J$304*(1+vanilla3)^0.5)/A26stdlife))</f>
        <v>0</v>
      </c>
      <c r="M405" s="73">
        <f>IF(A26stdlife="n/a","n/a",IF(M$3&gt;(A26stdlife+$F405),(Input!$J$304*(1+vanilla3)^0.5)-SUM($J405:L405),(Input!$J$304*(1+vanilla3)^0.5)/A26stdlife))</f>
        <v>0</v>
      </c>
      <c r="N405" s="73">
        <f>IF(A26stdlife="n/a","n/a",IF(N$3&gt;(A26stdlife+$F405),(Input!$J$304*(1+vanilla3)^0.5)-SUM($J405:M405),(Input!$J$304*(1+vanilla3)^0.5)/A26stdlife))</f>
        <v>0</v>
      </c>
      <c r="O405" s="73">
        <f>IF(A26stdlife="n/a","n/a",IF(O$3&gt;(A26stdlife+$F405),(Input!$J$304*(1+vanilla3)^0.5)-SUM($J405:N405),(Input!$J$304*(1+vanilla3)^0.5)/A26stdlife))</f>
        <v>0</v>
      </c>
      <c r="P405" s="73">
        <f>IF(A26stdlife="n/a","n/a",IF(P$3&gt;(A26stdlife+$F405),(Input!$J$304*(1+vanilla3)^0.5)-SUM($J405:O405),(Input!$J$304*(1+vanilla3)^0.5)/A26stdlife))</f>
        <v>0</v>
      </c>
      <c r="Q405" s="73">
        <f>IF(A26stdlife="n/a","n/a",IF(Q$3&gt;(A26stdlife+$F405),(Input!$J$304*(1+vanilla3)^0.5)-SUM($J405:P405),(Input!$J$304*(1+vanilla3)^0.5)/A26stdlife))</f>
        <v>0</v>
      </c>
      <c r="R405" s="73"/>
      <c r="S405" s="107"/>
      <c r="T405" s="107"/>
      <c r="U405" s="107"/>
      <c r="V405" s="107"/>
      <c r="W405" s="107"/>
      <c r="X405" s="107"/>
      <c r="Y405" s="107"/>
      <c r="Z405" s="107"/>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37"/>
      <c r="F406" s="91">
        <v>4</v>
      </c>
      <c r="G406" s="125"/>
      <c r="H406" s="150"/>
      <c r="I406" s="152"/>
      <c r="J406" s="152"/>
      <c r="K406" s="151"/>
      <c r="L406" s="73">
        <f>IF(A26stdlife="n/a","n/a",IF(L$3&gt;(A26stdlife+$F406),(Input!$K$304*(1+vanilla4)^0.5)-SUM($K406:K406),(Input!$K$304*(1+vanilla4)^0.5)/A26stdlife))</f>
        <v>0</v>
      </c>
      <c r="M406" s="73">
        <f>IF(A26stdlife="n/a","n/a",IF(M$3&gt;(A26stdlife+$F406),(Input!$K$304*(1+vanilla4)^0.5)-SUM($K406:L406),(Input!$K$304*(1+vanilla4)^0.5)/A26stdlife))</f>
        <v>0</v>
      </c>
      <c r="N406" s="73">
        <f>IF(A26stdlife="n/a","n/a",IF(N$3&gt;(A26stdlife+$F406),(Input!$K$304*(1+vanilla4)^0.5)-SUM($K406:M406),(Input!$K$304*(1+vanilla4)^0.5)/A26stdlife))</f>
        <v>0</v>
      </c>
      <c r="O406" s="73">
        <f>IF(A26stdlife="n/a","n/a",IF(O$3&gt;(A26stdlife+$F406),(Input!$K$304*(1+vanilla4)^0.5)-SUM($K406:N406),(Input!$K$304*(1+vanilla4)^0.5)/A26stdlife))</f>
        <v>0</v>
      </c>
      <c r="P406" s="73">
        <f>IF(A26stdlife="n/a","n/a",IF(P$3&gt;(A26stdlife+$F406),(Input!$K$304*(1+vanilla4)^0.5)-SUM($K406:O406),(Input!$K$304*(1+vanilla4)^0.5)/A26stdlife))</f>
        <v>0</v>
      </c>
      <c r="Q406" s="73">
        <f>IF(A26stdlife="n/a","n/a",IF(Q$3&gt;(A26stdlife+$F406),(Input!$K$304*(1+vanilla4)^0.5)-SUM($K406:P406),(Input!$K$304*(1+vanilla4)^0.5)/A26stdlife))</f>
        <v>0</v>
      </c>
      <c r="R406" s="73"/>
      <c r="S406" s="107"/>
      <c r="T406" s="107"/>
      <c r="U406" s="107"/>
      <c r="V406" s="107"/>
      <c r="W406" s="107"/>
      <c r="X406" s="107"/>
      <c r="Y406" s="107"/>
      <c r="Z406" s="107"/>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6"/>
      <c r="E407" s="537"/>
      <c r="F407" s="91">
        <v>5</v>
      </c>
      <c r="G407" s="27"/>
      <c r="H407" s="150"/>
      <c r="I407" s="152"/>
      <c r="J407" s="152"/>
      <c r="K407" s="152"/>
      <c r="L407" s="151"/>
      <c r="M407" s="73">
        <f>IF(A26stdlife="n/a","n/a",IF(M$3&gt;(A26stdlife+$F407),(Input!$L$304*(1+vanilla5)^0.5)-SUM($L407:L407),(Input!$L$304*(1+vanilla5)^0.5)/A26stdlife))</f>
        <v>0</v>
      </c>
      <c r="N407" s="73">
        <f>IF(A26stdlife="n/a","n/a",IF(N$3&gt;(A26stdlife+$F407),(Input!$L$304*(1+vanilla5)^0.5)-SUM($L407:M407),(Input!$L$304*(1+vanilla5)^0.5)/A26stdlife))</f>
        <v>0</v>
      </c>
      <c r="O407" s="73">
        <f>IF(A26stdlife="n/a","n/a",IF(O$3&gt;(A26stdlife+$F407),(Input!$L$304*(1+vanilla5)^0.5)-SUM($L407:N407),(Input!$L$304*(1+vanilla5)^0.5)/A26stdlife))</f>
        <v>0</v>
      </c>
      <c r="P407" s="73">
        <f>IF(A26stdlife="n/a","n/a",IF(P$3&gt;(A26stdlife+$F407),(Input!$L$304*(1+vanilla5)^0.5)-SUM($L407:O407),(Input!$L$304*(1+vanilla5)^0.5)/A26stdlife))</f>
        <v>0</v>
      </c>
      <c r="Q407" s="73">
        <f>IF(A26stdlife="n/a","n/a",IF(Q$3&gt;(A26stdlife+$F407),(Input!$L$304*(1+vanilla5)^0.5)-SUM($L407:P407),(Input!$L$304*(1+vanilla5)^0.5)/A26stdlife))</f>
        <v>0</v>
      </c>
      <c r="R407" s="73"/>
      <c r="S407" s="107"/>
      <c r="T407" s="107"/>
      <c r="U407" s="107"/>
      <c r="V407" s="107"/>
      <c r="W407" s="107"/>
      <c r="X407" s="107"/>
      <c r="Y407" s="107"/>
      <c r="Z407" s="107"/>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6"/>
      <c r="E408" s="537"/>
      <c r="F408" s="91">
        <v>6</v>
      </c>
      <c r="G408" s="27"/>
      <c r="H408" s="150"/>
      <c r="I408" s="152"/>
      <c r="J408" s="152"/>
      <c r="K408" s="152"/>
      <c r="L408" s="152"/>
      <c r="M408" s="151"/>
      <c r="N408" s="73">
        <f>IF(A26stdlife="n/a","n/a",IF(N$3&gt;(A26stdlife+$F408),(Input!$M$304*(1+vanilla6)^0.5)-SUM($M408:M408),(Input!$M$304*(1+vanilla6)^0.5)/A26stdlife))</f>
        <v>0</v>
      </c>
      <c r="O408" s="73">
        <f>IF(A26stdlife="n/a","n/a",IF(O$3&gt;(A26stdlife+$F408),(Input!$M$304*(1+vanilla6)^0.5)-SUM($M408:N408),(Input!$M$304*(1+vanilla6)^0.5)/A26stdlife))</f>
        <v>0</v>
      </c>
      <c r="P408" s="73">
        <f>IF(A26stdlife="n/a","n/a",IF(P$3&gt;(A26stdlife+$F408),(Input!$M$304*(1+vanilla6)^0.5)-SUM($M408:O408),(Input!$M$304*(1+vanilla6)^0.5)/A26stdlife))</f>
        <v>0</v>
      </c>
      <c r="Q408" s="73">
        <f>IF(A26stdlife="n/a","n/a",IF(Q$3&gt;(A26stdlife+$F408),(Input!$M$304*(1+vanilla6)^0.5)-SUM($M408:P408),(Input!$M$304*(1+vanilla6)^0.5)/A26stdlife))</f>
        <v>0</v>
      </c>
      <c r="R408" s="73"/>
      <c r="S408" s="107"/>
      <c r="T408" s="107"/>
      <c r="U408" s="107"/>
      <c r="V408" s="107"/>
      <c r="W408" s="107"/>
      <c r="X408" s="107"/>
      <c r="Y408" s="107"/>
      <c r="Z408" s="107"/>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6"/>
      <c r="E409" s="537"/>
      <c r="F409" s="91">
        <v>7</v>
      </c>
      <c r="G409" s="27"/>
      <c r="H409" s="150"/>
      <c r="I409" s="152"/>
      <c r="J409" s="152"/>
      <c r="K409" s="152"/>
      <c r="L409" s="152"/>
      <c r="M409" s="152"/>
      <c r="N409" s="151"/>
      <c r="O409" s="73">
        <f>IF(A26stdlife="n/a","n/a",IF(O$3&gt;(A26stdlife+$F409),(Input!N$304*(1+vanilla7)^0.5)-SUM($N409:N409),(Input!$N$304*(1+vanilla7)^0.5)/A26stdlife))</f>
        <v>0</v>
      </c>
      <c r="P409" s="73">
        <f>IF(A26stdlife="n/a","n/a",IF(P$3&gt;(A26stdlife+$F409),(Input!O$304*(1+vanilla7)^0.5)-SUM($N409:O409),(Input!$N$304*(1+vanilla7)^0.5)/A26stdlife))</f>
        <v>0</v>
      </c>
      <c r="Q409" s="73">
        <f>IF(A26stdlife="n/a","n/a",IF(Q$3&gt;(A26stdlife+$F409),(Input!P$304*(1+vanilla7)^0.5)-SUM($N409:P409),(Input!$N$304*(1+vanilla7)^0.5)/A26stdlife))</f>
        <v>0</v>
      </c>
      <c r="R409" s="73"/>
      <c r="S409" s="107"/>
      <c r="T409" s="107"/>
      <c r="U409" s="107"/>
      <c r="V409" s="107"/>
      <c r="W409" s="107"/>
      <c r="X409" s="107"/>
      <c r="Y409" s="107"/>
      <c r="Z409" s="107"/>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37"/>
      <c r="F410" s="91">
        <v>8</v>
      </c>
      <c r="G410" s="27"/>
      <c r="H410" s="150"/>
      <c r="I410" s="152"/>
      <c r="J410" s="152"/>
      <c r="K410" s="152"/>
      <c r="L410" s="152"/>
      <c r="M410" s="152"/>
      <c r="N410" s="152"/>
      <c r="O410" s="151"/>
      <c r="P410" s="73">
        <f>IF(A26stdlife="n/a","n/a",IF(P$3&gt;(A26stdlife+$F410),(Input!$O$304*(1+vanilla8)^0.5)-SUM($O410:O410),(Input!$O$304*(1+vanilla8)^0.5)/A26stdlife))</f>
        <v>0</v>
      </c>
      <c r="Q410" s="73">
        <f>IF(A26stdlife="n/a","n/a",IF(Q$3&gt;(A26stdlife+$F410),(Input!$O$304*(1+vanilla8)^0.5)-SUM($O410:P410),(Input!$O$304*(1+vanilla8)^0.5)/A26stdlife))</f>
        <v>0</v>
      </c>
      <c r="R410" s="73"/>
      <c r="S410" s="107"/>
      <c r="T410" s="107"/>
      <c r="U410" s="107"/>
      <c r="V410" s="107"/>
      <c r="W410" s="107"/>
      <c r="X410" s="107"/>
      <c r="Y410" s="107"/>
      <c r="Z410" s="107"/>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37"/>
      <c r="F411" s="91">
        <v>9</v>
      </c>
      <c r="G411" s="27"/>
      <c r="H411" s="150"/>
      <c r="I411" s="152"/>
      <c r="J411" s="152"/>
      <c r="K411" s="152"/>
      <c r="L411" s="152"/>
      <c r="M411" s="152"/>
      <c r="N411" s="152"/>
      <c r="O411" s="152"/>
      <c r="P411" s="151"/>
      <c r="Q411" s="73">
        <f>IF(A26stdlife="n/a","n/a",IF(Q$3&gt;(A26stdlife+$F411),(Input!$P$304*(1+vanilla9)^0.5)-SUM($P411:P411),(Input!$P$304*(1+vanilla9)^0.5)/A26stdlife))</f>
        <v>0</v>
      </c>
      <c r="R411" s="73"/>
      <c r="S411" s="107"/>
      <c r="T411" s="107"/>
      <c r="U411" s="107"/>
      <c r="V411" s="107"/>
      <c r="W411" s="107"/>
      <c r="X411" s="107"/>
      <c r="Y411" s="107"/>
      <c r="Z411" s="107"/>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37"/>
      <c r="F412" s="92">
        <v>10</v>
      </c>
      <c r="G412" s="27"/>
      <c r="H412" s="150"/>
      <c r="I412" s="152"/>
      <c r="J412" s="152"/>
      <c r="K412" s="152"/>
      <c r="L412" s="152"/>
      <c r="M412" s="152"/>
      <c r="N412" s="152"/>
      <c r="O412" s="152"/>
      <c r="P412" s="152"/>
      <c r="Q412" s="151"/>
      <c r="R412" s="73"/>
      <c r="S412" s="107"/>
      <c r="T412" s="107"/>
      <c r="U412" s="107"/>
      <c r="V412" s="107"/>
      <c r="W412" s="107"/>
      <c r="X412" s="107"/>
      <c r="Y412" s="107"/>
      <c r="Z412" s="107"/>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c r="A413" s="9"/>
      <c r="B413" s="9"/>
      <c r="C413" s="9"/>
      <c r="D413" s="272">
        <f>Asset26</f>
        <v>0</v>
      </c>
      <c r="E413" s="9"/>
      <c r="F413" s="9"/>
      <c r="G413" s="125"/>
      <c r="H413" s="166">
        <f>-SUM(H401:H412)</f>
        <v>0</v>
      </c>
      <c r="I413" s="166">
        <f>-SUM(I401:I412)</f>
        <v>0</v>
      </c>
      <c r="J413" s="166">
        <f>-SUM(J401:J412)</f>
        <v>0</v>
      </c>
      <c r="K413" s="166">
        <f>-SUM(K401:K412)</f>
        <v>0</v>
      </c>
      <c r="L413" s="166">
        <f>-SUM(L401:L412)</f>
        <v>0</v>
      </c>
      <c r="M413" s="73">
        <f>IF(COUNT($H413:L413)&gt;=Input!$Y$7,0, -SUM(M401:M412))</f>
        <v>0</v>
      </c>
      <c r="N413" s="73">
        <f>IF(COUNT($H413:M413)&gt;=Input!$Y$7,0, -SUM(N401:N412))</f>
        <v>0</v>
      </c>
      <c r="O413" s="73">
        <f>IF(COUNT($H413:N413)&gt;=Input!$Y$7,0, -SUM(O401:O412))</f>
        <v>0</v>
      </c>
      <c r="P413" s="73">
        <f>IF(COUNT($H413:O413)&gt;=Input!$Y$7,0, -SUM(P401:P412))</f>
        <v>0</v>
      </c>
      <c r="Q413" s="73">
        <f>IF(COUNT($H413:P413)&gt;=Input!$Y$7,0, -SUM(Q401:Q412))</f>
        <v>0</v>
      </c>
      <c r="R413" s="71"/>
      <c r="S413" s="109"/>
      <c r="T413" s="109"/>
      <c r="U413" s="109"/>
      <c r="V413" s="109"/>
      <c r="W413" s="109"/>
      <c r="X413" s="109"/>
      <c r="Y413" s="109"/>
      <c r="Z413" s="109"/>
      <c r="AA413" s="236"/>
      <c r="AB413" s="236"/>
      <c r="AC413" s="236"/>
      <c r="AD413" s="236"/>
      <c r="AE413" s="236"/>
      <c r="AF413" s="236"/>
      <c r="AG413" s="236"/>
      <c r="AH413" s="236"/>
      <c r="AI413" s="236"/>
      <c r="AJ413" s="236"/>
      <c r="AK413" s="236"/>
      <c r="AL413" s="236"/>
      <c r="AM413" s="236"/>
      <c r="AN413" s="236"/>
      <c r="AO413" s="236"/>
      <c r="AP413" s="236"/>
      <c r="AQ413" s="236"/>
      <c r="AR413" s="236"/>
      <c r="AS413" s="236"/>
      <c r="AT413" s="236"/>
      <c r="AU413" s="236"/>
      <c r="AV413" s="236"/>
      <c r="AW413" s="236"/>
      <c r="AX413" s="236"/>
      <c r="AY413" s="236"/>
      <c r="AZ413" s="236"/>
      <c r="BA413" s="236"/>
      <c r="BB413" s="236"/>
      <c r="BC413" s="236"/>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73">
        <f>Asset27</f>
        <v>0</v>
      </c>
      <c r="D414" s="162"/>
      <c r="E414" s="32" t="s">
        <v>5</v>
      </c>
      <c r="F414" s="31"/>
      <c r="G414" s="181"/>
      <c r="H414" s="72">
        <f>IF(H$3&gt;A27remlife,A27value-$G$656-SUM($G414:G414),IF(A27remlife="N/A","n/a",(A27value-$G$656)/A27remlife))</f>
        <v>0</v>
      </c>
      <c r="I414" s="72">
        <f>IF(I$3&gt;A27remlife,A27value-$G$656-SUM($G414:H414),IF(A27remlife="N/A","n/a",(A27value-$G$656)/A27remlife))</f>
        <v>0</v>
      </c>
      <c r="J414" s="72">
        <f>IF(J$3&gt;A27remlife,A27value-$G$656-SUM($G414:I414),IF(A27remlife="N/A","n/a",(A27value-$G$656)/A27remlife))</f>
        <v>0</v>
      </c>
      <c r="K414" s="72">
        <f>IF(K$3&gt;A27remlife,A27value-$G$656-SUM($G414:J414),IF(A27remlife="N/A","n/a",(A27value-$G$656)/A27remlife))</f>
        <v>0</v>
      </c>
      <c r="L414" s="72">
        <f>IF(L$3&gt;A27remlife,A27value-$G$656-SUM($G414:K414),IF(A27remlife="N/A","n/a",(A27value-$G$656)/A27remlife))</f>
        <v>0</v>
      </c>
      <c r="M414" s="72">
        <f>IF(M$3&gt;A27remlife,A27value-$G$656-SUM($G414:L414),IF(A27remlife="N/A","n/a",(A27value-$G$656)/A27remlife))</f>
        <v>0</v>
      </c>
      <c r="N414" s="72">
        <f>IF(N$3&gt;A27remlife,A27value-$G$656-SUM($G414:M414),IF(A27remlife="N/A","n/a",(A27value-$G$656)/A27remlife))</f>
        <v>0</v>
      </c>
      <c r="O414" s="72">
        <f>IF(O$3&gt;A27remlife,A27value-$G$656-SUM($G414:N414),IF(A27remlife="N/A","n/a",(A27value-$G$656)/A27remlife))</f>
        <v>0</v>
      </c>
      <c r="P414" s="72">
        <f>IF(P$3&gt;A27remlife,A27value-$G$656-SUM($G414:O414),IF(A27remlife="N/A","n/a",(A27value-$G$656)/A27remlife))</f>
        <v>0</v>
      </c>
      <c r="Q414" s="72">
        <f>IF(Q$3&gt;A27remlife,A27value-$G$656-SUM($G414:P414),IF(A27remlife="N/A","n/a",(A27value-$G$656)/A27remlife))</f>
        <v>0</v>
      </c>
      <c r="R414" s="72"/>
      <c r="S414" s="107"/>
      <c r="T414" s="107"/>
      <c r="U414" s="107"/>
      <c r="V414" s="107"/>
      <c r="W414" s="107"/>
      <c r="X414" s="107"/>
      <c r="Y414" s="107"/>
      <c r="Z414" s="107"/>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6"/>
      <c r="E415" s="536" t="s">
        <v>59</v>
      </c>
      <c r="F415" s="91"/>
      <c r="G415" s="125"/>
      <c r="H415" s="73"/>
      <c r="I415" s="73"/>
      <c r="J415" s="73"/>
      <c r="K415" s="73"/>
      <c r="L415" s="73"/>
      <c r="M415" s="164"/>
      <c r="N415" s="116"/>
      <c r="O415" s="73"/>
      <c r="P415" s="73"/>
      <c r="Q415" s="73"/>
      <c r="R415" s="73"/>
      <c r="S415" s="107"/>
      <c r="T415" s="107"/>
      <c r="U415" s="107"/>
      <c r="V415" s="107"/>
      <c r="W415" s="107"/>
      <c r="X415" s="107"/>
      <c r="Y415" s="107"/>
      <c r="Z415" s="107"/>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37"/>
      <c r="F416" s="91">
        <v>1</v>
      </c>
      <c r="G416" s="125"/>
      <c r="H416" s="149"/>
      <c r="I416" s="73">
        <f>IF(A27stdlife="n/a","n/a",IF(I$3&gt;(A27stdlife+$F416),(Input!$H$305*(1+vanilla1)^0.5)-SUM($H416:H416),(Input!$H$305*(1+vanilla1)^0.5)/A27stdlife))</f>
        <v>0</v>
      </c>
      <c r="J416" s="73">
        <f>IF(A27stdlife="n/a","n/a",IF(J$3&gt;(A27stdlife+$F416),(Input!$H$305*(1+vanilla1)^0.5)-SUM($H416:I416),(Input!$H$305*(1+vanilla1)^0.5)/A27stdlife))</f>
        <v>0</v>
      </c>
      <c r="K416" s="73">
        <f>IF(A27stdlife="n/a","n/a",IF(K$3&gt;(A27stdlife+$F416),(Input!$H$305*(1+vanilla1)^0.5)-SUM($H416:J416),(Input!$H$305*(1+vanilla1)^0.5)/A27stdlife))</f>
        <v>0</v>
      </c>
      <c r="L416" s="73">
        <f>IF(A27stdlife="n/a","n/a",IF(L$3&gt;(A27stdlife+$F416),(Input!$H$305*(1+vanilla1)^0.5)-SUM($H416:K416),(Input!$H$305*(1+vanilla1)^0.5)/A27stdlife))</f>
        <v>0</v>
      </c>
      <c r="M416" s="73">
        <f>IF(A27stdlife="n/a","n/a",IF(M$3&gt;(A27stdlife+$F416),(Input!$H$305*(1+vanilla1)^0.5)-SUM($H416:L416),(Input!$H$305*(1+vanilla1)^0.5)/A27stdlife))</f>
        <v>0</v>
      </c>
      <c r="N416" s="73">
        <f>IF(A27stdlife="n/a","n/a",IF(N$3&gt;(A27stdlife+$F416),(Input!$H$305*(1+vanilla1)^0.5)-SUM($H416:M416),(Input!$H$305*(1+vanilla1)^0.5)/A27stdlife))</f>
        <v>0</v>
      </c>
      <c r="O416" s="73">
        <f>IF(A27stdlife="n/a","n/a",IF(O$3&gt;(A27stdlife+$F416),(Input!$H$305*(1+vanilla1)^0.5)-SUM($H416:N416),(Input!$H$305*(1+vanilla1)^0.5)/A27stdlife))</f>
        <v>0</v>
      </c>
      <c r="P416" s="73">
        <f>IF(A27stdlife="n/a","n/a",IF(P$3&gt;(A27stdlife+$F416),(Input!$H$305*(1+vanilla1)^0.5)-SUM($H416:O416),(Input!$H$305*(1+vanilla1)^0.5)/A27stdlife))</f>
        <v>0</v>
      </c>
      <c r="Q416" s="73">
        <f>IF(A27stdlife="n/a","n/a",IF(Q$3&gt;(A27stdlife+$F416),(Input!$H$305*(1+vanilla1)^0.5)-SUM($H416:P416),(Input!$H$305*(1+vanilla1)^0.5)/A27stdlife))</f>
        <v>0</v>
      </c>
      <c r="R416" s="73"/>
      <c r="S416" s="107"/>
      <c r="T416" s="107"/>
      <c r="U416" s="107"/>
      <c r="V416" s="107"/>
      <c r="W416" s="107"/>
      <c r="X416" s="107"/>
      <c r="Y416" s="107"/>
      <c r="Z416" s="107"/>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37"/>
      <c r="F417" s="91">
        <v>2</v>
      </c>
      <c r="G417" s="125"/>
      <c r="H417" s="150"/>
      <c r="I417" s="151"/>
      <c r="J417" s="73">
        <f>IF(A27stdlife="n/a","n/a",IF(J$3&gt;(A27stdlife+$F417),(Input!$I$305*(1+vanilla2)^0.5)-SUM($I417:I417),(Input!$I$305*(1+vanilla2)^0.5)/A27stdlife))</f>
        <v>0</v>
      </c>
      <c r="K417" s="73">
        <f>IF(A27stdlife="n/a","n/a",IF(K$3&gt;(A27stdlife+$F417),(Input!$I$305*(1+vanilla2)^0.5)-SUM($I417:J417),(Input!$I$305*(1+vanilla2)^0.5)/A27stdlife))</f>
        <v>0</v>
      </c>
      <c r="L417" s="73">
        <f>IF(A27stdlife="n/a","n/a",IF(L$3&gt;(A27stdlife+$F417),(Input!$I$305*(1+vanilla2)^0.5)-SUM($I417:K417),(Input!$I$305*(1+vanilla2)^0.5)/A27stdlife))</f>
        <v>0</v>
      </c>
      <c r="M417" s="73">
        <f>IF(A27stdlife="n/a","n/a",IF(M$3&gt;(A27stdlife+$F417),(Input!$I$305*(1+vanilla2)^0.5)-SUM($I417:L417),(Input!$I$305*(1+vanilla2)^0.5)/A27stdlife))</f>
        <v>0</v>
      </c>
      <c r="N417" s="73">
        <f>IF(A27stdlife="n/a","n/a",IF(N$3&gt;(A27stdlife+$F417),(Input!$I$305*(1+vanilla2)^0.5)-SUM($I417:M417),(Input!$I$305*(1+vanilla2)^0.5)/A27stdlife))</f>
        <v>0</v>
      </c>
      <c r="O417" s="73">
        <f>IF(A27stdlife="n/a","n/a",IF(O$3&gt;(A27stdlife+$F417),(Input!$I$305*(1+vanilla2)^0.5)-SUM($I417:N417),(Input!$I$305*(1+vanilla2)^0.5)/A27stdlife))</f>
        <v>0</v>
      </c>
      <c r="P417" s="73">
        <f>IF(A27stdlife="n/a","n/a",IF(P$3&gt;(A27stdlife+$F417),(Input!$I$305*(1+vanilla2)^0.5)-SUM($I417:O417),(Input!$I$305*(1+vanilla2)^0.5)/A27stdlife))</f>
        <v>0</v>
      </c>
      <c r="Q417" s="73">
        <f>IF(A27stdlife="n/a","n/a",IF(Q$3&gt;(A27stdlife+$F417),(Input!$I$305*(1+vanilla2)^0.5)-SUM($I417:P417),(Input!$I$305*(1+vanilla2)^0.5)/A27stdlife))</f>
        <v>0</v>
      </c>
      <c r="R417" s="73"/>
      <c r="S417" s="107"/>
      <c r="T417" s="107"/>
      <c r="U417" s="107"/>
      <c r="V417" s="107"/>
      <c r="W417" s="107"/>
      <c r="X417" s="107"/>
      <c r="Y417" s="107"/>
      <c r="Z417" s="107"/>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37"/>
      <c r="F418" s="91">
        <v>3</v>
      </c>
      <c r="G418" s="125"/>
      <c r="H418" s="150"/>
      <c r="I418" s="152"/>
      <c r="J418" s="151"/>
      <c r="K418" s="73">
        <f>IF(A27stdlife="n/a","n/a",IF(K$3&gt;(A27stdlife+$F418),(Input!$J$305*(1+vanilla3)^0.5)-SUM($J418:J418),(Input!$J$305*(1+vanilla3)^0.5)/A27stdlife))</f>
        <v>0</v>
      </c>
      <c r="L418" s="73">
        <f>IF(A27stdlife="n/a","n/a",IF(L$3&gt;(A27stdlife+$F418),(Input!$J$305*(1+vanilla3)^0.5)-SUM($J418:K418),(Input!$J$305*(1+vanilla3)^0.5)/A27stdlife))</f>
        <v>0</v>
      </c>
      <c r="M418" s="73">
        <f>IF(A27stdlife="n/a","n/a",IF(M$3&gt;(A27stdlife+$F418),(Input!$J$305*(1+vanilla3)^0.5)-SUM($J418:L418),(Input!$J$305*(1+vanilla3)^0.5)/A27stdlife))</f>
        <v>0</v>
      </c>
      <c r="N418" s="73">
        <f>IF(A27stdlife="n/a","n/a",IF(N$3&gt;(A27stdlife+$F418),(Input!$J$305*(1+vanilla3)^0.5)-SUM($J418:M418),(Input!$J$305*(1+vanilla3)^0.5)/A27stdlife))</f>
        <v>0</v>
      </c>
      <c r="O418" s="73">
        <f>IF(A27stdlife="n/a","n/a",IF(O$3&gt;(A27stdlife+$F418),(Input!$J$305*(1+vanilla3)^0.5)-SUM($J418:N418),(Input!$J$305*(1+vanilla3)^0.5)/A27stdlife))</f>
        <v>0</v>
      </c>
      <c r="P418" s="73">
        <f>IF(A27stdlife="n/a","n/a",IF(P$3&gt;(A27stdlife+$F418),(Input!$J$305*(1+vanilla3)^0.5)-SUM($J418:O418),(Input!$J$305*(1+vanilla3)^0.5)/A27stdlife))</f>
        <v>0</v>
      </c>
      <c r="Q418" s="73">
        <f>IF(A27stdlife="n/a","n/a",IF(Q$3&gt;(A27stdlife+$F418),(Input!$J$305*(1+vanilla3)^0.5)-SUM($J418:P418),(Input!$J$305*(1+vanilla3)^0.5)/A27stdlife))</f>
        <v>0</v>
      </c>
      <c r="R418" s="73"/>
      <c r="S418" s="107"/>
      <c r="T418" s="107"/>
      <c r="U418" s="107"/>
      <c r="V418" s="107"/>
      <c r="W418" s="107"/>
      <c r="X418" s="107"/>
      <c r="Y418" s="107"/>
      <c r="Z418" s="107"/>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37"/>
      <c r="F419" s="91">
        <v>4</v>
      </c>
      <c r="G419" s="125"/>
      <c r="H419" s="150"/>
      <c r="I419" s="152"/>
      <c r="J419" s="152"/>
      <c r="K419" s="151"/>
      <c r="L419" s="73">
        <f>IF(A27stdlife="n/a","n/a",IF(L$3&gt;(A27stdlife+$F419),(Input!$K$305*(1+vanilla4)^0.5)-SUM($K419:K419),(Input!$K$305*(1+vanilla4)^0.5)/A27stdlife))</f>
        <v>0</v>
      </c>
      <c r="M419" s="73">
        <f>IF(A27stdlife="n/a","n/a",IF(M$3&gt;(A27stdlife+$F419),(Input!$K$305*(1+vanilla4)^0.5)-SUM($K419:L419),(Input!$K$305*(1+vanilla4)^0.5)/A27stdlife))</f>
        <v>0</v>
      </c>
      <c r="N419" s="73">
        <f>IF(A27stdlife="n/a","n/a",IF(N$3&gt;(A27stdlife+$F419),(Input!$K$305*(1+vanilla4)^0.5)-SUM($K419:M419),(Input!$K$305*(1+vanilla4)^0.5)/A27stdlife))</f>
        <v>0</v>
      </c>
      <c r="O419" s="73">
        <f>IF(A27stdlife="n/a","n/a",IF(O$3&gt;(A27stdlife+$F419),(Input!$K$305*(1+vanilla4)^0.5)-SUM($K419:N419),(Input!$K$305*(1+vanilla4)^0.5)/A27stdlife))</f>
        <v>0</v>
      </c>
      <c r="P419" s="73">
        <f>IF(A27stdlife="n/a","n/a",IF(P$3&gt;(A27stdlife+$F419),(Input!$K$305*(1+vanilla4)^0.5)-SUM($K419:O419),(Input!$K$305*(1+vanilla4)^0.5)/A27stdlife))</f>
        <v>0</v>
      </c>
      <c r="Q419" s="73">
        <f>IF(A27stdlife="n/a","n/a",IF(Q$3&gt;(A27stdlife+$F419),(Input!$K$305*(1+vanilla4)^0.5)-SUM($K419:P419),(Input!$K$305*(1+vanilla4)^0.5)/A27stdlife))</f>
        <v>0</v>
      </c>
      <c r="R419" s="73"/>
      <c r="S419" s="107"/>
      <c r="T419" s="107"/>
      <c r="U419" s="107"/>
      <c r="V419" s="107"/>
      <c r="W419" s="107"/>
      <c r="X419" s="107"/>
      <c r="Y419" s="107"/>
      <c r="Z419" s="107"/>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6"/>
      <c r="E420" s="537"/>
      <c r="F420" s="91">
        <v>5</v>
      </c>
      <c r="G420" s="27"/>
      <c r="H420" s="150"/>
      <c r="I420" s="152"/>
      <c r="J420" s="152"/>
      <c r="K420" s="152"/>
      <c r="L420" s="151"/>
      <c r="M420" s="73">
        <f>IF(A27stdlife="n/a","n/a",IF(M$3&gt;(A27stdlife+$F420),(Input!$L$305*(1+vanilla5)^0.5)-SUM($L420:L420),(Input!$L$305*(1+vanilla5)^0.5)/A27stdlife))</f>
        <v>0</v>
      </c>
      <c r="N420" s="73">
        <f>IF(A27stdlife="n/a","n/a",IF(N$3&gt;(A27stdlife+$F420),(Input!$L$305*(1+vanilla5)^0.5)-SUM($L420:M420),(Input!$L$305*(1+vanilla5)^0.5)/A27stdlife))</f>
        <v>0</v>
      </c>
      <c r="O420" s="73">
        <f>IF(A27stdlife="n/a","n/a",IF(O$3&gt;(A27stdlife+$F420),(Input!$L$305*(1+vanilla5)^0.5)-SUM($L420:N420),(Input!$L$305*(1+vanilla5)^0.5)/A27stdlife))</f>
        <v>0</v>
      </c>
      <c r="P420" s="73">
        <f>IF(A27stdlife="n/a","n/a",IF(P$3&gt;(A27stdlife+$F420),(Input!$L$305*(1+vanilla5)^0.5)-SUM($L420:O420),(Input!$L$305*(1+vanilla5)^0.5)/A27stdlife))</f>
        <v>0</v>
      </c>
      <c r="Q420" s="73">
        <f>IF(A27stdlife="n/a","n/a",IF(Q$3&gt;(A27stdlife+$F420),(Input!$L$305*(1+vanilla5)^0.5)-SUM($L420:P420),(Input!$L$305*(1+vanilla5)^0.5)/A27stdlife))</f>
        <v>0</v>
      </c>
      <c r="R420" s="73"/>
      <c r="S420" s="107"/>
      <c r="T420" s="107"/>
      <c r="U420" s="107"/>
      <c r="V420" s="107"/>
      <c r="W420" s="107"/>
      <c r="X420" s="107"/>
      <c r="Y420" s="107"/>
      <c r="Z420" s="107"/>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6"/>
      <c r="E421" s="537"/>
      <c r="F421" s="91">
        <v>6</v>
      </c>
      <c r="G421" s="27"/>
      <c r="H421" s="150"/>
      <c r="I421" s="152"/>
      <c r="J421" s="152"/>
      <c r="K421" s="152"/>
      <c r="L421" s="152"/>
      <c r="M421" s="151"/>
      <c r="N421" s="73">
        <f>IF(A27stdlife="n/a","n/a",IF(N$3&gt;(A27stdlife+$F421),(Input!$M$305*(1+vanilla6)^0.5)-SUM($M421:M421),(Input!$M$305*(1+vanilla6)^0.5)/A27stdlife))</f>
        <v>0</v>
      </c>
      <c r="O421" s="73">
        <f>IF(A27stdlife="n/a","n/a",IF(O$3&gt;(A27stdlife+$F421),(Input!$M$305*(1+vanilla6)^0.5)-SUM($M421:N421),(Input!$M$305*(1+vanilla6)^0.5)/A27stdlife))</f>
        <v>0</v>
      </c>
      <c r="P421" s="73">
        <f>IF(A27stdlife="n/a","n/a",IF(P$3&gt;(A27stdlife+$F421),(Input!$M$305*(1+vanilla6)^0.5)-SUM($M421:O421),(Input!$M$305*(1+vanilla6)^0.5)/A27stdlife))</f>
        <v>0</v>
      </c>
      <c r="Q421" s="73">
        <f>IF(A27stdlife="n/a","n/a",IF(Q$3&gt;(A27stdlife+$F421),(Input!$M$305*(1+vanilla6)^0.5)-SUM($M421:P421),(Input!$M$305*(1+vanilla6)^0.5)/A27stdlife))</f>
        <v>0</v>
      </c>
      <c r="R421" s="73"/>
      <c r="S421" s="107"/>
      <c r="T421" s="107"/>
      <c r="U421" s="107"/>
      <c r="V421" s="107"/>
      <c r="W421" s="107"/>
      <c r="X421" s="107"/>
      <c r="Y421" s="107"/>
      <c r="Z421" s="107"/>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6"/>
      <c r="E422" s="537"/>
      <c r="F422" s="91">
        <v>7</v>
      </c>
      <c r="G422" s="27"/>
      <c r="H422" s="150"/>
      <c r="I422" s="152"/>
      <c r="J422" s="152"/>
      <c r="K422" s="152"/>
      <c r="L422" s="152"/>
      <c r="M422" s="152"/>
      <c r="N422" s="151"/>
      <c r="O422" s="73">
        <f>IF(A27stdlife="n/a","n/a",IF(O$3&gt;(A27stdlife+$F422),(Input!N$305*(1+vanilla7)^0.5)-SUM($N422:N422),(Input!$N$305*(1+vanilla7)^0.5)/A27stdlife))</f>
        <v>0</v>
      </c>
      <c r="P422" s="73">
        <f>IF(A27stdlife="n/a","n/a",IF(P$3&gt;(A27stdlife+$F422),(Input!O$305*(1+vanilla7)^0.5)-SUM($N422:O422),(Input!$N$305*(1+vanilla7)^0.5)/A27stdlife))</f>
        <v>0</v>
      </c>
      <c r="Q422" s="73">
        <f>IF(A27stdlife="n/a","n/a",IF(Q$3&gt;(A27stdlife+$F422),(Input!P$305*(1+vanilla7)^0.5)-SUM($N422:P422),(Input!$N$305*(1+vanilla7)^0.5)/A27stdlife))</f>
        <v>0</v>
      </c>
      <c r="R422" s="73"/>
      <c r="S422" s="107"/>
      <c r="T422" s="107"/>
      <c r="U422" s="107"/>
      <c r="V422" s="107"/>
      <c r="W422" s="107"/>
      <c r="X422" s="107"/>
      <c r="Y422" s="107"/>
      <c r="Z422" s="107"/>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37"/>
      <c r="F423" s="91">
        <v>8</v>
      </c>
      <c r="G423" s="27"/>
      <c r="H423" s="150"/>
      <c r="I423" s="152"/>
      <c r="J423" s="152"/>
      <c r="K423" s="152"/>
      <c r="L423" s="152"/>
      <c r="M423" s="152"/>
      <c r="N423" s="152"/>
      <c r="O423" s="151"/>
      <c r="P423" s="73">
        <f>IF(A27stdlife="n/a","n/a",IF(P$3&gt;(A27stdlife+$F423),(Input!$O$305*(1+vanilla8)^0.5)-SUM($O423:O423),(Input!$O$305*(1+vanilla8)^0.5)/A27stdlife))</f>
        <v>0</v>
      </c>
      <c r="Q423" s="73">
        <f>IF(A27stdlife="n/a","n/a",IF(Q$3&gt;(A27stdlife+$F423),(Input!$O$305*(1+vanilla8)^0.5)-SUM($O423:P423),(Input!$O$305*(1+vanilla8)^0.5)/A27stdlife))</f>
        <v>0</v>
      </c>
      <c r="R423" s="73"/>
      <c r="S423" s="107"/>
      <c r="T423" s="107"/>
      <c r="U423" s="107"/>
      <c r="V423" s="107"/>
      <c r="W423" s="107"/>
      <c r="X423" s="107"/>
      <c r="Y423" s="107"/>
      <c r="Z423" s="107"/>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37"/>
      <c r="F424" s="91">
        <v>9</v>
      </c>
      <c r="G424" s="27"/>
      <c r="H424" s="150"/>
      <c r="I424" s="152"/>
      <c r="J424" s="152"/>
      <c r="K424" s="152"/>
      <c r="L424" s="152"/>
      <c r="M424" s="152"/>
      <c r="N424" s="152"/>
      <c r="O424" s="152"/>
      <c r="P424" s="151"/>
      <c r="Q424" s="73">
        <f>IF(A27stdlife="n/a","n/a",IF(Q$3&gt;(A27stdlife+$F424),(Input!$P$305*(1+vanilla9)^0.5)-SUM($P424:P424),(Input!$P$305*(1+vanilla9)^0.5)/A27stdlife))</f>
        <v>0</v>
      </c>
      <c r="R424" s="73"/>
      <c r="S424" s="107"/>
      <c r="T424" s="107"/>
      <c r="U424" s="107"/>
      <c r="V424" s="107"/>
      <c r="W424" s="107"/>
      <c r="X424" s="107"/>
      <c r="Y424" s="107"/>
      <c r="Z424" s="107"/>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37"/>
      <c r="F425" s="92">
        <v>10</v>
      </c>
      <c r="G425" s="27"/>
      <c r="H425" s="150"/>
      <c r="I425" s="152"/>
      <c r="J425" s="152"/>
      <c r="K425" s="152"/>
      <c r="L425" s="152"/>
      <c r="M425" s="152"/>
      <c r="N425" s="152"/>
      <c r="O425" s="152"/>
      <c r="P425" s="152"/>
      <c r="Q425" s="151"/>
      <c r="R425" s="73"/>
      <c r="S425" s="107"/>
      <c r="T425" s="107"/>
      <c r="U425" s="107"/>
      <c r="V425" s="107"/>
      <c r="W425" s="107"/>
      <c r="X425" s="107"/>
      <c r="Y425" s="107"/>
      <c r="Z425" s="107"/>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c r="A426" s="9"/>
      <c r="B426" s="9"/>
      <c r="C426" s="9"/>
      <c r="D426" s="272">
        <f>Asset27</f>
        <v>0</v>
      </c>
      <c r="E426" s="9"/>
      <c r="F426" s="9"/>
      <c r="G426" s="125"/>
      <c r="H426" s="166">
        <f>-SUM(H414:H425)</f>
        <v>0</v>
      </c>
      <c r="I426" s="166">
        <f>-SUM(I414:I425)</f>
        <v>0</v>
      </c>
      <c r="J426" s="166">
        <f>-SUM(J414:J425)</f>
        <v>0</v>
      </c>
      <c r="K426" s="166">
        <f>-SUM(K414:K425)</f>
        <v>0</v>
      </c>
      <c r="L426" s="166">
        <f>-SUM(L414:L425)</f>
        <v>0</v>
      </c>
      <c r="M426" s="73">
        <f>IF(COUNT($H426:L426)&gt;=Input!$Y$7,0, -SUM(M414:M425))</f>
        <v>0</v>
      </c>
      <c r="N426" s="73">
        <f>IF(COUNT($H426:M426)&gt;=Input!$Y$7,0, -SUM(N414:N425))</f>
        <v>0</v>
      </c>
      <c r="O426" s="73">
        <f>IF(COUNT($H426:N426)&gt;=Input!$Y$7,0, -SUM(O414:O425))</f>
        <v>0</v>
      </c>
      <c r="P426" s="73">
        <f>IF(COUNT($H426:O426)&gt;=Input!$Y$7,0, -SUM(P414:P425))</f>
        <v>0</v>
      </c>
      <c r="Q426" s="73">
        <f>IF(COUNT($H426:P426)&gt;=Input!$Y$7,0, -SUM(Q414:Q425))</f>
        <v>0</v>
      </c>
      <c r="R426" s="71"/>
      <c r="S426" s="109"/>
      <c r="T426" s="109"/>
      <c r="U426" s="109"/>
      <c r="V426" s="109"/>
      <c r="W426" s="109"/>
      <c r="X426" s="109"/>
      <c r="Y426" s="109"/>
      <c r="Z426" s="109"/>
      <c r="AA426" s="236"/>
      <c r="AB426" s="236"/>
      <c r="AC426" s="236"/>
      <c r="AD426" s="236"/>
      <c r="AE426" s="236"/>
      <c r="AF426" s="236"/>
      <c r="AG426" s="236"/>
      <c r="AH426" s="236"/>
      <c r="AI426" s="236"/>
      <c r="AJ426" s="236"/>
      <c r="AK426" s="236"/>
      <c r="AL426" s="236"/>
      <c r="AM426" s="236"/>
      <c r="AN426" s="236"/>
      <c r="AO426" s="236"/>
      <c r="AP426" s="236"/>
      <c r="AQ426" s="236"/>
      <c r="AR426" s="236"/>
      <c r="AS426" s="236"/>
      <c r="AT426" s="236"/>
      <c r="AU426" s="236"/>
      <c r="AV426" s="236"/>
      <c r="AW426" s="236"/>
      <c r="AX426" s="236"/>
      <c r="AY426" s="236"/>
      <c r="AZ426" s="236"/>
      <c r="BA426" s="236"/>
      <c r="BB426" s="236"/>
      <c r="BC426" s="236"/>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73">
        <f>Asset28</f>
        <v>0</v>
      </c>
      <c r="D427" s="162"/>
      <c r="E427" s="32" t="s">
        <v>5</v>
      </c>
      <c r="F427" s="31"/>
      <c r="G427" s="181"/>
      <c r="H427" s="72">
        <f>IF(H$3&gt;A28remlife,A28value-$G$657-SUM($G427:G427),IF(A28remlife="N/A","n/a",(A28value-$G$657)/A28remlife))</f>
        <v>0</v>
      </c>
      <c r="I427" s="72">
        <f>IF(I$3&gt;A28remlife,A28value-$G$657-SUM($G427:H427),IF(A28remlife="N/A","n/a",(A28value-$G$657)/A28remlife))</f>
        <v>0</v>
      </c>
      <c r="J427" s="72">
        <f>IF(J$3&gt;A28remlife,A28value-$G$657-SUM($G427:I427),IF(A28remlife="N/A","n/a",(A28value-$G$657)/A28remlife))</f>
        <v>0</v>
      </c>
      <c r="K427" s="72">
        <f>IF(K$3&gt;A28remlife,A28value-$G$657-SUM($G427:J427),IF(A28remlife="N/A","n/a",(A28value-$G$657)/A28remlife))</f>
        <v>0</v>
      </c>
      <c r="L427" s="72">
        <f>IF(L$3&gt;A28remlife,A28value-$G$657-SUM($G427:K427),IF(A28remlife="N/A","n/a",(A28value-$G$657)/A28remlife))</f>
        <v>0</v>
      </c>
      <c r="M427" s="72">
        <f>IF(M$3&gt;A28remlife,A28value-$G$657-SUM($G427:L427),IF(A28remlife="N/A","n/a",(A28value-$G$657)/A28remlife))</f>
        <v>0</v>
      </c>
      <c r="N427" s="72">
        <f>IF(N$3&gt;A28remlife,A28value-$G$657-SUM($G427:M427),IF(A28remlife="N/A","n/a",(A28value-$G$657)/A28remlife))</f>
        <v>0</v>
      </c>
      <c r="O427" s="72">
        <f>IF(O$3&gt;A28remlife,A28value-$G$657-SUM($G427:N427),IF(A28remlife="N/A","n/a",(A28value-$G$657)/A28remlife))</f>
        <v>0</v>
      </c>
      <c r="P427" s="72">
        <f>IF(P$3&gt;A28remlife,A28value-$G$657-SUM($G427:O427),IF(A28remlife="N/A","n/a",(A28value-$G$657)/A28remlife))</f>
        <v>0</v>
      </c>
      <c r="Q427" s="72">
        <f>IF(Q$3&gt;A28remlife,A28value-$G$657-SUM($G427:P427),IF(A28remlife="N/A","n/a",(A28value-$G$657)/A28remlife))</f>
        <v>0</v>
      </c>
      <c r="R427" s="72"/>
      <c r="S427" s="107"/>
      <c r="T427" s="107"/>
      <c r="U427" s="107"/>
      <c r="V427" s="107"/>
      <c r="W427" s="107"/>
      <c r="X427" s="107"/>
      <c r="Y427" s="107"/>
      <c r="Z427" s="107"/>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6"/>
      <c r="E428" s="536" t="s">
        <v>59</v>
      </c>
      <c r="F428" s="91"/>
      <c r="G428" s="125"/>
      <c r="H428" s="73"/>
      <c r="I428" s="73"/>
      <c r="J428" s="73"/>
      <c r="K428" s="73"/>
      <c r="L428" s="73"/>
      <c r="M428" s="164"/>
      <c r="N428" s="116"/>
      <c r="O428" s="73"/>
      <c r="P428" s="73"/>
      <c r="Q428" s="73"/>
      <c r="R428" s="73"/>
      <c r="S428" s="107"/>
      <c r="T428" s="107"/>
      <c r="U428" s="107"/>
      <c r="V428" s="107"/>
      <c r="W428" s="107"/>
      <c r="X428" s="107"/>
      <c r="Y428" s="107"/>
      <c r="Z428" s="107"/>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37"/>
      <c r="F429" s="91">
        <v>1</v>
      </c>
      <c r="G429" s="125"/>
      <c r="H429" s="149"/>
      <c r="I429" s="73">
        <f>IF(A28stdlife="n/a","n/a",IF(I$3&gt;(A28stdlife+$F429),(Input!$H$306*(1+vanilla1)^0.5)-SUM($H429:H429),(Input!$H$306*(1+vanilla1)^0.5)/A28stdlife))</f>
        <v>0</v>
      </c>
      <c r="J429" s="73">
        <f>IF(A28stdlife="n/a","n/a",IF(J$3&gt;(A28stdlife+$F429),(Input!$H$306*(1+vanilla1)^0.5)-SUM($H429:I429),(Input!$H$306*(1+vanilla1)^0.5)/A28stdlife))</f>
        <v>0</v>
      </c>
      <c r="K429" s="73">
        <f>IF(A28stdlife="n/a","n/a",IF(K$3&gt;(A28stdlife+$F429),(Input!$H$306*(1+vanilla1)^0.5)-SUM($H429:J429),(Input!$H$306*(1+vanilla1)^0.5)/A28stdlife))</f>
        <v>0</v>
      </c>
      <c r="L429" s="73">
        <f>IF(A28stdlife="n/a","n/a",IF(L$3&gt;(A28stdlife+$F429),(Input!$H$306*(1+vanilla1)^0.5)-SUM($H429:K429),(Input!$H$306*(1+vanilla1)^0.5)/A28stdlife))</f>
        <v>0</v>
      </c>
      <c r="M429" s="73">
        <f>IF(A28stdlife="n/a","n/a",IF(M$3&gt;(A28stdlife+$F429),(Input!$H$306*(1+vanilla1)^0.5)-SUM($H429:L429),(Input!$H$306*(1+vanilla1)^0.5)/A28stdlife))</f>
        <v>0</v>
      </c>
      <c r="N429" s="73">
        <f>IF(A28stdlife="n/a","n/a",IF(N$3&gt;(A28stdlife+$F429),(Input!$H$306*(1+vanilla1)^0.5)-SUM($H429:M429),(Input!$H$306*(1+vanilla1)^0.5)/A28stdlife))</f>
        <v>0</v>
      </c>
      <c r="O429" s="73">
        <f>IF(A28stdlife="n/a","n/a",IF(O$3&gt;(A28stdlife+$F429),(Input!$H$306*(1+vanilla1)^0.5)-SUM($H429:N429),(Input!$H$306*(1+vanilla1)^0.5)/A28stdlife))</f>
        <v>0</v>
      </c>
      <c r="P429" s="73">
        <f>IF(A28stdlife="n/a","n/a",IF(P$3&gt;(A28stdlife+$F429),(Input!$H$306*(1+vanilla1)^0.5)-SUM($H429:O429),(Input!$H$306*(1+vanilla1)^0.5)/A28stdlife))</f>
        <v>0</v>
      </c>
      <c r="Q429" s="73">
        <f>IF(A28stdlife="n/a","n/a",IF(Q$3&gt;(A28stdlife+$F429),(Input!$H$306*(1+vanilla1)^0.5)-SUM($H429:P429),(Input!$H$306*(1+vanilla1)^0.5)/A28stdlife))</f>
        <v>0</v>
      </c>
      <c r="R429" s="73"/>
      <c r="S429" s="107"/>
      <c r="T429" s="107"/>
      <c r="U429" s="107"/>
      <c r="V429" s="107"/>
      <c r="W429" s="107"/>
      <c r="X429" s="107"/>
      <c r="Y429" s="107"/>
      <c r="Z429" s="107"/>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37"/>
      <c r="F430" s="91">
        <v>2</v>
      </c>
      <c r="G430" s="125"/>
      <c r="H430" s="150"/>
      <c r="I430" s="151"/>
      <c r="J430" s="73">
        <f>IF(A28stdlife="n/a","n/a",IF(J$3&gt;(A28stdlife+$F430),(Input!$I$306*(1+vanilla2)^0.5)-SUM($I430:I430),(Input!$I$306*(1+vanilla2)^0.5)/A28stdlife))</f>
        <v>0</v>
      </c>
      <c r="K430" s="73">
        <f>IF(A28stdlife="n/a","n/a",IF(K$3&gt;(A28stdlife+$F430),(Input!$I$306*(1+vanilla2)^0.5)-SUM($I430:J430),(Input!$I$306*(1+vanilla2)^0.5)/A28stdlife))</f>
        <v>0</v>
      </c>
      <c r="L430" s="73">
        <f>IF(A28stdlife="n/a","n/a",IF(L$3&gt;(A28stdlife+$F430),(Input!$I$306*(1+vanilla2)^0.5)-SUM($I430:K430),(Input!$I$306*(1+vanilla2)^0.5)/A28stdlife))</f>
        <v>0</v>
      </c>
      <c r="M430" s="73">
        <f>IF(A28stdlife="n/a","n/a",IF(M$3&gt;(A28stdlife+$F430),(Input!$I$306*(1+vanilla2)^0.5)-SUM($I430:L430),(Input!$I$306*(1+vanilla2)^0.5)/A28stdlife))</f>
        <v>0</v>
      </c>
      <c r="N430" s="73">
        <f>IF(A28stdlife="n/a","n/a",IF(N$3&gt;(A28stdlife+$F430),(Input!$I$306*(1+vanilla2)^0.5)-SUM($I430:M430),(Input!$I$306*(1+vanilla2)^0.5)/A28stdlife))</f>
        <v>0</v>
      </c>
      <c r="O430" s="73">
        <f>IF(A28stdlife="n/a","n/a",IF(O$3&gt;(A28stdlife+$F430),(Input!$I$306*(1+vanilla2)^0.5)-SUM($I430:N430),(Input!$I$306*(1+vanilla2)^0.5)/A28stdlife))</f>
        <v>0</v>
      </c>
      <c r="P430" s="73">
        <f>IF(A28stdlife="n/a","n/a",IF(P$3&gt;(A28stdlife+$F430),(Input!$I$306*(1+vanilla2)^0.5)-SUM($I430:O430),(Input!$I$306*(1+vanilla2)^0.5)/A28stdlife))</f>
        <v>0</v>
      </c>
      <c r="Q430" s="73">
        <f>IF(A28stdlife="n/a","n/a",IF(Q$3&gt;(A28stdlife+$F430),(Input!$I$306*(1+vanilla2)^0.5)-SUM($I430:P430),(Input!$I$306*(1+vanilla2)^0.5)/A28stdlife))</f>
        <v>0</v>
      </c>
      <c r="R430" s="73"/>
      <c r="S430" s="107"/>
      <c r="T430" s="107"/>
      <c r="U430" s="107"/>
      <c r="V430" s="107"/>
      <c r="W430" s="107"/>
      <c r="X430" s="107"/>
      <c r="Y430" s="107"/>
      <c r="Z430" s="107"/>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37"/>
      <c r="F431" s="91">
        <v>3</v>
      </c>
      <c r="G431" s="125"/>
      <c r="H431" s="150"/>
      <c r="I431" s="152"/>
      <c r="J431" s="151"/>
      <c r="K431" s="73">
        <f>IF(A28stdlife="n/a","n/a",IF(K$3&gt;(A28stdlife+$F431),(Input!$J$306*(1+vanilla3)^0.5)-SUM($J431:J431),(Input!$J$306*(1+vanilla3)^0.5)/A28stdlife))</f>
        <v>0</v>
      </c>
      <c r="L431" s="73">
        <f>IF(A28stdlife="n/a","n/a",IF(L$3&gt;(A28stdlife+$F431),(Input!$J$306*(1+vanilla3)^0.5)-SUM($J431:K431),(Input!$J$306*(1+vanilla3)^0.5)/A28stdlife))</f>
        <v>0</v>
      </c>
      <c r="M431" s="73">
        <f>IF(A28stdlife="n/a","n/a",IF(M$3&gt;(A28stdlife+$F431),(Input!$J$306*(1+vanilla3)^0.5)-SUM($J431:L431),(Input!$J$306*(1+vanilla3)^0.5)/A28stdlife))</f>
        <v>0</v>
      </c>
      <c r="N431" s="73">
        <f>IF(A28stdlife="n/a","n/a",IF(N$3&gt;(A28stdlife+$F431),(Input!$J$306*(1+vanilla3)^0.5)-SUM($J431:M431),(Input!$J$306*(1+vanilla3)^0.5)/A28stdlife))</f>
        <v>0</v>
      </c>
      <c r="O431" s="73">
        <f>IF(A28stdlife="n/a","n/a",IF(O$3&gt;(A28stdlife+$F431),(Input!$J$306*(1+vanilla3)^0.5)-SUM($J431:N431),(Input!$J$306*(1+vanilla3)^0.5)/A28stdlife))</f>
        <v>0</v>
      </c>
      <c r="P431" s="73">
        <f>IF(A28stdlife="n/a","n/a",IF(P$3&gt;(A28stdlife+$F431),(Input!$J$306*(1+vanilla3)^0.5)-SUM($J431:O431),(Input!$J$306*(1+vanilla3)^0.5)/A28stdlife))</f>
        <v>0</v>
      </c>
      <c r="Q431" s="73">
        <f>IF(A28stdlife="n/a","n/a",IF(Q$3&gt;(A28stdlife+$F431),(Input!$J$306*(1+vanilla3)^0.5)-SUM($J431:P431),(Input!$J$306*(1+vanilla3)^0.5)/A28stdlife))</f>
        <v>0</v>
      </c>
      <c r="R431" s="73"/>
      <c r="S431" s="107"/>
      <c r="T431" s="107"/>
      <c r="U431" s="107"/>
      <c r="V431" s="107"/>
      <c r="W431" s="107"/>
      <c r="X431" s="107"/>
      <c r="Y431" s="107"/>
      <c r="Z431" s="107"/>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37"/>
      <c r="F432" s="91">
        <v>4</v>
      </c>
      <c r="G432" s="125"/>
      <c r="H432" s="150"/>
      <c r="I432" s="152"/>
      <c r="J432" s="152"/>
      <c r="K432" s="151"/>
      <c r="L432" s="73">
        <f>IF(A28stdlife="n/a","n/a",IF(L$3&gt;(A28stdlife+$F432),(Input!$K$306*(1+vanilla4)^0.5)-SUM($K432:K432),(Input!$K$306*(1+vanilla4)^0.5)/A28stdlife))</f>
        <v>0</v>
      </c>
      <c r="M432" s="73">
        <f>IF(A28stdlife="n/a","n/a",IF(M$3&gt;(A28stdlife+$F432),(Input!$K$306*(1+vanilla4)^0.5)-SUM($K432:L432),(Input!$K$306*(1+vanilla4)^0.5)/A28stdlife))</f>
        <v>0</v>
      </c>
      <c r="N432" s="73">
        <f>IF(A28stdlife="n/a","n/a",IF(N$3&gt;(A28stdlife+$F432),(Input!$K$306*(1+vanilla4)^0.5)-SUM($K432:M432),(Input!$K$306*(1+vanilla4)^0.5)/A28stdlife))</f>
        <v>0</v>
      </c>
      <c r="O432" s="73">
        <f>IF(A28stdlife="n/a","n/a",IF(O$3&gt;(A28stdlife+$F432),(Input!$K$306*(1+vanilla4)^0.5)-SUM($K432:N432),(Input!$K$306*(1+vanilla4)^0.5)/A28stdlife))</f>
        <v>0</v>
      </c>
      <c r="P432" s="73">
        <f>IF(A28stdlife="n/a","n/a",IF(P$3&gt;(A28stdlife+$F432),(Input!$K$306*(1+vanilla4)^0.5)-SUM($K432:O432),(Input!$K$306*(1+vanilla4)^0.5)/A28stdlife))</f>
        <v>0</v>
      </c>
      <c r="Q432" s="73">
        <f>IF(A28stdlife="n/a","n/a",IF(Q$3&gt;(A28stdlife+$F432),(Input!$K$306*(1+vanilla4)^0.5)-SUM($K432:P432),(Input!$K$306*(1+vanilla4)^0.5)/A28stdlife))</f>
        <v>0</v>
      </c>
      <c r="R432" s="73"/>
      <c r="S432" s="107"/>
      <c r="T432" s="107"/>
      <c r="U432" s="107"/>
      <c r="V432" s="107"/>
      <c r="W432" s="107"/>
      <c r="X432" s="107"/>
      <c r="Y432" s="107"/>
      <c r="Z432" s="107"/>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6"/>
      <c r="E433" s="537"/>
      <c r="F433" s="91">
        <v>5</v>
      </c>
      <c r="G433" s="27"/>
      <c r="H433" s="150"/>
      <c r="I433" s="152"/>
      <c r="J433" s="152"/>
      <c r="K433" s="152"/>
      <c r="L433" s="151"/>
      <c r="M433" s="73">
        <f>IF(A28stdlife="n/a","n/a",IF(M$3&gt;(A28stdlife+$F433),(Input!$L$306*(1+vanilla5)^0.5)-SUM($L433:L433),(Input!$L$306*(1+vanilla5)^0.5)/A28stdlife))</f>
        <v>0</v>
      </c>
      <c r="N433" s="73">
        <f>IF(A28stdlife="n/a","n/a",IF(N$3&gt;(A28stdlife+$F433),(Input!$L$306*(1+vanilla5)^0.5)-SUM($L433:M433),(Input!$L$306*(1+vanilla5)^0.5)/A28stdlife))</f>
        <v>0</v>
      </c>
      <c r="O433" s="73">
        <f>IF(A28stdlife="n/a","n/a",IF(O$3&gt;(A28stdlife+$F433),(Input!$L$306*(1+vanilla5)^0.5)-SUM($L433:N433),(Input!$L$306*(1+vanilla5)^0.5)/A28stdlife))</f>
        <v>0</v>
      </c>
      <c r="P433" s="73">
        <f>IF(A28stdlife="n/a","n/a",IF(P$3&gt;(A28stdlife+$F433),(Input!$L$306*(1+vanilla5)^0.5)-SUM($L433:O433),(Input!$L$306*(1+vanilla5)^0.5)/A28stdlife))</f>
        <v>0</v>
      </c>
      <c r="Q433" s="73">
        <f>IF(A28stdlife="n/a","n/a",IF(Q$3&gt;(A28stdlife+$F433),(Input!$L$306*(1+vanilla5)^0.5)-SUM($L433:P433),(Input!$L$306*(1+vanilla5)^0.5)/A28stdlife))</f>
        <v>0</v>
      </c>
      <c r="R433" s="73"/>
      <c r="S433" s="107"/>
      <c r="T433" s="107"/>
      <c r="U433" s="107"/>
      <c r="V433" s="107"/>
      <c r="W433" s="107"/>
      <c r="X433" s="107"/>
      <c r="Y433" s="107"/>
      <c r="Z433" s="107"/>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6"/>
      <c r="E434" s="537"/>
      <c r="F434" s="91">
        <v>6</v>
      </c>
      <c r="G434" s="27"/>
      <c r="H434" s="150"/>
      <c r="I434" s="152"/>
      <c r="J434" s="152"/>
      <c r="K434" s="152"/>
      <c r="L434" s="152"/>
      <c r="M434" s="151"/>
      <c r="N434" s="73">
        <f>IF(A28stdlife="n/a","n/a",IF(N$3&gt;(A28stdlife+$F434),(Input!$M$306*(1+vanilla6)^0.5)-SUM($M434:M434),(Input!$M$306*(1+vanilla6)^0.5)/A28stdlife))</f>
        <v>0</v>
      </c>
      <c r="O434" s="73">
        <f>IF(A28stdlife="n/a","n/a",IF(O$3&gt;(A28stdlife+$F434),(Input!$M$306*(1+vanilla6)^0.5)-SUM($M434:N434),(Input!$M$306*(1+vanilla6)^0.5)/A28stdlife))</f>
        <v>0</v>
      </c>
      <c r="P434" s="73">
        <f>IF(A28stdlife="n/a","n/a",IF(P$3&gt;(A28stdlife+$F434),(Input!$M$306*(1+vanilla6)^0.5)-SUM($M434:O434),(Input!$M$306*(1+vanilla6)^0.5)/A28stdlife))</f>
        <v>0</v>
      </c>
      <c r="Q434" s="73">
        <f>IF(A28stdlife="n/a","n/a",IF(Q$3&gt;(A28stdlife+$F434),(Input!$M$306*(1+vanilla6)^0.5)-SUM($M434:P434),(Input!$M$306*(1+vanilla6)^0.5)/A28stdlife))</f>
        <v>0</v>
      </c>
      <c r="R434" s="73"/>
      <c r="S434" s="107"/>
      <c r="T434" s="107"/>
      <c r="U434" s="107"/>
      <c r="V434" s="107"/>
      <c r="W434" s="107"/>
      <c r="X434" s="107"/>
      <c r="Y434" s="107"/>
      <c r="Z434" s="107"/>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6"/>
      <c r="E435" s="537"/>
      <c r="F435" s="91">
        <v>7</v>
      </c>
      <c r="G435" s="27"/>
      <c r="H435" s="150"/>
      <c r="I435" s="152"/>
      <c r="J435" s="152"/>
      <c r="K435" s="152"/>
      <c r="L435" s="152"/>
      <c r="M435" s="152"/>
      <c r="N435" s="151"/>
      <c r="O435" s="73">
        <f>IF(A28stdlife="n/a","n/a",IF(O$3&gt;(A28stdlife+$F435),(Input!N$306*(1+vanilla7)^0.5)-SUM($N435:N435),(Input!$N$306*(1+vanilla7)^0.5)/A28stdlife))</f>
        <v>0</v>
      </c>
      <c r="P435" s="73">
        <f>IF(A28stdlife="n/a","n/a",IF(P$3&gt;(A28stdlife+$F435),(Input!O$306*(1+vanilla7)^0.5)-SUM($N435:O435),(Input!$N$306*(1+vanilla7)^0.5)/A28stdlife))</f>
        <v>0</v>
      </c>
      <c r="Q435" s="73">
        <f>IF(A28stdlife="n/a","n/a",IF(Q$3&gt;(A28stdlife+$F435),(Input!P$306*(1+vanilla7)^0.5)-SUM($N435:P435),(Input!$N$306*(1+vanilla7)^0.5)/A28stdlife))</f>
        <v>0</v>
      </c>
      <c r="R435" s="73"/>
      <c r="S435" s="107"/>
      <c r="T435" s="107"/>
      <c r="U435" s="107"/>
      <c r="V435" s="107"/>
      <c r="W435" s="107"/>
      <c r="X435" s="107"/>
      <c r="Y435" s="107"/>
      <c r="Z435" s="107"/>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6"/>
      <c r="E436" s="537"/>
      <c r="F436" s="91">
        <v>8</v>
      </c>
      <c r="G436" s="27"/>
      <c r="H436" s="150"/>
      <c r="I436" s="152"/>
      <c r="J436" s="152"/>
      <c r="K436" s="152"/>
      <c r="L436" s="152"/>
      <c r="M436" s="152"/>
      <c r="N436" s="152"/>
      <c r="O436" s="151"/>
      <c r="P436" s="73">
        <f>IF(A28stdlife="n/a","n/a",IF(P$3&gt;(A28stdlife+$F436),(Input!$O$306*(1+vanilla8)^0.5)-SUM($O436:O436),(Input!$O$306*(1+vanilla8)^0.5)/A28stdlife))</f>
        <v>0</v>
      </c>
      <c r="Q436" s="73">
        <f>IF(A28stdlife="n/a","n/a",IF(Q$3&gt;(A28stdlife+$F436),(Input!$O$306*(1+vanilla8)^0.5)-SUM($O436:P436),(Input!$O$306*(1+vanilla8)^0.5)/A28stdlife))</f>
        <v>0</v>
      </c>
      <c r="R436" s="73"/>
      <c r="S436" s="107"/>
      <c r="T436" s="107"/>
      <c r="U436" s="107"/>
      <c r="V436" s="107"/>
      <c r="W436" s="107"/>
      <c r="X436" s="107"/>
      <c r="Y436" s="107"/>
      <c r="Z436" s="107"/>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6"/>
      <c r="E437" s="537"/>
      <c r="F437" s="91">
        <v>9</v>
      </c>
      <c r="G437" s="27"/>
      <c r="H437" s="150"/>
      <c r="I437" s="152"/>
      <c r="J437" s="152"/>
      <c r="K437" s="152"/>
      <c r="L437" s="152"/>
      <c r="M437" s="152"/>
      <c r="N437" s="152"/>
      <c r="O437" s="152"/>
      <c r="P437" s="151"/>
      <c r="Q437" s="73">
        <f>IF(A28stdlife="n/a","n/a",IF(Q$3&gt;(A28stdlife+$F437),(Input!$P$306*(1+vanilla9)^0.5)-SUM($P437:P437),(Input!$P$306*(1+vanilla9)^0.5)/A28stdlife))</f>
        <v>0</v>
      </c>
      <c r="R437" s="73"/>
      <c r="S437" s="107"/>
      <c r="T437" s="107"/>
      <c r="U437" s="107"/>
      <c r="V437" s="107"/>
      <c r="W437" s="107"/>
      <c r="X437" s="107"/>
      <c r="Y437" s="107"/>
      <c r="Z437" s="107"/>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6"/>
      <c r="E438" s="537"/>
      <c r="F438" s="92">
        <v>10</v>
      </c>
      <c r="G438" s="27"/>
      <c r="H438" s="150"/>
      <c r="I438" s="152"/>
      <c r="J438" s="152"/>
      <c r="K438" s="152"/>
      <c r="L438" s="152"/>
      <c r="M438" s="152"/>
      <c r="N438" s="152"/>
      <c r="O438" s="152"/>
      <c r="P438" s="152"/>
      <c r="Q438" s="151"/>
      <c r="R438" s="73"/>
      <c r="S438" s="107"/>
      <c r="T438" s="107"/>
      <c r="U438" s="107"/>
      <c r="V438" s="107"/>
      <c r="W438" s="107"/>
      <c r="X438" s="107"/>
      <c r="Y438" s="107"/>
      <c r="Z438" s="107"/>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c r="A439" s="9"/>
      <c r="B439" s="9"/>
      <c r="C439" s="9"/>
      <c r="D439" s="272">
        <f>Asset28</f>
        <v>0</v>
      </c>
      <c r="E439" s="9"/>
      <c r="F439" s="9"/>
      <c r="G439" s="125"/>
      <c r="H439" s="166">
        <f>-SUM(H427:H438)</f>
        <v>0</v>
      </c>
      <c r="I439" s="166">
        <f>-SUM(I427:I438)</f>
        <v>0</v>
      </c>
      <c r="J439" s="166">
        <f>-SUM(J427:J438)</f>
        <v>0</v>
      </c>
      <c r="K439" s="166">
        <f>-SUM(K427:K438)</f>
        <v>0</v>
      </c>
      <c r="L439" s="166">
        <f>-SUM(L427:L438)</f>
        <v>0</v>
      </c>
      <c r="M439" s="73">
        <f>IF(COUNT($H439:L439)&gt;=Input!$Y$7,0, -SUM(M427:M438))</f>
        <v>0</v>
      </c>
      <c r="N439" s="73">
        <f>IF(COUNT($H439:M439)&gt;=Input!$Y$7,0, -SUM(N427:N438))</f>
        <v>0</v>
      </c>
      <c r="O439" s="73">
        <f>IF(COUNT($H439:N439)&gt;=Input!$Y$7,0, -SUM(O427:O438))</f>
        <v>0</v>
      </c>
      <c r="P439" s="73">
        <f>IF(COUNT($H439:O439)&gt;=Input!$Y$7,0, -SUM(P427:P438))</f>
        <v>0</v>
      </c>
      <c r="Q439" s="73">
        <f>IF(COUNT($H439:P439)&gt;=Input!$Y$7,0, -SUM(Q427:Q438))</f>
        <v>0</v>
      </c>
      <c r="R439" s="71"/>
      <c r="S439" s="109"/>
      <c r="T439" s="109"/>
      <c r="U439" s="109"/>
      <c r="V439" s="109"/>
      <c r="W439" s="109"/>
      <c r="X439" s="109"/>
      <c r="Y439" s="109"/>
      <c r="Z439" s="109"/>
      <c r="AA439" s="236"/>
      <c r="AB439" s="236"/>
      <c r="AC439" s="236"/>
      <c r="AD439" s="236"/>
      <c r="AE439" s="236"/>
      <c r="AF439" s="236"/>
      <c r="AG439" s="236"/>
      <c r="AH439" s="236"/>
      <c r="AI439" s="236"/>
      <c r="AJ439" s="236"/>
      <c r="AK439" s="236"/>
      <c r="AL439" s="236"/>
      <c r="AM439" s="236"/>
      <c r="AN439" s="236"/>
      <c r="AO439" s="236"/>
      <c r="AP439" s="236"/>
      <c r="AQ439" s="236"/>
      <c r="AR439" s="236"/>
      <c r="AS439" s="236"/>
      <c r="AT439" s="236"/>
      <c r="AU439" s="236"/>
      <c r="AV439" s="236"/>
      <c r="AW439" s="236"/>
      <c r="AX439" s="236"/>
      <c r="AY439" s="236"/>
      <c r="AZ439" s="236"/>
      <c r="BA439" s="236"/>
      <c r="BB439" s="236"/>
      <c r="BC439" s="236"/>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73">
        <f>Asset29</f>
        <v>0</v>
      </c>
      <c r="D440" s="162"/>
      <c r="E440" s="32" t="s">
        <v>5</v>
      </c>
      <c r="F440" s="31"/>
      <c r="G440" s="181"/>
      <c r="H440" s="72">
        <f>IF(H$3&gt;A29remlife,A29value-$G$658-SUM($G440:G440),IF(A29remlife="N/A","n/a",(A29value-$G$658)/A29remlife))</f>
        <v>0</v>
      </c>
      <c r="I440" s="72">
        <f>IF(I$3&gt;A29remlife,A29value-$G$658-SUM($G440:H440),IF(A29remlife="N/A","n/a",(A29value-$G$658)/A29remlife))</f>
        <v>0</v>
      </c>
      <c r="J440" s="72">
        <f>IF(J$3&gt;A29remlife,A29value-$G$658-SUM($G440:I440),IF(A29remlife="N/A","n/a",(A29value-$G$658)/A29remlife))</f>
        <v>0</v>
      </c>
      <c r="K440" s="72">
        <f>IF(K$3&gt;A29remlife,A29value-$G$658-SUM($G440:J440),IF(A29remlife="N/A","n/a",(A29value-$G$658)/A29remlife))</f>
        <v>0</v>
      </c>
      <c r="L440" s="72">
        <f>IF(L$3&gt;A29remlife,A29value-$G$658-SUM($G440:K440),IF(A29remlife="N/A","n/a",(A29value-$G$658)/A29remlife))</f>
        <v>0</v>
      </c>
      <c r="M440" s="72">
        <f>IF(M$3&gt;A29remlife,A29value-$G$658-SUM($G440:L440),IF(A29remlife="N/A","n/a",(A29value-$G$658)/A29remlife))</f>
        <v>0</v>
      </c>
      <c r="N440" s="72">
        <f>IF(N$3&gt;A29remlife,A29value-$G$658-SUM($G440:M440),IF(A29remlife="N/A","n/a",(A29value-$G$658)/A29remlife))</f>
        <v>0</v>
      </c>
      <c r="O440" s="72">
        <f>IF(O$3&gt;A29remlife,A29value-$G$658-SUM($G440:N440),IF(A29remlife="N/A","n/a",(A29value-$G$658)/A29remlife))</f>
        <v>0</v>
      </c>
      <c r="P440" s="72">
        <f>IF(P$3&gt;A29remlife,A29value-$G$658-SUM($G440:O440),IF(A29remlife="N/A","n/a",(A29value-$G$658)/A29remlife))</f>
        <v>0</v>
      </c>
      <c r="Q440" s="72">
        <f>IF(Q$3&gt;A29remlife,A29value-$G$658-SUM($G440:P440),IF(A29remlife="N/A","n/a",(A29value-$G$658)/A29remlife))</f>
        <v>0</v>
      </c>
      <c r="R440" s="72"/>
      <c r="S440" s="107"/>
      <c r="T440" s="107"/>
      <c r="U440" s="107"/>
      <c r="V440" s="107"/>
      <c r="W440" s="107"/>
      <c r="X440" s="107"/>
      <c r="Y440" s="107"/>
      <c r="Z440" s="107"/>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6"/>
      <c r="E441" s="536" t="s">
        <v>59</v>
      </c>
      <c r="F441" s="91"/>
      <c r="G441" s="125"/>
      <c r="H441" s="73"/>
      <c r="I441" s="73"/>
      <c r="J441" s="73"/>
      <c r="K441" s="73"/>
      <c r="L441" s="73"/>
      <c r="M441" s="164"/>
      <c r="N441" s="116"/>
      <c r="O441" s="73"/>
      <c r="P441" s="73"/>
      <c r="Q441" s="73"/>
      <c r="R441" s="73"/>
      <c r="S441" s="107"/>
      <c r="T441" s="107"/>
      <c r="U441" s="107"/>
      <c r="V441" s="107"/>
      <c r="W441" s="107"/>
      <c r="X441" s="107"/>
      <c r="Y441" s="107"/>
      <c r="Z441" s="107"/>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6"/>
      <c r="E442" s="537"/>
      <c r="F442" s="91">
        <v>1</v>
      </c>
      <c r="G442" s="125"/>
      <c r="H442" s="149"/>
      <c r="I442" s="73">
        <f>IF(A29stdlife="n/a","n/a",IF(I$3&gt;(A29stdlife+$F442),(Input!$H$307*(1+vanilla1)^0.5)-SUM($H442:H442),(Input!$H$307*(1+vanilla1)^0.5)/A29stdlife))</f>
        <v>0</v>
      </c>
      <c r="J442" s="73">
        <f>IF(A29stdlife="n/a","n/a",IF(J$3&gt;(A29stdlife+$F442),(Input!$H$307*(1+vanilla1)^0.5)-SUM($H442:I442),(Input!$H$307*(1+vanilla1)^0.5)/A29stdlife))</f>
        <v>0</v>
      </c>
      <c r="K442" s="73">
        <f>IF(A29stdlife="n/a","n/a",IF(K$3&gt;(A29stdlife+$F442),(Input!$H$307*(1+vanilla1)^0.5)-SUM($H442:J442),(Input!$H$307*(1+vanilla1)^0.5)/A29stdlife))</f>
        <v>0</v>
      </c>
      <c r="L442" s="73">
        <f>IF(A29stdlife="n/a","n/a",IF(L$3&gt;(A29stdlife+$F442),(Input!$H$307*(1+vanilla1)^0.5)-SUM($H442:K442),(Input!$H$307*(1+vanilla1)^0.5)/A29stdlife))</f>
        <v>0</v>
      </c>
      <c r="M442" s="73">
        <f>IF(A29stdlife="n/a","n/a",IF(M$3&gt;(A29stdlife+$F442),(Input!$H$307*(1+vanilla1)^0.5)-SUM($H442:L442),(Input!$H$307*(1+vanilla1)^0.5)/A29stdlife))</f>
        <v>0</v>
      </c>
      <c r="N442" s="73">
        <f>IF(A29stdlife="n/a","n/a",IF(N$3&gt;(A29stdlife+$F442),(Input!$H$307*(1+vanilla1)^0.5)-SUM($H442:M442),(Input!$H$307*(1+vanilla1)^0.5)/A29stdlife))</f>
        <v>0</v>
      </c>
      <c r="O442" s="73">
        <f>IF(A29stdlife="n/a","n/a",IF(O$3&gt;(A29stdlife+$F442),(Input!$H$307*(1+vanilla1)^0.5)-SUM($H442:N442),(Input!$H$307*(1+vanilla1)^0.5)/A29stdlife))</f>
        <v>0</v>
      </c>
      <c r="P442" s="73">
        <f>IF(A29stdlife="n/a","n/a",IF(P$3&gt;(A29stdlife+$F442),(Input!$H$307*(1+vanilla1)^0.5)-SUM($H442:O442),(Input!$H$307*(1+vanilla1)^0.5)/A29stdlife))</f>
        <v>0</v>
      </c>
      <c r="Q442" s="73">
        <f>IF(A29stdlife="n/a","n/a",IF(Q$3&gt;(A29stdlife+$F442),(Input!$H$307*(1+vanilla1)^0.5)-SUM($H442:P442),(Input!$H$307*(1+vanilla1)^0.5)/A29stdlife))</f>
        <v>0</v>
      </c>
      <c r="R442" s="73"/>
      <c r="S442" s="107"/>
      <c r="T442" s="107"/>
      <c r="U442" s="107"/>
      <c r="V442" s="107"/>
      <c r="W442" s="107"/>
      <c r="X442" s="107"/>
      <c r="Y442" s="107"/>
      <c r="Z442" s="107"/>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6"/>
      <c r="E443" s="537"/>
      <c r="F443" s="91">
        <v>2</v>
      </c>
      <c r="G443" s="125"/>
      <c r="H443" s="150"/>
      <c r="I443" s="151"/>
      <c r="J443" s="73">
        <f>IF(A29stdlife="n/a","n/a",IF(J$3&gt;(A29stdlife+$F443),(Input!$I$307*(1+vanilla2)^0.5)-SUM($I443:I443),(Input!$I$307*(1+vanilla2)^0.5)/A29stdlife))</f>
        <v>0</v>
      </c>
      <c r="K443" s="73">
        <f>IF(A29stdlife="n/a","n/a",IF(K$3&gt;(A29stdlife+$F443),(Input!$I$307*(1+vanilla2)^0.5)-SUM($I443:J443),(Input!$I$307*(1+vanilla2)^0.5)/A29stdlife))</f>
        <v>0</v>
      </c>
      <c r="L443" s="73">
        <f>IF(A29stdlife="n/a","n/a",IF(L$3&gt;(A29stdlife+$F443),(Input!$I$307*(1+vanilla2)^0.5)-SUM($I443:K443),(Input!$I$307*(1+vanilla2)^0.5)/A29stdlife))</f>
        <v>0</v>
      </c>
      <c r="M443" s="73">
        <f>IF(A29stdlife="n/a","n/a",IF(M$3&gt;(A29stdlife+$F443),(Input!$I$307*(1+vanilla2)^0.5)-SUM($I443:L443),(Input!$I$307*(1+vanilla2)^0.5)/A29stdlife))</f>
        <v>0</v>
      </c>
      <c r="N443" s="73">
        <f>IF(A29stdlife="n/a","n/a",IF(N$3&gt;(A29stdlife+$F443),(Input!$I$307*(1+vanilla2)^0.5)-SUM($I443:M443),(Input!$I$307*(1+vanilla2)^0.5)/A29stdlife))</f>
        <v>0</v>
      </c>
      <c r="O443" s="73">
        <f>IF(A29stdlife="n/a","n/a",IF(O$3&gt;(A29stdlife+$F443),(Input!$I$307*(1+vanilla2)^0.5)-SUM($I443:N443),(Input!$I$307*(1+vanilla2)^0.5)/A29stdlife))</f>
        <v>0</v>
      </c>
      <c r="P443" s="73">
        <f>IF(A29stdlife="n/a","n/a",IF(P$3&gt;(A29stdlife+$F443),(Input!$I$307*(1+vanilla2)^0.5)-SUM($I443:O443),(Input!$I$307*(1+vanilla2)^0.5)/A29stdlife))</f>
        <v>0</v>
      </c>
      <c r="Q443" s="73">
        <f>IF(A29stdlife="n/a","n/a",IF(Q$3&gt;(A29stdlife+$F443),(Input!$I$307*(1+vanilla2)^0.5)-SUM($I443:P443),(Input!$I$307*(1+vanilla2)^0.5)/A29stdlife))</f>
        <v>0</v>
      </c>
      <c r="R443" s="73"/>
      <c r="S443" s="107"/>
      <c r="T443" s="107"/>
      <c r="U443" s="107"/>
      <c r="V443" s="107"/>
      <c r="W443" s="107"/>
      <c r="X443" s="107"/>
      <c r="Y443" s="107"/>
      <c r="Z443" s="107"/>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6"/>
      <c r="E444" s="537"/>
      <c r="F444" s="91">
        <v>3</v>
      </c>
      <c r="G444" s="125"/>
      <c r="H444" s="150"/>
      <c r="I444" s="152"/>
      <c r="J444" s="151"/>
      <c r="K444" s="73">
        <f>IF(A29stdlife="n/a","n/a",IF(K$3&gt;(A29stdlife+$F444),(Input!$J$307*(1+vanilla3)^0.5)-SUM($J444:J444),(Input!$J$307*(1+vanilla3)^0.5)/A29stdlife))</f>
        <v>0</v>
      </c>
      <c r="L444" s="73">
        <f>IF(A29stdlife="n/a","n/a",IF(L$3&gt;(A29stdlife+$F444),(Input!$J$307*(1+vanilla3)^0.5)-SUM($J444:K444),(Input!$J$307*(1+vanilla3)^0.5)/A29stdlife))</f>
        <v>0</v>
      </c>
      <c r="M444" s="73">
        <f>IF(A29stdlife="n/a","n/a",IF(M$3&gt;(A29stdlife+$F444),(Input!$J$307*(1+vanilla3)^0.5)-SUM($J444:L444),(Input!$J$307*(1+vanilla3)^0.5)/A29stdlife))</f>
        <v>0</v>
      </c>
      <c r="N444" s="73">
        <f>IF(A29stdlife="n/a","n/a",IF(N$3&gt;(A29stdlife+$F444),(Input!$J$307*(1+vanilla3)^0.5)-SUM($J444:M444),(Input!$J$307*(1+vanilla3)^0.5)/A29stdlife))</f>
        <v>0</v>
      </c>
      <c r="O444" s="73">
        <f>IF(A29stdlife="n/a","n/a",IF(O$3&gt;(A29stdlife+$F444),(Input!$J$307*(1+vanilla3)^0.5)-SUM($J444:N444),(Input!$J$307*(1+vanilla3)^0.5)/A29stdlife))</f>
        <v>0</v>
      </c>
      <c r="P444" s="73">
        <f>IF(A29stdlife="n/a","n/a",IF(P$3&gt;(A29stdlife+$F444),(Input!$J$307*(1+vanilla3)^0.5)-SUM($J444:O444),(Input!$J$307*(1+vanilla3)^0.5)/A29stdlife))</f>
        <v>0</v>
      </c>
      <c r="Q444" s="73">
        <f>IF(A29stdlife="n/a","n/a",IF(Q$3&gt;(A29stdlife+$F444),(Input!$J$307*(1+vanilla3)^0.5)-SUM($J444:P444),(Input!$J$307*(1+vanilla3)^0.5)/A29stdlife))</f>
        <v>0</v>
      </c>
      <c r="R444" s="73"/>
      <c r="S444" s="107"/>
      <c r="T444" s="107"/>
      <c r="U444" s="107"/>
      <c r="V444" s="107"/>
      <c r="W444" s="107"/>
      <c r="X444" s="107"/>
      <c r="Y444" s="107"/>
      <c r="Z444" s="107"/>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6"/>
      <c r="E445" s="537"/>
      <c r="F445" s="91">
        <v>4</v>
      </c>
      <c r="G445" s="125"/>
      <c r="H445" s="150"/>
      <c r="I445" s="152"/>
      <c r="J445" s="152"/>
      <c r="K445" s="151"/>
      <c r="L445" s="73">
        <f>IF(A29stdlife="n/a","n/a",IF(L$3&gt;(A29stdlife+$F445),(Input!$K$307*(1+vanilla4)^0.5)-SUM($K445:K445),(Input!$K$307*(1+vanilla4)^0.5)/A29stdlife))</f>
        <v>0</v>
      </c>
      <c r="M445" s="73">
        <f>IF(A29stdlife="n/a","n/a",IF(M$3&gt;(A29stdlife+$F445),(Input!$K$307*(1+vanilla4)^0.5)-SUM($K445:L445),(Input!$K$307*(1+vanilla4)^0.5)/A29stdlife))</f>
        <v>0</v>
      </c>
      <c r="N445" s="73">
        <f>IF(A29stdlife="n/a","n/a",IF(N$3&gt;(A29stdlife+$F445),(Input!$K$307*(1+vanilla4)^0.5)-SUM($K445:M445),(Input!$K$307*(1+vanilla4)^0.5)/A29stdlife))</f>
        <v>0</v>
      </c>
      <c r="O445" s="73">
        <f>IF(A29stdlife="n/a","n/a",IF(O$3&gt;(A29stdlife+$F445),(Input!$K$307*(1+vanilla4)^0.5)-SUM($K445:N445),(Input!$K$307*(1+vanilla4)^0.5)/A29stdlife))</f>
        <v>0</v>
      </c>
      <c r="P445" s="73">
        <f>IF(A29stdlife="n/a","n/a",IF(P$3&gt;(A29stdlife+$F445),(Input!$K$307*(1+vanilla4)^0.5)-SUM($K445:O445),(Input!$K$307*(1+vanilla4)^0.5)/A29stdlife))</f>
        <v>0</v>
      </c>
      <c r="Q445" s="73">
        <f>IF(A29stdlife="n/a","n/a",IF(Q$3&gt;(A29stdlife+$F445),(Input!$K$307*(1+vanilla4)^0.5)-SUM($K445:P445),(Input!$K$307*(1+vanilla4)^0.5)/A29stdlife))</f>
        <v>0</v>
      </c>
      <c r="R445" s="73"/>
      <c r="S445" s="107"/>
      <c r="T445" s="107"/>
      <c r="U445" s="107"/>
      <c r="V445" s="107"/>
      <c r="W445" s="107"/>
      <c r="X445" s="107"/>
      <c r="Y445" s="107"/>
      <c r="Z445" s="107"/>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6"/>
      <c r="E446" s="537"/>
      <c r="F446" s="91">
        <v>5</v>
      </c>
      <c r="G446" s="27"/>
      <c r="H446" s="150"/>
      <c r="I446" s="152"/>
      <c r="J446" s="152"/>
      <c r="K446" s="152"/>
      <c r="L446" s="151"/>
      <c r="M446" s="73">
        <f>IF(A29stdlife="n/a","n/a",IF(M$3&gt;(A29stdlife+$F446),(Input!$L$307*(1+vanilla5)^0.5)-SUM($L446:L446),(Input!$L$307*(1+vanilla5)^0.5)/A29stdlife))</f>
        <v>0</v>
      </c>
      <c r="N446" s="73">
        <f>IF(A29stdlife="n/a","n/a",IF(N$3&gt;(A29stdlife+$F446),(Input!$L$307*(1+vanilla5)^0.5)-SUM($L446:M446),(Input!$L$307*(1+vanilla5)^0.5)/A29stdlife))</f>
        <v>0</v>
      </c>
      <c r="O446" s="73">
        <f>IF(A29stdlife="n/a","n/a",IF(O$3&gt;(A29stdlife+$F446),(Input!$L$307*(1+vanilla5)^0.5)-SUM($L446:N446),(Input!$L$307*(1+vanilla5)^0.5)/A29stdlife))</f>
        <v>0</v>
      </c>
      <c r="P446" s="73">
        <f>IF(A29stdlife="n/a","n/a",IF(P$3&gt;(A29stdlife+$F446),(Input!$L$307*(1+vanilla5)^0.5)-SUM($L446:O446),(Input!$L$307*(1+vanilla5)^0.5)/A29stdlife))</f>
        <v>0</v>
      </c>
      <c r="Q446" s="73">
        <f>IF(A29stdlife="n/a","n/a",IF(Q$3&gt;(A29stdlife+$F446),(Input!$L$307*(1+vanilla5)^0.5)-SUM($L446:P446),(Input!$L$307*(1+vanilla5)^0.5)/A29stdlife))</f>
        <v>0</v>
      </c>
      <c r="R446" s="73"/>
      <c r="S446" s="107"/>
      <c r="T446" s="107"/>
      <c r="U446" s="107"/>
      <c r="V446" s="107"/>
      <c r="W446" s="107"/>
      <c r="X446" s="107"/>
      <c r="Y446" s="107"/>
      <c r="Z446" s="107"/>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6"/>
      <c r="E447" s="537"/>
      <c r="F447" s="91">
        <v>6</v>
      </c>
      <c r="G447" s="27"/>
      <c r="H447" s="150"/>
      <c r="I447" s="152"/>
      <c r="J447" s="152"/>
      <c r="K447" s="152"/>
      <c r="L447" s="152"/>
      <c r="M447" s="151"/>
      <c r="N447" s="73">
        <f>IF(A29stdlife="n/a","n/a",IF(N$3&gt;(A29stdlife+$F447),(Input!$M$307*(1+vanilla6)^0.5)-SUM($M447:M447),(Input!$M$307*(1+vanilla6)^0.5)/A29stdlife))</f>
        <v>0</v>
      </c>
      <c r="O447" s="73">
        <f>IF(A29stdlife="n/a","n/a",IF(O$3&gt;(A29stdlife+$F447),(Input!$M$307*(1+vanilla6)^0.5)-SUM($M447:N447),(Input!$M$307*(1+vanilla6)^0.5)/A29stdlife))</f>
        <v>0</v>
      </c>
      <c r="P447" s="73">
        <f>IF(A29stdlife="n/a","n/a",IF(P$3&gt;(A29stdlife+$F447),(Input!$M$307*(1+vanilla6)^0.5)-SUM($M447:O447),(Input!$M$307*(1+vanilla6)^0.5)/A29stdlife))</f>
        <v>0</v>
      </c>
      <c r="Q447" s="73">
        <f>IF(A29stdlife="n/a","n/a",IF(Q$3&gt;(A29stdlife+$F447),(Input!$M$307*(1+vanilla6)^0.5)-SUM($M447:P447),(Input!$M$307*(1+vanilla6)^0.5)/A29stdlife))</f>
        <v>0</v>
      </c>
      <c r="R447" s="73"/>
      <c r="S447" s="107"/>
      <c r="T447" s="107"/>
      <c r="U447" s="107"/>
      <c r="V447" s="107"/>
      <c r="W447" s="107"/>
      <c r="X447" s="107"/>
      <c r="Y447" s="107"/>
      <c r="Z447" s="107"/>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6"/>
      <c r="E448" s="537"/>
      <c r="F448" s="91">
        <v>7</v>
      </c>
      <c r="G448" s="27"/>
      <c r="H448" s="150"/>
      <c r="I448" s="152"/>
      <c r="J448" s="152"/>
      <c r="K448" s="152"/>
      <c r="L448" s="152"/>
      <c r="M448" s="152"/>
      <c r="N448" s="151"/>
      <c r="O448" s="73">
        <f>IF(A29stdlife="n/a","n/a",IF(O$3&gt;(A29stdlife+$F448),(Input!N$307*(1+vanilla7)^0.5)-SUM($N448:N448),(Input!$N$307*(1+vanilla7)^0.5)/A29stdlife))</f>
        <v>0</v>
      </c>
      <c r="P448" s="73">
        <f>IF(A29stdlife="n/a","n/a",IF(P$3&gt;(A29stdlife+$F448),(Input!O$307*(1+vanilla7)^0.5)-SUM($N448:O448),(Input!$N$307*(1+vanilla7)^0.5)/A29stdlife))</f>
        <v>0</v>
      </c>
      <c r="Q448" s="73">
        <f>IF(A29stdlife="n/a","n/a",IF(Q$3&gt;(A29stdlife+$F448),(Input!P$307*(1+vanilla7)^0.5)-SUM($N448:P448),(Input!$N$307*(1+vanilla7)^0.5)/A29stdlife))</f>
        <v>0</v>
      </c>
      <c r="R448" s="73"/>
      <c r="S448" s="107"/>
      <c r="T448" s="107"/>
      <c r="U448" s="107"/>
      <c r="V448" s="107"/>
      <c r="W448" s="107"/>
      <c r="X448" s="107"/>
      <c r="Y448" s="107"/>
      <c r="Z448" s="107"/>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6"/>
      <c r="E449" s="537"/>
      <c r="F449" s="91">
        <v>8</v>
      </c>
      <c r="G449" s="27"/>
      <c r="H449" s="150"/>
      <c r="I449" s="152"/>
      <c r="J449" s="152"/>
      <c r="K449" s="152"/>
      <c r="L449" s="152"/>
      <c r="M449" s="152"/>
      <c r="N449" s="152"/>
      <c r="O449" s="151"/>
      <c r="P449" s="73">
        <f>IF(A29stdlife="n/a","n/a",IF(P$3&gt;(A29stdlife+$F449),(Input!$O$307*(1+vanilla8)^0.5)-SUM($O449:O449),(Input!$O$307*(1+vanilla8)^0.5)/A29stdlife))</f>
        <v>0</v>
      </c>
      <c r="Q449" s="73">
        <f>IF(A29stdlife="n/a","n/a",IF(Q$3&gt;(A29stdlife+$F449),(Input!$O$307*(1+vanilla8)^0.5)-SUM($O449:P449),(Input!$O$307*(1+vanilla8)^0.5)/A29stdlife))</f>
        <v>0</v>
      </c>
      <c r="R449" s="73"/>
      <c r="S449" s="107"/>
      <c r="T449" s="107"/>
      <c r="U449" s="107"/>
      <c r="V449" s="107"/>
      <c r="W449" s="107"/>
      <c r="X449" s="107"/>
      <c r="Y449" s="107"/>
      <c r="Z449" s="107"/>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6"/>
      <c r="E450" s="537"/>
      <c r="F450" s="91">
        <v>9</v>
      </c>
      <c r="G450" s="27"/>
      <c r="H450" s="150"/>
      <c r="I450" s="152"/>
      <c r="J450" s="152"/>
      <c r="K450" s="152"/>
      <c r="L450" s="152"/>
      <c r="M450" s="152"/>
      <c r="N450" s="152"/>
      <c r="O450" s="152"/>
      <c r="P450" s="151"/>
      <c r="Q450" s="73">
        <f>IF(A29stdlife="n/a","n/a",IF(Q$3&gt;(A29stdlife+$F450),(Input!$P$307*(1+vanilla9)^0.5)-SUM($P450:P450),(Input!$P$307*(1+vanilla9)^0.5)/A29stdlife))</f>
        <v>0</v>
      </c>
      <c r="R450" s="73"/>
      <c r="S450" s="107"/>
      <c r="T450" s="107"/>
      <c r="U450" s="107"/>
      <c r="V450" s="107"/>
      <c r="W450" s="107"/>
      <c r="X450" s="107"/>
      <c r="Y450" s="107"/>
      <c r="Z450" s="107"/>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6"/>
      <c r="E451" s="537"/>
      <c r="F451" s="92">
        <v>10</v>
      </c>
      <c r="G451" s="27"/>
      <c r="H451" s="150"/>
      <c r="I451" s="152"/>
      <c r="J451" s="152"/>
      <c r="K451" s="152"/>
      <c r="L451" s="152"/>
      <c r="M451" s="152"/>
      <c r="N451" s="152"/>
      <c r="O451" s="152"/>
      <c r="P451" s="152"/>
      <c r="Q451" s="151"/>
      <c r="R451" s="73"/>
      <c r="S451" s="107"/>
      <c r="T451" s="107"/>
      <c r="U451" s="107"/>
      <c r="V451" s="107"/>
      <c r="W451" s="107"/>
      <c r="X451" s="107"/>
      <c r="Y451" s="107"/>
      <c r="Z451" s="107"/>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c r="A452" s="9"/>
      <c r="B452" s="9"/>
      <c r="C452" s="9"/>
      <c r="D452" s="272">
        <f>Asset29</f>
        <v>0</v>
      </c>
      <c r="E452" s="9"/>
      <c r="F452" s="9"/>
      <c r="G452" s="125"/>
      <c r="H452" s="166">
        <f>-SUM(H440:H451)</f>
        <v>0</v>
      </c>
      <c r="I452" s="166">
        <f>-SUM(I440:I451)</f>
        <v>0</v>
      </c>
      <c r="J452" s="166">
        <f>-SUM(J440:J451)</f>
        <v>0</v>
      </c>
      <c r="K452" s="166">
        <f>-SUM(K440:K451)</f>
        <v>0</v>
      </c>
      <c r="L452" s="166">
        <f>-SUM(L440:L451)</f>
        <v>0</v>
      </c>
      <c r="M452" s="73">
        <f>IF(COUNT($H452:L452)&gt;=Input!$Y$7,0, -SUM(M440:M451))</f>
        <v>0</v>
      </c>
      <c r="N452" s="73">
        <f>IF(COUNT($H452:M452)&gt;=Input!$Y$7,0, -SUM(N440:N451))</f>
        <v>0</v>
      </c>
      <c r="O452" s="73">
        <f>IF(COUNT($H452:N452)&gt;=Input!$Y$7,0, -SUM(O440:O451))</f>
        <v>0</v>
      </c>
      <c r="P452" s="73">
        <f>IF(COUNT($H452:O452)&gt;=Input!$Y$7,0, -SUM(P440:P451))</f>
        <v>0</v>
      </c>
      <c r="Q452" s="73">
        <f>IF(COUNT($H452:P452)&gt;=Input!$Y$7,0, -SUM(Q440:Q451))</f>
        <v>0</v>
      </c>
      <c r="R452" s="71"/>
      <c r="S452" s="109"/>
      <c r="T452" s="109"/>
      <c r="U452" s="109"/>
      <c r="V452" s="109"/>
      <c r="W452" s="109"/>
      <c r="X452" s="109"/>
      <c r="Y452" s="109"/>
      <c r="Z452" s="109"/>
      <c r="AA452" s="236"/>
      <c r="AB452" s="236"/>
      <c r="AC452" s="236"/>
      <c r="AD452" s="236"/>
      <c r="AE452" s="236"/>
      <c r="AF452" s="236"/>
      <c r="AG452" s="236"/>
      <c r="AH452" s="236"/>
      <c r="AI452" s="236"/>
      <c r="AJ452" s="236"/>
      <c r="AK452" s="236"/>
      <c r="AL452" s="236"/>
      <c r="AM452" s="236"/>
      <c r="AN452" s="236"/>
      <c r="AO452" s="236"/>
      <c r="AP452" s="236"/>
      <c r="AQ452" s="236"/>
      <c r="AR452" s="236"/>
      <c r="AS452" s="236"/>
      <c r="AT452" s="236"/>
      <c r="AU452" s="236"/>
      <c r="AV452" s="236"/>
      <c r="AW452" s="236"/>
      <c r="AX452" s="236"/>
      <c r="AY452" s="236"/>
      <c r="AZ452" s="236"/>
      <c r="BA452" s="236"/>
      <c r="BB452" s="236"/>
      <c r="BC452" s="236"/>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73">
        <f>Asset30</f>
        <v>0</v>
      </c>
      <c r="D453" s="162"/>
      <c r="E453" s="32" t="s">
        <v>5</v>
      </c>
      <c r="F453" s="31"/>
      <c r="G453" s="181"/>
      <c r="H453" s="72">
        <f>IF(H$3&gt;A30remlife,A30value-$G$659-SUM($G453:G453),IF(A30remlife="N/A","n/a",(A30value-$G$659)/A30remlife))</f>
        <v>0</v>
      </c>
      <c r="I453" s="72">
        <f>IF(I$3&gt;A30remlife,A30value-$G$659-SUM($G453:H453),IF(A30remlife="N/A","n/a",(A30value-$G$659)/A30remlife))</f>
        <v>0</v>
      </c>
      <c r="J453" s="72">
        <f>IF(J$3&gt;A30remlife,A30value-$G$659-SUM($G453:I453),IF(A30remlife="N/A","n/a",(A30value-$G$659)/A30remlife))</f>
        <v>0</v>
      </c>
      <c r="K453" s="72">
        <f>IF(K$3&gt;A30remlife,A30value-$G$659-SUM($G453:J453),IF(A30remlife="N/A","n/a",(A30value-$G$659)/A30remlife))</f>
        <v>0</v>
      </c>
      <c r="L453" s="72">
        <f>IF(L$3&gt;A30remlife,A30value-$G$659-SUM($G453:K453),IF(A30remlife="N/A","n/a",(A30value-$G$659)/A30remlife))</f>
        <v>0</v>
      </c>
      <c r="M453" s="72">
        <f>IF(M$3&gt;A30remlife,A30value-$G$659-SUM($G453:L453),IF(A30remlife="N/A","n/a",(A30value-$G$659)/A30remlife))</f>
        <v>0</v>
      </c>
      <c r="N453" s="72">
        <f>IF(N$3&gt;A30remlife,A30value-$G$659-SUM($G453:M453),IF(A30remlife="N/A","n/a",(A30value-$G$659)/A30remlife))</f>
        <v>0</v>
      </c>
      <c r="O453" s="72">
        <f>IF(O$3&gt;A30remlife,A30value-$G$659-SUM($G453:N453),IF(A30remlife="N/A","n/a",(A30value-$G$659)/A30remlife))</f>
        <v>0</v>
      </c>
      <c r="P453" s="72">
        <f>IF(P$3&gt;A30remlife,A30value-$G$659-SUM($G453:O453),IF(A30remlife="N/A","n/a",(A30value-$G$659)/A30remlife))</f>
        <v>0</v>
      </c>
      <c r="Q453" s="72">
        <f>IF(Q$3&gt;A30remlife,A30value-$G$659-SUM($G453:P453),IF(A30remlife="N/A","n/a",(A30value-$G$659)/A30remlife))</f>
        <v>0</v>
      </c>
      <c r="R453" s="72"/>
      <c r="S453" s="107"/>
      <c r="T453" s="107"/>
      <c r="U453" s="107"/>
      <c r="V453" s="107"/>
      <c r="W453" s="107"/>
      <c r="X453" s="107"/>
      <c r="Y453" s="107"/>
      <c r="Z453" s="107"/>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6"/>
      <c r="E454" s="536" t="s">
        <v>59</v>
      </c>
      <c r="F454" s="91"/>
      <c r="G454" s="125"/>
      <c r="H454" s="73"/>
      <c r="I454" s="73"/>
      <c r="J454" s="73"/>
      <c r="K454" s="73"/>
      <c r="L454" s="73"/>
      <c r="M454" s="164"/>
      <c r="N454" s="116"/>
      <c r="O454" s="73"/>
      <c r="P454" s="73"/>
      <c r="Q454" s="73"/>
      <c r="R454" s="73"/>
      <c r="S454" s="107"/>
      <c r="T454" s="107"/>
      <c r="U454" s="107"/>
      <c r="V454" s="107"/>
      <c r="W454" s="107"/>
      <c r="X454" s="107"/>
      <c r="Y454" s="107"/>
      <c r="Z454" s="107"/>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6"/>
      <c r="E455" s="537"/>
      <c r="F455" s="91">
        <v>1</v>
      </c>
      <c r="G455" s="125"/>
      <c r="H455" s="149"/>
      <c r="I455" s="73">
        <f>IF(A30stdlife="n/a","n/a",IF(I$3&gt;(A30stdlife+$F455),(Input!$H$308*(1+vanilla1)^0.5)-SUM($H455:H455),(Input!$H$308*(1+vanilla1)^0.5)/A30stdlife))</f>
        <v>0</v>
      </c>
      <c r="J455" s="73">
        <f>IF(A30stdlife="n/a","n/a",IF(J$3&gt;(A30stdlife+$F455),(Input!$H$308*(1+vanilla1)^0.5)-SUM($H455:I455),(Input!$H$308*(1+vanilla1)^0.5)/A30stdlife))</f>
        <v>0</v>
      </c>
      <c r="K455" s="73">
        <f>IF(A30stdlife="n/a","n/a",IF(K$3&gt;(A30stdlife+$F455),(Input!$H$308*(1+vanilla1)^0.5)-SUM($H455:J455),(Input!$H$308*(1+vanilla1)^0.5)/A30stdlife))</f>
        <v>0</v>
      </c>
      <c r="L455" s="73">
        <f>IF(A30stdlife="n/a","n/a",IF(L$3&gt;(A30stdlife+$F455),(Input!$H$308*(1+vanilla1)^0.5)-SUM($H455:K455),(Input!$H$308*(1+vanilla1)^0.5)/A30stdlife))</f>
        <v>0</v>
      </c>
      <c r="M455" s="73">
        <f>IF(A30stdlife="n/a","n/a",IF(M$3&gt;(A30stdlife+$F455),(Input!$H$308*(1+vanilla1)^0.5)-SUM($H455:L455),(Input!$H$308*(1+vanilla1)^0.5)/A30stdlife))</f>
        <v>0</v>
      </c>
      <c r="N455" s="73">
        <f>IF(A30stdlife="n/a","n/a",IF(N$3&gt;(A30stdlife+$F455),(Input!$H$308*(1+vanilla1)^0.5)-SUM($H455:M455),(Input!$H$308*(1+vanilla1)^0.5)/A30stdlife))</f>
        <v>0</v>
      </c>
      <c r="O455" s="73">
        <f>IF(A30stdlife="n/a","n/a",IF(O$3&gt;(A30stdlife+$F455),(Input!$H$308*(1+vanilla1)^0.5)-SUM($H455:N455),(Input!$H$308*(1+vanilla1)^0.5)/A30stdlife))</f>
        <v>0</v>
      </c>
      <c r="P455" s="73">
        <f>IF(A30stdlife="n/a","n/a",IF(P$3&gt;(A30stdlife+$F455),(Input!$H$308*(1+vanilla1)^0.5)-SUM($H455:O455),(Input!$H$308*(1+vanilla1)^0.5)/A30stdlife))</f>
        <v>0</v>
      </c>
      <c r="Q455" s="73">
        <f>IF(A30stdlife="n/a","n/a",IF(Q$3&gt;(A30stdlife+$F455),(Input!$H$308*(1+vanilla1)^0.5)-SUM($H455:P455),(Input!$H$308*(1+vanilla1)^0.5)/A30stdlife))</f>
        <v>0</v>
      </c>
      <c r="R455" s="73"/>
      <c r="S455" s="107"/>
      <c r="T455" s="107"/>
      <c r="U455" s="107"/>
      <c r="V455" s="107"/>
      <c r="W455" s="107"/>
      <c r="X455" s="107"/>
      <c r="Y455" s="107"/>
      <c r="Z455" s="107"/>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6"/>
      <c r="E456" s="537"/>
      <c r="F456" s="91">
        <v>2</v>
      </c>
      <c r="G456" s="125"/>
      <c r="H456" s="150"/>
      <c r="I456" s="151"/>
      <c r="J456" s="73">
        <f>IF(A30stdlife="n/a","n/a",IF(J$3&gt;(A30stdlife+$F456),(Input!$I$308*(1+vanilla2)^0.5)-SUM($I456:I456),(Input!$I$308*(1+vanilla2)^0.5)/A30stdlife))</f>
        <v>0</v>
      </c>
      <c r="K456" s="73">
        <f>IF(A30stdlife="n/a","n/a",IF(K$3&gt;(A30stdlife+$F456),(Input!$I$308*(1+vanilla2)^0.5)-SUM($I456:J456),(Input!$I$308*(1+vanilla2)^0.5)/A30stdlife))</f>
        <v>0</v>
      </c>
      <c r="L456" s="73">
        <f>IF(A30stdlife="n/a","n/a",IF(L$3&gt;(A30stdlife+$F456),(Input!$I$308*(1+vanilla2)^0.5)-SUM($I456:K456),(Input!$I$308*(1+vanilla2)^0.5)/A30stdlife))</f>
        <v>0</v>
      </c>
      <c r="M456" s="73">
        <f>IF(A30stdlife="n/a","n/a",IF(M$3&gt;(A30stdlife+$F456),(Input!$I$308*(1+vanilla2)^0.5)-SUM($I456:L456),(Input!$I$308*(1+vanilla2)^0.5)/A30stdlife))</f>
        <v>0</v>
      </c>
      <c r="N456" s="73">
        <f>IF(A30stdlife="n/a","n/a",IF(N$3&gt;(A30stdlife+$F456),(Input!$I$308*(1+vanilla2)^0.5)-SUM($I456:M456),(Input!$I$308*(1+vanilla2)^0.5)/A30stdlife))</f>
        <v>0</v>
      </c>
      <c r="O456" s="73">
        <f>IF(A30stdlife="n/a","n/a",IF(O$3&gt;(A30stdlife+$F456),(Input!$I$308*(1+vanilla2)^0.5)-SUM($I456:N456),(Input!$I$308*(1+vanilla2)^0.5)/A30stdlife))</f>
        <v>0</v>
      </c>
      <c r="P456" s="73">
        <f>IF(A30stdlife="n/a","n/a",IF(P$3&gt;(A30stdlife+$F456),(Input!$I$308*(1+vanilla2)^0.5)-SUM($I456:O456),(Input!$I$308*(1+vanilla2)^0.5)/A30stdlife))</f>
        <v>0</v>
      </c>
      <c r="Q456" s="73">
        <f>IF(A30stdlife="n/a","n/a",IF(Q$3&gt;(A30stdlife+$F456),(Input!$I$308*(1+vanilla2)^0.5)-SUM($I456:P456),(Input!$I$308*(1+vanilla2)^0.5)/A30stdlife))</f>
        <v>0</v>
      </c>
      <c r="R456" s="73"/>
      <c r="S456" s="107"/>
      <c r="T456" s="107"/>
      <c r="U456" s="107"/>
      <c r="V456" s="107"/>
      <c r="W456" s="107"/>
      <c r="X456" s="107"/>
      <c r="Y456" s="107"/>
      <c r="Z456" s="107"/>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6"/>
      <c r="E457" s="537"/>
      <c r="F457" s="91">
        <v>3</v>
      </c>
      <c r="G457" s="125"/>
      <c r="H457" s="150"/>
      <c r="I457" s="152"/>
      <c r="J457" s="151"/>
      <c r="K457" s="73">
        <f>IF(A30stdlife="n/a","n/a",IF(K$3&gt;(A30stdlife+$F457),(Input!$J$308*(1+vanilla3)^0.5)-SUM($J457:J457),(Input!$J$308*(1+vanilla3)^0.5)/A30stdlife))</f>
        <v>0</v>
      </c>
      <c r="L457" s="73">
        <f>IF(A30stdlife="n/a","n/a",IF(L$3&gt;(A30stdlife+$F457),(Input!$J$308*(1+vanilla3)^0.5)-SUM($J457:K457),(Input!$J$308*(1+vanilla3)^0.5)/A30stdlife))</f>
        <v>0</v>
      </c>
      <c r="M457" s="73">
        <f>IF(A30stdlife="n/a","n/a",IF(M$3&gt;(A30stdlife+$F457),(Input!$J$308*(1+vanilla3)^0.5)-SUM($J457:L457),(Input!$J$308*(1+vanilla3)^0.5)/A30stdlife))</f>
        <v>0</v>
      </c>
      <c r="N457" s="73">
        <f>IF(A30stdlife="n/a","n/a",IF(N$3&gt;(A30stdlife+$F457),(Input!$J$308*(1+vanilla3)^0.5)-SUM($J457:M457),(Input!$J$308*(1+vanilla3)^0.5)/A30stdlife))</f>
        <v>0</v>
      </c>
      <c r="O457" s="73">
        <f>IF(A30stdlife="n/a","n/a",IF(O$3&gt;(A30stdlife+$F457),(Input!$J$308*(1+vanilla3)^0.5)-SUM($J457:N457),(Input!$J$308*(1+vanilla3)^0.5)/A30stdlife))</f>
        <v>0</v>
      </c>
      <c r="P457" s="73">
        <f>IF(A30stdlife="n/a","n/a",IF(P$3&gt;(A30stdlife+$F457),(Input!$J$308*(1+vanilla3)^0.5)-SUM($J457:O457),(Input!$J$308*(1+vanilla3)^0.5)/A30stdlife))</f>
        <v>0</v>
      </c>
      <c r="Q457" s="73">
        <f>IF(A30stdlife="n/a","n/a",IF(Q$3&gt;(A30stdlife+$F457),(Input!$J$308*(1+vanilla3)^0.5)-SUM($J457:P457),(Input!$J$308*(1+vanilla3)^0.5)/A30stdlife))</f>
        <v>0</v>
      </c>
      <c r="R457" s="73"/>
      <c r="S457" s="107"/>
      <c r="T457" s="107"/>
      <c r="U457" s="107"/>
      <c r="V457" s="107"/>
      <c r="W457" s="107"/>
      <c r="X457" s="107"/>
      <c r="Y457" s="107"/>
      <c r="Z457" s="107"/>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6"/>
      <c r="E458" s="537"/>
      <c r="F458" s="91">
        <v>4</v>
      </c>
      <c r="G458" s="125"/>
      <c r="H458" s="150"/>
      <c r="I458" s="152"/>
      <c r="J458" s="152"/>
      <c r="K458" s="151"/>
      <c r="L458" s="73">
        <f>IF(A30stdlife="n/a","n/a",IF(L$3&gt;(A30stdlife+$F458),(Input!$K$308*(1+vanilla4)^0.5)-SUM($K458:K458),(Input!$K$308*(1+vanilla4)^0.5)/A30stdlife))</f>
        <v>0</v>
      </c>
      <c r="M458" s="73">
        <f>IF(A30stdlife="n/a","n/a",IF(M$3&gt;(A30stdlife+$F458),(Input!$K$308*(1+vanilla4)^0.5)-SUM($K458:L458),(Input!$K$308*(1+vanilla4)^0.5)/A30stdlife))</f>
        <v>0</v>
      </c>
      <c r="N458" s="73">
        <f>IF(A30stdlife="n/a","n/a",IF(N$3&gt;(A30stdlife+$F458),(Input!$K$308*(1+vanilla4)^0.5)-SUM($K458:M458),(Input!$K$308*(1+vanilla4)^0.5)/A30stdlife))</f>
        <v>0</v>
      </c>
      <c r="O458" s="73">
        <f>IF(A30stdlife="n/a","n/a",IF(O$3&gt;(A30stdlife+$F458),(Input!$K$308*(1+vanilla4)^0.5)-SUM($K458:N458),(Input!$K$308*(1+vanilla4)^0.5)/A30stdlife))</f>
        <v>0</v>
      </c>
      <c r="P458" s="73">
        <f>IF(A30stdlife="n/a","n/a",IF(P$3&gt;(A30stdlife+$F458),(Input!$K$308*(1+vanilla4)^0.5)-SUM($K458:O458),(Input!$K$308*(1+vanilla4)^0.5)/A30stdlife))</f>
        <v>0</v>
      </c>
      <c r="Q458" s="73">
        <f>IF(A30stdlife="n/a","n/a",IF(Q$3&gt;(A30stdlife+$F458),(Input!$K$308*(1+vanilla4)^0.5)-SUM($K458:P458),(Input!$K$308*(1+vanilla4)^0.5)/A30stdlife))</f>
        <v>0</v>
      </c>
      <c r="R458" s="73"/>
      <c r="S458" s="107"/>
      <c r="T458" s="107"/>
      <c r="U458" s="107"/>
      <c r="V458" s="107"/>
      <c r="W458" s="107"/>
      <c r="X458" s="107"/>
      <c r="Y458" s="107"/>
      <c r="Z458" s="107"/>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6"/>
      <c r="E459" s="537"/>
      <c r="F459" s="91">
        <v>5</v>
      </c>
      <c r="G459" s="27"/>
      <c r="H459" s="150"/>
      <c r="I459" s="152"/>
      <c r="J459" s="152"/>
      <c r="K459" s="152"/>
      <c r="L459" s="151"/>
      <c r="M459" s="73">
        <f>IF(A30stdlife="n/a","n/a",IF(M$3&gt;(A30stdlife+$F459),(Input!$L$308*(1+vanilla5)^0.5)-SUM($L459:L459),(Input!$L$308*(1+vanilla5)^0.5)/A30stdlife))</f>
        <v>0</v>
      </c>
      <c r="N459" s="73">
        <f>IF(A30stdlife="n/a","n/a",IF(N$3&gt;(A30stdlife+$F459),(Input!$L$308*(1+vanilla5)^0.5)-SUM($L459:M459),(Input!$L$308*(1+vanilla5)^0.5)/A30stdlife))</f>
        <v>0</v>
      </c>
      <c r="O459" s="73">
        <f>IF(A30stdlife="n/a","n/a",IF(O$3&gt;(A30stdlife+$F459),(Input!$L$308*(1+vanilla5)^0.5)-SUM($L459:N459),(Input!$L$308*(1+vanilla5)^0.5)/A30stdlife))</f>
        <v>0</v>
      </c>
      <c r="P459" s="73">
        <f>IF(A30stdlife="n/a","n/a",IF(P$3&gt;(A30stdlife+$F459),(Input!$L$308*(1+vanilla5)^0.5)-SUM($L459:O459),(Input!$L$308*(1+vanilla5)^0.5)/A30stdlife))</f>
        <v>0</v>
      </c>
      <c r="Q459" s="73">
        <f>IF(A30stdlife="n/a","n/a",IF(Q$3&gt;(A30stdlife+$F459),(Input!$L$308*(1+vanilla5)^0.5)-SUM($L459:P459),(Input!$L$308*(1+vanilla5)^0.5)/A30stdlife))</f>
        <v>0</v>
      </c>
      <c r="R459" s="73"/>
      <c r="S459" s="107"/>
      <c r="T459" s="107"/>
      <c r="U459" s="107"/>
      <c r="V459" s="107"/>
      <c r="W459" s="107"/>
      <c r="X459" s="107"/>
      <c r="Y459" s="107"/>
      <c r="Z459" s="107"/>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6"/>
      <c r="E460" s="537"/>
      <c r="F460" s="91">
        <v>6</v>
      </c>
      <c r="G460" s="27"/>
      <c r="H460" s="150"/>
      <c r="I460" s="152"/>
      <c r="J460" s="152"/>
      <c r="K460" s="152"/>
      <c r="L460" s="152"/>
      <c r="M460" s="151"/>
      <c r="N460" s="73">
        <f>IF(A30stdlife="n/a","n/a",IF(N$3&gt;(A30stdlife+$F460),(Input!$M$308*(1+vanilla6)^0.5)-SUM($M460:M460),(Input!$M$308*(1+vanilla6)^0.5)/A30stdlife))</f>
        <v>0</v>
      </c>
      <c r="O460" s="73">
        <f>IF(A30stdlife="n/a","n/a",IF(O$3&gt;(A30stdlife+$F460),(Input!$M$308*(1+vanilla6)^0.5)-SUM($M460:N460),(Input!$M$308*(1+vanilla6)^0.5)/A30stdlife))</f>
        <v>0</v>
      </c>
      <c r="P460" s="73">
        <f>IF(A30stdlife="n/a","n/a",IF(P$3&gt;(A30stdlife+$F460),(Input!$M$308*(1+vanilla6)^0.5)-SUM($M460:O460),(Input!$M$308*(1+vanilla6)^0.5)/A30stdlife))</f>
        <v>0</v>
      </c>
      <c r="Q460" s="73">
        <f>IF(A30stdlife="n/a","n/a",IF(Q$3&gt;(A30stdlife+$F460),(Input!$M$308*(1+vanilla6)^0.5)-SUM($M460:P460),(Input!$M$308*(1+vanilla6)^0.5)/A30stdlife))</f>
        <v>0</v>
      </c>
      <c r="R460" s="73"/>
      <c r="S460" s="107"/>
      <c r="T460" s="107"/>
      <c r="U460" s="107"/>
      <c r="V460" s="107"/>
      <c r="W460" s="107"/>
      <c r="X460" s="107"/>
      <c r="Y460" s="107"/>
      <c r="Z460" s="107"/>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6"/>
      <c r="E461" s="537"/>
      <c r="F461" s="91">
        <v>7</v>
      </c>
      <c r="G461" s="27"/>
      <c r="H461" s="150"/>
      <c r="I461" s="152"/>
      <c r="J461" s="152"/>
      <c r="K461" s="152"/>
      <c r="L461" s="152"/>
      <c r="M461" s="152"/>
      <c r="N461" s="151"/>
      <c r="O461" s="73">
        <f>IF(A30stdlife="n/a","n/a",IF(O$3&gt;(A30stdlife+$F461),(Input!N$308*(1+vanilla7)^0.5)-SUM($N461:N461),(Input!$N$308*(1+vanilla7)^0.5)/A30stdlife))</f>
        <v>0</v>
      </c>
      <c r="P461" s="73">
        <f>IF(A30stdlife="n/a","n/a",IF(P$3&gt;(A30stdlife+$F461),(Input!O$308*(1+vanilla7)^0.5)-SUM($N461:O461),(Input!$N$308*(1+vanilla7)^0.5)/A30stdlife))</f>
        <v>0</v>
      </c>
      <c r="Q461" s="73">
        <f>IF(A30stdlife="n/a","n/a",IF(Q$3&gt;(A30stdlife+$F461),(Input!P$308*(1+vanilla7)^0.5)-SUM($N461:P461),(Input!$N$308*(1+vanilla7)^0.5)/A30stdlife))</f>
        <v>0</v>
      </c>
      <c r="R461" s="73"/>
      <c r="S461" s="107"/>
      <c r="T461" s="107"/>
      <c r="U461" s="107"/>
      <c r="V461" s="107"/>
      <c r="W461" s="107"/>
      <c r="X461" s="107"/>
      <c r="Y461" s="107"/>
      <c r="Z461" s="107"/>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6"/>
      <c r="E462" s="537"/>
      <c r="F462" s="91">
        <v>8</v>
      </c>
      <c r="G462" s="27"/>
      <c r="H462" s="150"/>
      <c r="I462" s="152"/>
      <c r="J462" s="152"/>
      <c r="K462" s="152"/>
      <c r="L462" s="152"/>
      <c r="M462" s="152"/>
      <c r="N462" s="152"/>
      <c r="O462" s="151"/>
      <c r="P462" s="73">
        <f>IF(A30stdlife="n/a","n/a",IF(P$3&gt;(A30stdlife+$F462),(Input!$O$308*(1+vanilla8)^0.5)-SUM($O462:O462),(Input!$O$308*(1+vanilla8)^0.5)/A30stdlife))</f>
        <v>0</v>
      </c>
      <c r="Q462" s="73">
        <f>IF(A30stdlife="n/a","n/a",IF(Q$3&gt;(A30stdlife+$F462),(Input!$O$308*(1+vanilla8)^0.5)-SUM($O462:P462),(Input!$O$308*(1+vanilla8)^0.5)/A30stdlife))</f>
        <v>0</v>
      </c>
      <c r="R462" s="73"/>
      <c r="S462" s="107"/>
      <c r="T462" s="107"/>
      <c r="U462" s="107"/>
      <c r="V462" s="107"/>
      <c r="W462" s="107"/>
      <c r="X462" s="107"/>
      <c r="Y462" s="107"/>
      <c r="Z462" s="107"/>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6"/>
      <c r="E463" s="537"/>
      <c r="F463" s="91">
        <v>9</v>
      </c>
      <c r="G463" s="27"/>
      <c r="H463" s="150"/>
      <c r="I463" s="152"/>
      <c r="J463" s="152"/>
      <c r="K463" s="152"/>
      <c r="L463" s="152"/>
      <c r="M463" s="152"/>
      <c r="N463" s="152"/>
      <c r="O463" s="152"/>
      <c r="P463" s="151"/>
      <c r="Q463" s="73">
        <f>IF(A30stdlife="n/a","n/a",IF(Q$3&gt;(A30stdlife+$F463),(Input!$P$308*(1+vanilla9)^0.5)-SUM($P463:P463),(Input!$P$308*(1+vanilla9)^0.5)/A30stdlife))</f>
        <v>0</v>
      </c>
      <c r="R463" s="73"/>
      <c r="S463" s="107"/>
      <c r="T463" s="107"/>
      <c r="U463" s="107"/>
      <c r="V463" s="107"/>
      <c r="W463" s="107"/>
      <c r="X463" s="107"/>
      <c r="Y463" s="107"/>
      <c r="Z463" s="107"/>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6"/>
      <c r="E464" s="537"/>
      <c r="F464" s="92">
        <v>10</v>
      </c>
      <c r="G464" s="27"/>
      <c r="H464" s="150"/>
      <c r="I464" s="152"/>
      <c r="J464" s="152"/>
      <c r="K464" s="152"/>
      <c r="L464" s="152"/>
      <c r="M464" s="152"/>
      <c r="N464" s="152"/>
      <c r="O464" s="152"/>
      <c r="P464" s="152"/>
      <c r="Q464" s="151"/>
      <c r="R464" s="73"/>
      <c r="S464" s="107"/>
      <c r="T464" s="107"/>
      <c r="U464" s="107"/>
      <c r="V464" s="107"/>
      <c r="W464" s="107"/>
      <c r="X464" s="107"/>
      <c r="Y464" s="107"/>
      <c r="Z464" s="107"/>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9"/>
      <c r="D465" s="272">
        <f>Asset30</f>
        <v>0</v>
      </c>
      <c r="E465" s="9"/>
      <c r="F465" s="9"/>
      <c r="G465" s="125"/>
      <c r="H465" s="166">
        <f>-SUM(H453:H464)</f>
        <v>0</v>
      </c>
      <c r="I465" s="166">
        <f>-SUM(I453:I464)</f>
        <v>0</v>
      </c>
      <c r="J465" s="166">
        <f>-SUM(J453:J464)</f>
        <v>0</v>
      </c>
      <c r="K465" s="166">
        <f>-SUM(K453:K464)</f>
        <v>0</v>
      </c>
      <c r="L465" s="166">
        <f>-SUM(L453:L464)</f>
        <v>0</v>
      </c>
      <c r="M465" s="73">
        <f>IF(COUNT($H465:L465)&gt;=Input!$Y$7,0, -SUM(M453:M464))</f>
        <v>0</v>
      </c>
      <c r="N465" s="73">
        <f>IF(COUNT($H465:M465)&gt;=Input!$Y$7,0, -SUM(N453:N464))</f>
        <v>0</v>
      </c>
      <c r="O465" s="73">
        <f>IF(COUNT($H465:N465)&gt;=Input!$Y$7,0, -SUM(O453:O464))</f>
        <v>0</v>
      </c>
      <c r="P465" s="73">
        <f>IF(COUNT($H465:O465)&gt;=Input!$Y$7,0, -SUM(P453:P464))</f>
        <v>0</v>
      </c>
      <c r="Q465" s="73">
        <f>IF(COUNT($H465:P465)&gt;=Input!$Y$7,0, -SUM(Q453:Q464))</f>
        <v>0</v>
      </c>
      <c r="R465" s="71"/>
      <c r="S465" s="109"/>
      <c r="T465" s="109"/>
      <c r="U465" s="109"/>
      <c r="V465" s="109"/>
      <c r="W465" s="109"/>
      <c r="X465" s="109"/>
      <c r="Y465" s="109"/>
      <c r="Z465" s="109"/>
      <c r="AA465" s="236"/>
      <c r="AB465" s="236"/>
      <c r="AC465" s="236"/>
      <c r="AD465" s="236"/>
      <c r="AE465" s="236"/>
      <c r="AF465" s="236"/>
      <c r="AG465" s="236"/>
      <c r="AH465" s="236"/>
      <c r="AI465" s="236"/>
      <c r="AJ465" s="236"/>
      <c r="AK465" s="236"/>
      <c r="AL465" s="236"/>
      <c r="AM465" s="236"/>
      <c r="AN465" s="236"/>
      <c r="AO465" s="236"/>
      <c r="AP465" s="236"/>
      <c r="AQ465" s="236"/>
      <c r="AR465" s="236"/>
      <c r="AS465" s="236"/>
      <c r="AT465" s="236"/>
      <c r="AU465" s="236"/>
      <c r="AV465" s="236"/>
      <c r="AW465" s="236"/>
      <c r="AX465" s="236"/>
      <c r="AY465" s="236"/>
      <c r="AZ465" s="236"/>
      <c r="BA465" s="236"/>
      <c r="BB465" s="236"/>
      <c r="BC465" s="236"/>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201"/>
    </row>
    <row r="467" spans="1:256">
      <c r="A467" s="78"/>
      <c r="B467" s="78"/>
      <c r="C467" s="85" t="s">
        <v>73</v>
      </c>
      <c r="D467" s="78"/>
      <c r="E467" s="78"/>
      <c r="F467" s="78"/>
      <c r="G467" s="88"/>
      <c r="H467" s="121"/>
      <c r="I467" s="121"/>
      <c r="J467" s="121"/>
      <c r="K467" s="121"/>
      <c r="L467" s="121"/>
      <c r="M467" s="121"/>
      <c r="N467" s="89"/>
      <c r="O467" s="89"/>
      <c r="P467" s="89"/>
      <c r="Q467" s="89"/>
      <c r="R467" s="89"/>
      <c r="S467" s="89"/>
      <c r="T467" s="110"/>
      <c r="U467" s="110"/>
      <c r="V467" s="110"/>
      <c r="W467" s="110"/>
      <c r="X467" s="110"/>
      <c r="Y467" s="110"/>
      <c r="Z467" s="110"/>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110"/>
      <c r="BE467" s="110"/>
      <c r="BF467" s="110"/>
      <c r="BG467" s="110"/>
      <c r="BH467" s="110"/>
      <c r="BI467" s="110"/>
      <c r="BJ467" s="110"/>
      <c r="BK467" s="12"/>
      <c r="BL467" s="12"/>
    </row>
    <row r="468" spans="1:256">
      <c r="A468" s="9"/>
      <c r="B468" s="12"/>
      <c r="C468" s="17"/>
      <c r="D468" s="12"/>
      <c r="E468" s="12"/>
      <c r="F468" s="12"/>
      <c r="G468" s="118"/>
      <c r="H468" s="122"/>
      <c r="I468" s="122"/>
      <c r="J468" s="122"/>
      <c r="K468" s="122"/>
      <c r="L468" s="122"/>
      <c r="M468" s="122"/>
      <c r="N468" s="110"/>
      <c r="O468" s="110"/>
      <c r="P468" s="110"/>
      <c r="Q468" s="110"/>
      <c r="R468" s="110"/>
      <c r="S468" s="110"/>
      <c r="T468" s="110"/>
      <c r="U468" s="110"/>
      <c r="V468" s="110"/>
      <c r="W468" s="110"/>
      <c r="X468" s="110"/>
      <c r="Y468" s="110"/>
      <c r="Z468" s="110"/>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110"/>
      <c r="BE468" s="110"/>
      <c r="BF468" s="110"/>
      <c r="BG468" s="110"/>
      <c r="BH468" s="110"/>
      <c r="BI468" s="110"/>
      <c r="BJ468" s="110"/>
      <c r="BK468" s="12"/>
      <c r="BL468" s="12"/>
    </row>
    <row r="469" spans="1:256">
      <c r="A469" s="9"/>
      <c r="B469" s="9"/>
      <c r="C469" s="44" t="s">
        <v>63</v>
      </c>
      <c r="D469" s="9"/>
      <c r="E469" s="9"/>
      <c r="F469" s="9"/>
      <c r="G469" s="311">
        <f>SUM(G470:G499)</f>
        <v>1879.9814438209928</v>
      </c>
      <c r="H469" s="471">
        <f>SUM(H470:H499)</f>
        <v>2093.4385480310939</v>
      </c>
      <c r="I469" s="312">
        <f t="shared" ref="I469:Q469" si="4">SUM(I470:I499)</f>
        <v>2278.2609074570819</v>
      </c>
      <c r="J469" s="312">
        <f t="shared" si="4"/>
        <v>2563.010391265866</v>
      </c>
      <c r="K469" s="312">
        <f t="shared" si="4"/>
        <v>2858.9454715868251</v>
      </c>
      <c r="L469" s="312">
        <f t="shared" si="4"/>
        <v>3180.3896560995681</v>
      </c>
      <c r="M469" s="312">
        <f t="shared" si="4"/>
        <v>3473.524989544037</v>
      </c>
      <c r="N469" s="312">
        <f t="shared" si="4"/>
        <v>0</v>
      </c>
      <c r="O469" s="312">
        <f t="shared" si="4"/>
        <v>0</v>
      </c>
      <c r="P469" s="312">
        <f t="shared" si="4"/>
        <v>0</v>
      </c>
      <c r="Q469" s="312">
        <f t="shared" si="4"/>
        <v>0</v>
      </c>
      <c r="R469" s="312">
        <f>SUM(R470:R499)</f>
        <v>0</v>
      </c>
      <c r="S469" s="103"/>
      <c r="T469" s="103"/>
      <c r="U469" s="103"/>
      <c r="V469" s="103"/>
      <c r="W469" s="103"/>
      <c r="X469" s="103"/>
      <c r="Y469" s="103"/>
      <c r="Z469" s="10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103"/>
      <c r="BE469" s="103"/>
      <c r="BF469" s="103"/>
      <c r="BG469" s="103"/>
      <c r="BH469" s="103"/>
      <c r="BI469" s="103"/>
      <c r="BJ469" s="103"/>
      <c r="BK469" s="12"/>
      <c r="BL469" s="12"/>
    </row>
    <row r="470" spans="1:256" hidden="1" outlineLevel="1">
      <c r="A470" s="9"/>
      <c r="B470" s="9"/>
      <c r="C470" s="9"/>
      <c r="D470" s="271" t="str">
        <f>Asset1</f>
        <v>Subtransmission</v>
      </c>
      <c r="E470" s="9"/>
      <c r="F470" s="9"/>
      <c r="G470" s="204">
        <f>Input!J7</f>
        <v>221.08167189144211</v>
      </c>
      <c r="H470" s="334">
        <f t="shared" ref="H470" si="5">G470+G502+G534+G566+G598+G630+G662</f>
        <v>201.86232986351726</v>
      </c>
      <c r="I470" s="334">
        <f>H470+H502+H534</f>
        <v>223.75378048883468</v>
      </c>
      <c r="J470" s="334">
        <f t="shared" ref="J470:M470" si="6">I470+I502+I534</f>
        <v>270.18518567823617</v>
      </c>
      <c r="K470" s="334">
        <f t="shared" si="6"/>
        <v>333.22360899693331</v>
      </c>
      <c r="L470" s="334">
        <f t="shared" si="6"/>
        <v>395.67376420819033</v>
      </c>
      <c r="M470" s="334">
        <f t="shared" si="6"/>
        <v>458.13873531134919</v>
      </c>
      <c r="N470" s="115">
        <f>IF(COUNT($H470:M470)&gt;Input!$Y$7,0, M470+M502+M534)</f>
        <v>0</v>
      </c>
      <c r="O470" s="115">
        <f>IF(COUNT($H470:N470)&gt;Input!$Y$7,0, N470+N502+N534)</f>
        <v>0</v>
      </c>
      <c r="P470" s="115">
        <f>IF(COUNT($H470:O470)&gt;Input!$Y$7,0, O470+O502+O534)</f>
        <v>0</v>
      </c>
      <c r="Q470" s="115">
        <f>IF(COUNT($H470:P470)&gt;Input!$Y$7,0, P470+P502+P534)</f>
        <v>0</v>
      </c>
      <c r="R470" s="115">
        <f>IF(COUNT($H470:Q470)&gt;Input!$Y$7,0, Q470+Q502+Q534)</f>
        <v>0</v>
      </c>
      <c r="S470" s="9"/>
      <c r="T470" s="9"/>
      <c r="U470" s="9"/>
      <c r="V470" s="9"/>
      <c r="W470" s="9"/>
      <c r="X470" s="9"/>
      <c r="Y470" s="9"/>
      <c r="Z470" s="9"/>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9"/>
      <c r="BE470" s="9"/>
      <c r="BF470" s="9"/>
      <c r="BG470" s="9"/>
      <c r="BH470" s="9"/>
      <c r="BI470" s="9"/>
      <c r="BJ470" s="9"/>
      <c r="BK470" s="9"/>
      <c r="BL470" s="9"/>
    </row>
    <row r="471" spans="1:256" hidden="1" outlineLevel="1">
      <c r="A471" s="9"/>
      <c r="B471" s="9"/>
      <c r="C471" s="44"/>
      <c r="D471" s="271" t="str">
        <f>Asset2</f>
        <v>Distribution system assets</v>
      </c>
      <c r="E471" s="9"/>
      <c r="F471" s="9"/>
      <c r="G471" s="204">
        <f>Input!J8</f>
        <v>1560.2007896223902</v>
      </c>
      <c r="H471" s="334">
        <f t="shared" ref="H471:H499" si="7">G471+G503+G535+G567+G599+G631+G663</f>
        <v>1751.8018003116877</v>
      </c>
      <c r="I471" s="334">
        <f t="shared" ref="I471:M483" si="8">H471+H503+H535</f>
        <v>1932.3104445268239</v>
      </c>
      <c r="J471" s="334">
        <f t="shared" si="8"/>
        <v>2147.2896410684702</v>
      </c>
      <c r="K471" s="334">
        <f t="shared" si="8"/>
        <v>2368.6596044689627</v>
      </c>
      <c r="L471" s="334">
        <f t="shared" si="8"/>
        <v>2633.8659916484798</v>
      </c>
      <c r="M471" s="334">
        <f t="shared" si="8"/>
        <v>2880.4832228481646</v>
      </c>
      <c r="N471" s="115">
        <f>IF(COUNT($H471:M471)&gt;Input!$Y$7,0, M471+M503+M535)</f>
        <v>0</v>
      </c>
      <c r="O471" s="115">
        <f>IF(COUNT($H471:N471)&gt;Input!$Y$7,0, N471+N503+N535)</f>
        <v>0</v>
      </c>
      <c r="P471" s="115">
        <f>IF(COUNT($H471:O471)&gt;Input!$Y$7,0, O471+O503+O535)</f>
        <v>0</v>
      </c>
      <c r="Q471" s="115">
        <f>IF(COUNT($H471:P471)&gt;Input!$Y$7,0, P471+P503+P535)</f>
        <v>0</v>
      </c>
      <c r="R471" s="115">
        <f>IF(COUNT($H471:Q471)&gt;Input!$Y$7,0, Q471+Q503+Q535)</f>
        <v>0</v>
      </c>
      <c r="S471" s="104"/>
      <c r="T471" s="104"/>
      <c r="U471" s="104"/>
      <c r="V471" s="104"/>
      <c r="W471" s="104"/>
      <c r="X471" s="104"/>
      <c r="Y471" s="104"/>
      <c r="Z471" s="104"/>
      <c r="AA471" s="23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4"/>
      <c r="BE471" s="104"/>
      <c r="BF471" s="104"/>
      <c r="BG471" s="104"/>
      <c r="BH471" s="104"/>
      <c r="BI471" s="104"/>
      <c r="BJ471" s="104"/>
      <c r="BK471" s="12"/>
      <c r="BL471" s="12"/>
    </row>
    <row r="472" spans="1:256" hidden="1" outlineLevel="1">
      <c r="A472" s="9"/>
      <c r="B472" s="9"/>
      <c r="C472" s="44"/>
      <c r="D472" s="271" t="str">
        <f>Asset3</f>
        <v>Standard metering</v>
      </c>
      <c r="E472" s="9"/>
      <c r="F472" s="9"/>
      <c r="G472" s="204">
        <f>Input!J9</f>
        <v>14.291879766545669</v>
      </c>
      <c r="H472" s="334">
        <f t="shared" si="7"/>
        <v>15.790380770985777</v>
      </c>
      <c r="I472" s="334">
        <f t="shared" si="8"/>
        <v>0</v>
      </c>
      <c r="J472" s="334">
        <f t="shared" si="8"/>
        <v>0</v>
      </c>
      <c r="K472" s="334">
        <f t="shared" si="8"/>
        <v>0</v>
      </c>
      <c r="L472" s="334">
        <f t="shared" si="8"/>
        <v>0</v>
      </c>
      <c r="M472" s="334">
        <f t="shared" si="8"/>
        <v>0</v>
      </c>
      <c r="N472" s="115">
        <f>IF(COUNT($H472:M472)&gt;Input!$Y$7,0, M472+M504+M536)</f>
        <v>0</v>
      </c>
      <c r="O472" s="115">
        <f>IF(COUNT($H472:N472)&gt;Input!$Y$7,0, N472+N504+N536)</f>
        <v>0</v>
      </c>
      <c r="P472" s="115">
        <f>IF(COUNT($H472:O472)&gt;Input!$Y$7,0, O472+O504+O536)</f>
        <v>0</v>
      </c>
      <c r="Q472" s="115">
        <f>IF(COUNT($H472:P472)&gt;Input!$Y$7,0, P472+P504+P536)</f>
        <v>0</v>
      </c>
      <c r="R472" s="115">
        <f>IF(COUNT($H472:Q472)&gt;Input!$Y$7,0, Q472+Q504+Q536)</f>
        <v>0</v>
      </c>
      <c r="S472" s="104"/>
      <c r="T472" s="104"/>
      <c r="U472" s="104"/>
      <c r="V472" s="104"/>
      <c r="W472" s="104"/>
      <c r="X472" s="104"/>
      <c r="Y472" s="104"/>
      <c r="Z472" s="104"/>
      <c r="AA472" s="23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4"/>
      <c r="BE472" s="104"/>
      <c r="BF472" s="104"/>
      <c r="BG472" s="104"/>
      <c r="BH472" s="104"/>
      <c r="BI472" s="104"/>
      <c r="BJ472" s="104"/>
      <c r="BK472" s="12"/>
      <c r="BL472" s="12"/>
    </row>
    <row r="473" spans="1:256" hidden="1" outlineLevel="1">
      <c r="A473" s="9"/>
      <c r="B473" s="9"/>
      <c r="C473" s="44"/>
      <c r="D473" s="271" t="str">
        <f>Asset4</f>
        <v>Public lighting</v>
      </c>
      <c r="E473" s="9"/>
      <c r="F473" s="9"/>
      <c r="G473" s="204">
        <f>Input!J10</f>
        <v>6.9278972498934959</v>
      </c>
      <c r="H473" s="334">
        <f t="shared" si="7"/>
        <v>0.38897486718899543</v>
      </c>
      <c r="I473" s="334">
        <f t="shared" si="8"/>
        <v>0</v>
      </c>
      <c r="J473" s="334">
        <f t="shared" si="8"/>
        <v>0</v>
      </c>
      <c r="K473" s="334">
        <f t="shared" si="8"/>
        <v>0</v>
      </c>
      <c r="L473" s="334">
        <f t="shared" si="8"/>
        <v>0</v>
      </c>
      <c r="M473" s="334">
        <f t="shared" si="8"/>
        <v>0</v>
      </c>
      <c r="N473" s="115">
        <f>IF(COUNT($H473:M473)&gt;Input!$Y$7,0, M473+M505+M537)</f>
        <v>0</v>
      </c>
      <c r="O473" s="115">
        <f>IF(COUNT($H473:N473)&gt;Input!$Y$7,0, N473+N505+N537)</f>
        <v>0</v>
      </c>
      <c r="P473" s="115">
        <f>IF(COUNT($H473:O473)&gt;Input!$Y$7,0, O473+O505+O537)</f>
        <v>0</v>
      </c>
      <c r="Q473" s="115">
        <f>IF(COUNT($H473:P473)&gt;Input!$Y$7,0, P473+P505+P537)</f>
        <v>0</v>
      </c>
      <c r="R473" s="115">
        <f>IF(COUNT($H473:Q473)&gt;Input!$Y$7,0, Q473+Q505+Q537)</f>
        <v>0</v>
      </c>
      <c r="S473" s="104"/>
      <c r="T473" s="104"/>
      <c r="U473" s="104"/>
      <c r="V473" s="104"/>
      <c r="W473" s="104"/>
      <c r="X473" s="104"/>
      <c r="Y473" s="104"/>
      <c r="Z473" s="104"/>
      <c r="AA473" s="23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4"/>
      <c r="BE473" s="104"/>
      <c r="BF473" s="104"/>
      <c r="BG473" s="104"/>
      <c r="BH473" s="104"/>
      <c r="BI473" s="104"/>
      <c r="BJ473" s="104"/>
      <c r="BK473" s="12"/>
      <c r="BL473" s="12"/>
    </row>
    <row r="474" spans="1:256" hidden="1" outlineLevel="1">
      <c r="A474" s="9"/>
      <c r="B474" s="9"/>
      <c r="C474" s="44"/>
      <c r="D474" s="271" t="str">
        <f>Asset5</f>
        <v>SCADA/Network control</v>
      </c>
      <c r="E474" s="9"/>
      <c r="F474" s="9"/>
      <c r="G474" s="204">
        <f>Input!J11</f>
        <v>5.9976894044068878</v>
      </c>
      <c r="H474" s="334">
        <f t="shared" si="7"/>
        <v>1.6653345369377348E-15</v>
      </c>
      <c r="I474" s="334">
        <f t="shared" si="8"/>
        <v>1.3307440827500225</v>
      </c>
      <c r="J474" s="334">
        <f t="shared" si="8"/>
        <v>7.3256044531991531</v>
      </c>
      <c r="K474" s="334">
        <f t="shared" si="8"/>
        <v>7.9328362090936526</v>
      </c>
      <c r="L474" s="334">
        <f t="shared" si="8"/>
        <v>6.8785496287485728</v>
      </c>
      <c r="M474" s="334">
        <f t="shared" si="8"/>
        <v>7.8869050481230296</v>
      </c>
      <c r="N474" s="115">
        <f>IF(COUNT($H474:M474)&gt;Input!$Y$7,0, M474+M506+M538)</f>
        <v>0</v>
      </c>
      <c r="O474" s="115">
        <f>IF(COUNT($H474:N474)&gt;Input!$Y$7,0, N474+N506+N538)</f>
        <v>0</v>
      </c>
      <c r="P474" s="115">
        <f>IF(COUNT($H474:O474)&gt;Input!$Y$7,0, O474+O506+O538)</f>
        <v>0</v>
      </c>
      <c r="Q474" s="115">
        <f>IF(COUNT($H474:P474)&gt;Input!$Y$7,0, P474+P506+P538)</f>
        <v>0</v>
      </c>
      <c r="R474" s="115">
        <f>IF(COUNT($H474:Q474)&gt;Input!$Y$7,0, Q474+Q506+Q538)</f>
        <v>0</v>
      </c>
      <c r="S474" s="104"/>
      <c r="T474" s="104"/>
      <c r="U474" s="104"/>
      <c r="V474" s="104"/>
      <c r="W474" s="104"/>
      <c r="X474" s="104"/>
      <c r="Y474" s="104"/>
      <c r="Z474" s="104"/>
      <c r="AA474" s="23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4"/>
      <c r="BE474" s="104"/>
      <c r="BF474" s="104"/>
      <c r="BG474" s="104"/>
      <c r="BH474" s="104"/>
      <c r="BI474" s="104"/>
      <c r="BJ474" s="104"/>
      <c r="BK474" s="12"/>
      <c r="BL474" s="12"/>
    </row>
    <row r="475" spans="1:256" hidden="1" outlineLevel="1">
      <c r="A475" s="9"/>
      <c r="B475" s="9"/>
      <c r="C475" s="44"/>
      <c r="D475" s="271" t="str">
        <f>Asset6</f>
        <v>Non-network general assets - IT</v>
      </c>
      <c r="E475" s="9"/>
      <c r="F475" s="9"/>
      <c r="G475" s="204">
        <f>Input!J12</f>
        <v>47.805445601604404</v>
      </c>
      <c r="H475" s="334">
        <f t="shared" si="7"/>
        <v>89.319417816228679</v>
      </c>
      <c r="I475" s="334">
        <f t="shared" si="8"/>
        <v>114.15739811789442</v>
      </c>
      <c r="J475" s="334">
        <f t="shared" si="8"/>
        <v>128.48028010642349</v>
      </c>
      <c r="K475" s="334">
        <f t="shared" si="8"/>
        <v>135.38391359049615</v>
      </c>
      <c r="L475" s="334">
        <f t="shared" si="8"/>
        <v>128.44507791683236</v>
      </c>
      <c r="M475" s="334">
        <f t="shared" si="8"/>
        <v>112.75206846112252</v>
      </c>
      <c r="N475" s="115">
        <f>IF(COUNT($H475:M475)&gt;Input!$Y$7,0, M475+M507+M539)</f>
        <v>0</v>
      </c>
      <c r="O475" s="115">
        <f>IF(COUNT($H475:N475)&gt;Input!$Y$7,0, N475+N507+N539)</f>
        <v>0</v>
      </c>
      <c r="P475" s="115">
        <f>IF(COUNT($H475:O475)&gt;Input!$Y$7,0, O475+O507+O539)</f>
        <v>0</v>
      </c>
      <c r="Q475" s="115">
        <f>IF(COUNT($H475:P475)&gt;Input!$Y$7,0, P475+P507+P539)</f>
        <v>0</v>
      </c>
      <c r="R475" s="115">
        <f>IF(COUNT($H475:Q475)&gt;Input!$Y$7,0, Q475+Q507+Q539)</f>
        <v>0</v>
      </c>
      <c r="S475" s="104"/>
      <c r="T475" s="104"/>
      <c r="U475" s="104"/>
      <c r="V475" s="104"/>
      <c r="W475" s="104"/>
      <c r="X475" s="104"/>
      <c r="Y475" s="104"/>
      <c r="Z475" s="104"/>
      <c r="AA475" s="23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4"/>
      <c r="BE475" s="104"/>
      <c r="BF475" s="104"/>
      <c r="BG475" s="104"/>
      <c r="BH475" s="104"/>
      <c r="BI475" s="104"/>
      <c r="BJ475" s="104"/>
      <c r="BK475" s="12"/>
      <c r="BL475" s="12"/>
    </row>
    <row r="476" spans="1:256" hidden="1" outlineLevel="1">
      <c r="A476" s="9"/>
      <c r="B476" s="9"/>
      <c r="C476" s="44"/>
      <c r="D476" s="271" t="str">
        <f>Asset7</f>
        <v>Non-network general assets - Other</v>
      </c>
      <c r="E476" s="9"/>
      <c r="F476" s="9"/>
      <c r="G476" s="204">
        <f>Input!J13</f>
        <v>23.676070284710153</v>
      </c>
      <c r="H476" s="334">
        <f t="shared" si="7"/>
        <v>34.275644401485252</v>
      </c>
      <c r="I476" s="334">
        <f t="shared" si="8"/>
        <v>5.1531960739867984</v>
      </c>
      <c r="J476" s="334">
        <f t="shared" si="8"/>
        <v>8.1542335939644737</v>
      </c>
      <c r="K476" s="334">
        <f t="shared" si="8"/>
        <v>12.17382864237941</v>
      </c>
      <c r="L476" s="334">
        <f t="shared" si="8"/>
        <v>13.956729909764542</v>
      </c>
      <c r="M476" s="334">
        <f t="shared" si="8"/>
        <v>12.695230467373385</v>
      </c>
      <c r="N476" s="115">
        <f>IF(COUNT($H476:M476)&gt;Input!$Y$7,0, M476+M508+M540)</f>
        <v>0</v>
      </c>
      <c r="O476" s="115">
        <f>IF(COUNT($H476:N476)&gt;Input!$Y$7,0, N476+N508+N540)</f>
        <v>0</v>
      </c>
      <c r="P476" s="115">
        <f>IF(COUNT($H476:O476)&gt;Input!$Y$7,0, O476+O508+O540)</f>
        <v>0</v>
      </c>
      <c r="Q476" s="115">
        <f>IF(COUNT($H476:P476)&gt;Input!$Y$7,0, P476+P508+P540)</f>
        <v>0</v>
      </c>
      <c r="R476" s="115">
        <f>IF(COUNT($H476:Q476)&gt;Input!$Y$7,0, Q476+Q508+Q540)</f>
        <v>0</v>
      </c>
      <c r="S476" s="104"/>
      <c r="T476" s="104"/>
      <c r="U476" s="104"/>
      <c r="V476" s="104"/>
      <c r="W476" s="104"/>
      <c r="X476" s="104"/>
      <c r="Y476" s="104"/>
      <c r="Z476" s="104"/>
      <c r="AA476" s="23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4"/>
      <c r="BE476" s="104"/>
      <c r="BF476" s="104"/>
      <c r="BG476" s="104"/>
      <c r="BH476" s="104"/>
      <c r="BI476" s="104"/>
      <c r="BJ476" s="104"/>
      <c r="BK476" s="12"/>
      <c r="BL476" s="12"/>
    </row>
    <row r="477" spans="1:256" hidden="1" outlineLevel="1">
      <c r="A477" s="9"/>
      <c r="B477" s="9"/>
      <c r="C477" s="44"/>
      <c r="D477" s="271" t="str">
        <f>Asset8</f>
        <v>Equity Raising Costs</v>
      </c>
      <c r="E477" s="9"/>
      <c r="F477" s="9"/>
      <c r="G477" s="204">
        <f>Input!J14</f>
        <v>0</v>
      </c>
      <c r="H477" s="334">
        <f t="shared" si="7"/>
        <v>0</v>
      </c>
      <c r="I477" s="334">
        <f t="shared" si="8"/>
        <v>1.5553441667922454</v>
      </c>
      <c r="J477" s="334">
        <f t="shared" si="8"/>
        <v>1.5754463655724007</v>
      </c>
      <c r="K477" s="334">
        <f t="shared" si="8"/>
        <v>1.5716796789597247</v>
      </c>
      <c r="L477" s="334">
        <f t="shared" si="8"/>
        <v>1.5695427875524555</v>
      </c>
      <c r="M477" s="334">
        <f t="shared" si="8"/>
        <v>1.5688274079042255</v>
      </c>
      <c r="N477" s="115">
        <f>IF(COUNT($H477:M477)&gt;Input!$Y$7,0, M477+M509+M541)</f>
        <v>0</v>
      </c>
      <c r="O477" s="115">
        <f>IF(COUNT($H477:N477)&gt;Input!$Y$7,0, N477+N509+N541)</f>
        <v>0</v>
      </c>
      <c r="P477" s="115">
        <f>IF(COUNT($H477:O477)&gt;Input!$Y$7,0, O477+O509+O541)</f>
        <v>0</v>
      </c>
      <c r="Q477" s="115">
        <f>IF(COUNT($H477:P477)&gt;Input!$Y$7,0, P477+P509+P541)</f>
        <v>0</v>
      </c>
      <c r="R477" s="115">
        <f>IF(COUNT($H477:Q477)&gt;Input!$Y$7,0, Q477+Q509+Q541)</f>
        <v>0</v>
      </c>
      <c r="S477" s="104"/>
      <c r="T477" s="104"/>
      <c r="U477" s="104"/>
      <c r="V477" s="104"/>
      <c r="W477" s="104"/>
      <c r="X477" s="104"/>
      <c r="Y477" s="104"/>
      <c r="Z477" s="104"/>
      <c r="AA477" s="23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4"/>
      <c r="BE477" s="104"/>
      <c r="BF477" s="104"/>
      <c r="BG477" s="104"/>
      <c r="BH477" s="104"/>
      <c r="BI477" s="104"/>
      <c r="BJ477" s="104"/>
      <c r="BK477" s="12"/>
      <c r="BL477" s="12"/>
    </row>
    <row r="478" spans="1:256" hidden="1" outlineLevel="1">
      <c r="A478" s="9"/>
      <c r="B478" s="9"/>
      <c r="C478" s="44"/>
      <c r="D478" s="271">
        <f>Asset9</f>
        <v>0</v>
      </c>
      <c r="E478" s="9"/>
      <c r="F478" s="9"/>
      <c r="G478" s="204">
        <f>Input!J15</f>
        <v>0</v>
      </c>
      <c r="H478" s="334">
        <f t="shared" si="7"/>
        <v>0</v>
      </c>
      <c r="I478" s="334">
        <f t="shared" si="8"/>
        <v>0</v>
      </c>
      <c r="J478" s="334">
        <f t="shared" si="8"/>
        <v>0</v>
      </c>
      <c r="K478" s="334">
        <f t="shared" si="8"/>
        <v>0</v>
      </c>
      <c r="L478" s="334">
        <f t="shared" si="8"/>
        <v>0</v>
      </c>
      <c r="M478" s="334">
        <f t="shared" si="8"/>
        <v>0</v>
      </c>
      <c r="N478" s="115">
        <f>IF(COUNT($H478:M478)&gt;Input!$Y$7,0, M478+M510+M542)</f>
        <v>0</v>
      </c>
      <c r="O478" s="115">
        <f>IF(COUNT($H478:N478)&gt;Input!$Y$7,0, N478+N510+N542)</f>
        <v>0</v>
      </c>
      <c r="P478" s="115">
        <f>IF(COUNT($H478:O478)&gt;Input!$Y$7,0, O478+O510+O542)</f>
        <v>0</v>
      </c>
      <c r="Q478" s="115">
        <f>IF(COUNT($H478:P478)&gt;Input!$Y$7,0, P478+P510+P542)</f>
        <v>0</v>
      </c>
      <c r="R478" s="115">
        <f>IF(COUNT($H478:Q478)&gt;Input!$Y$7,0, Q478+Q510+Q542)</f>
        <v>0</v>
      </c>
      <c r="S478" s="104"/>
      <c r="T478" s="104"/>
      <c r="U478" s="104"/>
      <c r="V478" s="104"/>
      <c r="W478" s="104"/>
      <c r="X478" s="104"/>
      <c r="Y478" s="104"/>
      <c r="Z478" s="104"/>
      <c r="AA478" s="23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4"/>
      <c r="BE478" s="104"/>
      <c r="BF478" s="104"/>
      <c r="BG478" s="104"/>
      <c r="BH478" s="104"/>
      <c r="BI478" s="104"/>
      <c r="BJ478" s="104"/>
      <c r="BK478" s="12"/>
      <c r="BL478" s="12"/>
    </row>
    <row r="479" spans="1:256" hidden="1" outlineLevel="1">
      <c r="A479" s="9"/>
      <c r="B479" s="9"/>
      <c r="C479" s="44"/>
      <c r="D479" s="271">
        <f>Asset10</f>
        <v>0</v>
      </c>
      <c r="E479" s="9"/>
      <c r="F479" s="9"/>
      <c r="G479" s="204">
        <f>Input!J16</f>
        <v>0</v>
      </c>
      <c r="H479" s="334">
        <f t="shared" si="7"/>
        <v>0</v>
      </c>
      <c r="I479" s="334">
        <f t="shared" si="8"/>
        <v>0</v>
      </c>
      <c r="J479" s="334">
        <f t="shared" si="8"/>
        <v>0</v>
      </c>
      <c r="K479" s="334">
        <f t="shared" si="8"/>
        <v>0</v>
      </c>
      <c r="L479" s="334">
        <f t="shared" si="8"/>
        <v>0</v>
      </c>
      <c r="M479" s="334">
        <f t="shared" si="8"/>
        <v>0</v>
      </c>
      <c r="N479" s="115">
        <f>IF(COUNT($H479:M479)&gt;Input!$Y$7,0, M479+M511+M543)</f>
        <v>0</v>
      </c>
      <c r="O479" s="115">
        <f>IF(COUNT($H479:N479)&gt;Input!$Y$7,0, N479+N511+N543)</f>
        <v>0</v>
      </c>
      <c r="P479" s="115">
        <f>IF(COUNT($H479:O479)&gt;Input!$Y$7,0, O479+O511+O543)</f>
        <v>0</v>
      </c>
      <c r="Q479" s="115">
        <f>IF(COUNT($H479:P479)&gt;Input!$Y$7,0, P479+P511+P543)</f>
        <v>0</v>
      </c>
      <c r="R479" s="115">
        <f>IF(COUNT($H479:Q479)&gt;Input!$Y$7,0, Q479+Q511+Q543)</f>
        <v>0</v>
      </c>
      <c r="S479" s="104"/>
      <c r="T479" s="104"/>
      <c r="U479" s="104"/>
      <c r="V479" s="104"/>
      <c r="W479" s="104"/>
      <c r="X479" s="104"/>
      <c r="Y479" s="104"/>
      <c r="Z479" s="104"/>
      <c r="AA479" s="23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4"/>
      <c r="BE479" s="104"/>
      <c r="BF479" s="104"/>
      <c r="BG479" s="104"/>
      <c r="BH479" s="104"/>
      <c r="BI479" s="104"/>
      <c r="BJ479" s="104"/>
      <c r="BK479" s="12"/>
      <c r="BL479" s="12"/>
    </row>
    <row r="480" spans="1:256" hidden="1" outlineLevel="1">
      <c r="A480" s="9"/>
      <c r="B480" s="9"/>
      <c r="C480" s="44"/>
      <c r="D480" s="271">
        <f>Asset11</f>
        <v>0</v>
      </c>
      <c r="E480" s="9"/>
      <c r="F480" s="9"/>
      <c r="G480" s="204">
        <f>Input!J17</f>
        <v>0</v>
      </c>
      <c r="H480" s="334">
        <f t="shared" si="7"/>
        <v>0</v>
      </c>
      <c r="I480" s="334">
        <f t="shared" si="8"/>
        <v>0</v>
      </c>
      <c r="J480" s="334">
        <f t="shared" si="8"/>
        <v>0</v>
      </c>
      <c r="K480" s="334">
        <f t="shared" si="8"/>
        <v>0</v>
      </c>
      <c r="L480" s="334">
        <f t="shared" si="8"/>
        <v>0</v>
      </c>
      <c r="M480" s="334">
        <f t="shared" si="8"/>
        <v>0</v>
      </c>
      <c r="N480" s="115">
        <f>IF(COUNT($H480:M480)&gt;Input!$Y$7,0, M480+M512+M544)</f>
        <v>0</v>
      </c>
      <c r="O480" s="115">
        <f>IF(COUNT($H480:N480)&gt;Input!$Y$7,0, N480+N512+N544)</f>
        <v>0</v>
      </c>
      <c r="P480" s="115">
        <f>IF(COUNT($H480:O480)&gt;Input!$Y$7,0, O480+O512+O544)</f>
        <v>0</v>
      </c>
      <c r="Q480" s="115">
        <f>IF(COUNT($H480:P480)&gt;Input!$Y$7,0, P480+P512+P544)</f>
        <v>0</v>
      </c>
      <c r="R480" s="115">
        <f>IF(COUNT($H480:Q480)&gt;Input!$Y$7,0, Q480+Q512+Q544)</f>
        <v>0</v>
      </c>
      <c r="S480" s="104"/>
      <c r="T480" s="104"/>
      <c r="U480" s="104"/>
      <c r="V480" s="104"/>
      <c r="W480" s="104"/>
      <c r="X480" s="104"/>
      <c r="Y480" s="104"/>
      <c r="Z480" s="104"/>
      <c r="AA480" s="23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4"/>
      <c r="BE480" s="104"/>
      <c r="BF480" s="104"/>
      <c r="BG480" s="104"/>
      <c r="BH480" s="104"/>
      <c r="BI480" s="104"/>
      <c r="BJ480" s="104"/>
      <c r="BK480" s="12"/>
      <c r="BL480" s="12"/>
    </row>
    <row r="481" spans="1:64" hidden="1" outlineLevel="1">
      <c r="A481" s="9"/>
      <c r="B481" s="9"/>
      <c r="C481" s="44"/>
      <c r="D481" s="271">
        <f>Asset12</f>
        <v>0</v>
      </c>
      <c r="E481" s="9"/>
      <c r="F481" s="9"/>
      <c r="G481" s="204">
        <f>Input!J18</f>
        <v>0</v>
      </c>
      <c r="H481" s="334">
        <f t="shared" si="7"/>
        <v>0</v>
      </c>
      <c r="I481" s="334">
        <f t="shared" si="8"/>
        <v>0</v>
      </c>
      <c r="J481" s="334">
        <f t="shared" si="8"/>
        <v>0</v>
      </c>
      <c r="K481" s="334">
        <f t="shared" si="8"/>
        <v>0</v>
      </c>
      <c r="L481" s="334">
        <f t="shared" si="8"/>
        <v>0</v>
      </c>
      <c r="M481" s="334">
        <f t="shared" si="8"/>
        <v>0</v>
      </c>
      <c r="N481" s="115">
        <f>IF(COUNT($H481:M481)&gt;Input!$Y$7,0, M481+M513+M545)</f>
        <v>0</v>
      </c>
      <c r="O481" s="115">
        <f>IF(COUNT($H481:N481)&gt;Input!$Y$7,0, N481+N513+N545)</f>
        <v>0</v>
      </c>
      <c r="P481" s="115">
        <f>IF(COUNT($H481:O481)&gt;Input!$Y$7,0, O481+O513+O545)</f>
        <v>0</v>
      </c>
      <c r="Q481" s="115">
        <f>IF(COUNT($H481:P481)&gt;Input!$Y$7,0, P481+P513+P545)</f>
        <v>0</v>
      </c>
      <c r="R481" s="115">
        <f>IF(COUNT($H481:Q481)&gt;Input!$Y$7,0, Q481+Q513+Q545)</f>
        <v>0</v>
      </c>
      <c r="S481" s="104"/>
      <c r="T481" s="104"/>
      <c r="U481" s="104"/>
      <c r="V481" s="104"/>
      <c r="W481" s="104"/>
      <c r="X481" s="104"/>
      <c r="Y481" s="104"/>
      <c r="Z481" s="104"/>
      <c r="AA481" s="23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4"/>
      <c r="BE481" s="104"/>
      <c r="BF481" s="104"/>
      <c r="BG481" s="104"/>
      <c r="BH481" s="104"/>
      <c r="BI481" s="104"/>
      <c r="BJ481" s="104"/>
      <c r="BK481" s="12"/>
      <c r="BL481" s="12"/>
    </row>
    <row r="482" spans="1:64" hidden="1" outlineLevel="1">
      <c r="A482" s="9"/>
      <c r="B482" s="9"/>
      <c r="C482" s="44"/>
      <c r="D482" s="271">
        <f>Asset13</f>
        <v>0</v>
      </c>
      <c r="E482" s="9"/>
      <c r="F482" s="9"/>
      <c r="G482" s="204">
        <f>Input!J19</f>
        <v>0</v>
      </c>
      <c r="H482" s="334">
        <f t="shared" si="7"/>
        <v>0</v>
      </c>
      <c r="I482" s="334">
        <f t="shared" si="8"/>
        <v>0</v>
      </c>
      <c r="J482" s="334">
        <f t="shared" si="8"/>
        <v>0</v>
      </c>
      <c r="K482" s="334">
        <f t="shared" si="8"/>
        <v>0</v>
      </c>
      <c r="L482" s="334">
        <f t="shared" si="8"/>
        <v>0</v>
      </c>
      <c r="M482" s="334">
        <f t="shared" si="8"/>
        <v>0</v>
      </c>
      <c r="N482" s="115">
        <f>IF(COUNT($H482:M482)&gt;Input!$Y$7,0, M482+M514+M546)</f>
        <v>0</v>
      </c>
      <c r="O482" s="115">
        <f>IF(COUNT($H482:N482)&gt;Input!$Y$7,0, N482+N514+N546)</f>
        <v>0</v>
      </c>
      <c r="P482" s="115">
        <f>IF(COUNT($H482:O482)&gt;Input!$Y$7,0, O482+O514+O546)</f>
        <v>0</v>
      </c>
      <c r="Q482" s="115">
        <f>IF(COUNT($H482:P482)&gt;Input!$Y$7,0, P482+P514+P546)</f>
        <v>0</v>
      </c>
      <c r="R482" s="115">
        <f>IF(COUNT($H482:Q482)&gt;Input!$Y$7,0, Q482+Q514+Q546)</f>
        <v>0</v>
      </c>
      <c r="S482" s="104"/>
      <c r="T482" s="104"/>
      <c r="U482" s="104"/>
      <c r="V482" s="104"/>
      <c r="W482" s="104"/>
      <c r="X482" s="104"/>
      <c r="Y482" s="104"/>
      <c r="Z482" s="104"/>
      <c r="AA482" s="23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4"/>
      <c r="BE482" s="104"/>
      <c r="BF482" s="104"/>
      <c r="BG482" s="104"/>
      <c r="BH482" s="104"/>
      <c r="BI482" s="104"/>
      <c r="BJ482" s="104"/>
      <c r="BK482" s="12"/>
      <c r="BL482" s="12"/>
    </row>
    <row r="483" spans="1:64" hidden="1" outlineLevel="1">
      <c r="A483" s="9"/>
      <c r="B483" s="9"/>
      <c r="C483" s="44"/>
      <c r="D483" s="271">
        <f>Asset14</f>
        <v>0</v>
      </c>
      <c r="E483" s="9"/>
      <c r="F483" s="9"/>
      <c r="G483" s="204">
        <f>Input!J20</f>
        <v>0</v>
      </c>
      <c r="H483" s="334">
        <f t="shared" si="7"/>
        <v>0</v>
      </c>
      <c r="I483" s="334">
        <f t="shared" si="8"/>
        <v>0</v>
      </c>
      <c r="J483" s="334">
        <f t="shared" si="8"/>
        <v>0</v>
      </c>
      <c r="K483" s="334">
        <f t="shared" si="8"/>
        <v>0</v>
      </c>
      <c r="L483" s="334">
        <f t="shared" si="8"/>
        <v>0</v>
      </c>
      <c r="M483" s="334">
        <f t="shared" si="8"/>
        <v>0</v>
      </c>
      <c r="N483" s="115">
        <f>IF(COUNT($H483:M483)&gt;Input!$Y$7,0, M483+M515+M547)</f>
        <v>0</v>
      </c>
      <c r="O483" s="115">
        <f>IF(COUNT($H483:N483)&gt;Input!$Y$7,0, N483+N515+N547)</f>
        <v>0</v>
      </c>
      <c r="P483" s="115">
        <f>IF(COUNT($H483:O483)&gt;Input!$Y$7,0, O483+O515+O547)</f>
        <v>0</v>
      </c>
      <c r="Q483" s="115">
        <f>IF(COUNT($H483:P483)&gt;Input!$Y$7,0, P483+P515+P547)</f>
        <v>0</v>
      </c>
      <c r="R483" s="115">
        <f>IF(COUNT($H483:Q483)&gt;Input!$Y$7,0, Q483+Q515+Q547)</f>
        <v>0</v>
      </c>
      <c r="S483" s="104"/>
      <c r="T483" s="104"/>
      <c r="U483" s="104"/>
      <c r="V483" s="104"/>
      <c r="W483" s="104"/>
      <c r="X483" s="104"/>
      <c r="Y483" s="104"/>
      <c r="Z483" s="104"/>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4"/>
      <c r="BE483" s="104"/>
      <c r="BF483" s="104"/>
      <c r="BG483" s="104"/>
      <c r="BH483" s="104"/>
      <c r="BI483" s="104"/>
      <c r="BJ483" s="104"/>
      <c r="BK483" s="12"/>
      <c r="BL483" s="12"/>
    </row>
    <row r="484" spans="1:64" hidden="1" outlineLevel="1">
      <c r="A484" s="9"/>
      <c r="B484" s="9"/>
      <c r="C484" s="44"/>
      <c r="D484" s="271">
        <f>Asset15</f>
        <v>0</v>
      </c>
      <c r="E484" s="9"/>
      <c r="F484" s="9"/>
      <c r="G484" s="204">
        <f>Input!J21</f>
        <v>0</v>
      </c>
      <c r="H484" s="115">
        <f t="shared" si="7"/>
        <v>0</v>
      </c>
      <c r="I484" s="115">
        <f t="shared" ref="I484:M489" si="9">H484+H516+H548</f>
        <v>0</v>
      </c>
      <c r="J484" s="115">
        <f t="shared" si="9"/>
        <v>0</v>
      </c>
      <c r="K484" s="115">
        <f t="shared" si="9"/>
        <v>0</v>
      </c>
      <c r="L484" s="115">
        <f t="shared" si="9"/>
        <v>0</v>
      </c>
      <c r="M484" s="115">
        <f t="shared" si="9"/>
        <v>0</v>
      </c>
      <c r="N484" s="115">
        <f>IF(COUNT($H484:M484)&gt;Input!$Y$7,0, M484+M516+M548)</f>
        <v>0</v>
      </c>
      <c r="O484" s="115">
        <f>IF(COUNT($H484:N484)&gt;Input!$Y$7,0, N484+N516+N548)</f>
        <v>0</v>
      </c>
      <c r="P484" s="115">
        <f>IF(COUNT($H484:O484)&gt;Input!$Y$7,0, O484+O516+O548)</f>
        <v>0</v>
      </c>
      <c r="Q484" s="115">
        <f>IF(COUNT($H484:P484)&gt;Input!$Y$7,0, P484+P516+P548)</f>
        <v>0</v>
      </c>
      <c r="R484" s="115">
        <f>IF(COUNT($H484:Q484)&gt;Input!$Y$7,0, Q484+Q516+Q548)</f>
        <v>0</v>
      </c>
      <c r="S484" s="104"/>
      <c r="T484" s="104"/>
      <c r="U484" s="104"/>
      <c r="V484" s="104"/>
      <c r="W484" s="104"/>
      <c r="X484" s="104"/>
      <c r="Y484" s="104"/>
      <c r="Z484" s="104"/>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4"/>
      <c r="BE484" s="104"/>
      <c r="BF484" s="104"/>
      <c r="BG484" s="104"/>
      <c r="BH484" s="104"/>
      <c r="BI484" s="104"/>
      <c r="BJ484" s="104"/>
      <c r="BK484" s="12"/>
      <c r="BL484" s="12"/>
    </row>
    <row r="485" spans="1:64" hidden="1" outlineLevel="1">
      <c r="A485" s="9"/>
      <c r="B485" s="9"/>
      <c r="C485" s="44"/>
      <c r="D485" s="271">
        <f>Asset16</f>
        <v>0</v>
      </c>
      <c r="E485" s="9"/>
      <c r="F485" s="9"/>
      <c r="G485" s="204">
        <f>Input!J22</f>
        <v>0</v>
      </c>
      <c r="H485" s="115">
        <f t="shared" si="7"/>
        <v>0</v>
      </c>
      <c r="I485" s="115">
        <f t="shared" si="9"/>
        <v>0</v>
      </c>
      <c r="J485" s="115">
        <f t="shared" si="9"/>
        <v>0</v>
      </c>
      <c r="K485" s="115">
        <f t="shared" si="9"/>
        <v>0</v>
      </c>
      <c r="L485" s="115">
        <f t="shared" si="9"/>
        <v>0</v>
      </c>
      <c r="M485" s="115">
        <f t="shared" si="9"/>
        <v>0</v>
      </c>
      <c r="N485" s="115">
        <f>IF(COUNT($H485:M485)&gt;Input!$Y$7,0, M485+M517+M549)</f>
        <v>0</v>
      </c>
      <c r="O485" s="115">
        <f>IF(COUNT($H485:N485)&gt;Input!$Y$7,0, N485+N517+N549)</f>
        <v>0</v>
      </c>
      <c r="P485" s="115">
        <f>IF(COUNT($H485:O485)&gt;Input!$Y$7,0, O485+O517+O549)</f>
        <v>0</v>
      </c>
      <c r="Q485" s="115">
        <f>IF(COUNT($H485:P485)&gt;Input!$Y$7,0, P485+P517+P549)</f>
        <v>0</v>
      </c>
      <c r="R485" s="115">
        <f>IF(COUNT($H485:Q485)&gt;Input!$Y$7,0, Q485+Q517+Q549)</f>
        <v>0</v>
      </c>
      <c r="S485" s="104"/>
      <c r="T485" s="104"/>
      <c r="U485" s="104"/>
      <c r="V485" s="104"/>
      <c r="W485" s="104"/>
      <c r="X485" s="104"/>
      <c r="Y485" s="104"/>
      <c r="Z485" s="104"/>
      <c r="AA485" s="23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4"/>
      <c r="BE485" s="104"/>
      <c r="BF485" s="104"/>
      <c r="BG485" s="104"/>
      <c r="BH485" s="104"/>
      <c r="BI485" s="104"/>
      <c r="BJ485" s="104"/>
      <c r="BK485" s="12"/>
      <c r="BL485" s="12"/>
    </row>
    <row r="486" spans="1:64" hidden="1" outlineLevel="1">
      <c r="A486" s="9"/>
      <c r="B486" s="9"/>
      <c r="C486" s="44"/>
      <c r="D486" s="271">
        <f>Asset17</f>
        <v>0</v>
      </c>
      <c r="E486" s="9"/>
      <c r="F486" s="9"/>
      <c r="G486" s="204">
        <f>Input!J23</f>
        <v>0</v>
      </c>
      <c r="H486" s="115">
        <f t="shared" si="7"/>
        <v>0</v>
      </c>
      <c r="I486" s="115">
        <f t="shared" si="9"/>
        <v>0</v>
      </c>
      <c r="J486" s="115">
        <f t="shared" si="9"/>
        <v>0</v>
      </c>
      <c r="K486" s="115">
        <f t="shared" si="9"/>
        <v>0</v>
      </c>
      <c r="L486" s="115">
        <f t="shared" si="9"/>
        <v>0</v>
      </c>
      <c r="M486" s="115">
        <f t="shared" si="9"/>
        <v>0</v>
      </c>
      <c r="N486" s="115">
        <f>IF(COUNT($H486:M486)&gt;Input!$Y$7,0, M486+M518+M550)</f>
        <v>0</v>
      </c>
      <c r="O486" s="115">
        <f>IF(COUNT($H486:N486)&gt;Input!$Y$7,0, N486+N518+N550)</f>
        <v>0</v>
      </c>
      <c r="P486" s="115">
        <f>IF(COUNT($H486:O486)&gt;Input!$Y$7,0, O486+O518+O550)</f>
        <v>0</v>
      </c>
      <c r="Q486" s="115">
        <f>IF(COUNT($H486:P486)&gt;Input!$Y$7,0, P486+P518+P550)</f>
        <v>0</v>
      </c>
      <c r="R486" s="115">
        <f>IF(COUNT($H486:Q486)&gt;Input!$Y$7,0, Q486+Q518+Q550)</f>
        <v>0</v>
      </c>
      <c r="S486" s="104"/>
      <c r="T486" s="104"/>
      <c r="U486" s="104"/>
      <c r="V486" s="104"/>
      <c r="W486" s="104"/>
      <c r="X486" s="104"/>
      <c r="Y486" s="104"/>
      <c r="Z486" s="104"/>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4"/>
      <c r="BE486" s="104"/>
      <c r="BF486" s="104"/>
      <c r="BG486" s="104"/>
      <c r="BH486" s="104"/>
      <c r="BI486" s="104"/>
      <c r="BJ486" s="104"/>
      <c r="BK486" s="12"/>
      <c r="BL486" s="12"/>
    </row>
    <row r="487" spans="1:64" hidden="1" outlineLevel="1">
      <c r="A487" s="9"/>
      <c r="B487" s="9"/>
      <c r="C487" s="44"/>
      <c r="D487" s="271">
        <f>Asset18</f>
        <v>0</v>
      </c>
      <c r="E487" s="9"/>
      <c r="F487" s="9"/>
      <c r="G487" s="204">
        <f>Input!J24</f>
        <v>0</v>
      </c>
      <c r="H487" s="115">
        <f t="shared" si="7"/>
        <v>0</v>
      </c>
      <c r="I487" s="115">
        <f t="shared" si="9"/>
        <v>0</v>
      </c>
      <c r="J487" s="115">
        <f t="shared" si="9"/>
        <v>0</v>
      </c>
      <c r="K487" s="115">
        <f t="shared" si="9"/>
        <v>0</v>
      </c>
      <c r="L487" s="115">
        <f t="shared" si="9"/>
        <v>0</v>
      </c>
      <c r="M487" s="115">
        <f t="shared" si="9"/>
        <v>0</v>
      </c>
      <c r="N487" s="115">
        <f>IF(COUNT($H487:M487)&gt;Input!$Y$7,0, M487+M519+M551)</f>
        <v>0</v>
      </c>
      <c r="O487" s="115">
        <f>IF(COUNT($H487:N487)&gt;Input!$Y$7,0, N487+N519+N551)</f>
        <v>0</v>
      </c>
      <c r="P487" s="115">
        <f>IF(COUNT($H487:O487)&gt;Input!$Y$7,0, O487+O519+O551)</f>
        <v>0</v>
      </c>
      <c r="Q487" s="115">
        <f>IF(COUNT($H487:P487)&gt;Input!$Y$7,0, P487+P519+P551)</f>
        <v>0</v>
      </c>
      <c r="R487" s="115">
        <f>IF(COUNT($H487:Q487)&gt;Input!$Y$7,0, Q487+Q519+Q551)</f>
        <v>0</v>
      </c>
      <c r="S487" s="104"/>
      <c r="T487" s="104"/>
      <c r="U487" s="104"/>
      <c r="V487" s="104"/>
      <c r="W487" s="104"/>
      <c r="X487" s="104"/>
      <c r="Y487" s="104"/>
      <c r="Z487" s="104"/>
      <c r="AA487" s="23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4"/>
      <c r="BE487" s="104"/>
      <c r="BF487" s="104"/>
      <c r="BG487" s="104"/>
      <c r="BH487" s="104"/>
      <c r="BI487" s="104"/>
      <c r="BJ487" s="104"/>
      <c r="BK487" s="12"/>
      <c r="BL487" s="12"/>
    </row>
    <row r="488" spans="1:64" hidden="1" outlineLevel="1">
      <c r="A488" s="9"/>
      <c r="B488" s="9"/>
      <c r="C488" s="44"/>
      <c r="D488" s="271">
        <f>Asset19</f>
        <v>0</v>
      </c>
      <c r="E488" s="9"/>
      <c r="F488" s="9"/>
      <c r="G488" s="204">
        <f>Input!J25</f>
        <v>0</v>
      </c>
      <c r="H488" s="115">
        <f t="shared" si="7"/>
        <v>0</v>
      </c>
      <c r="I488" s="115">
        <f t="shared" si="9"/>
        <v>0</v>
      </c>
      <c r="J488" s="115">
        <f t="shared" si="9"/>
        <v>0</v>
      </c>
      <c r="K488" s="115">
        <f t="shared" si="9"/>
        <v>0</v>
      </c>
      <c r="L488" s="115">
        <f t="shared" si="9"/>
        <v>0</v>
      </c>
      <c r="M488" s="115">
        <f t="shared" si="9"/>
        <v>0</v>
      </c>
      <c r="N488" s="115">
        <f>IF(COUNT($H488:M488)&gt;Input!$Y$7,0, M488+M520+M552)</f>
        <v>0</v>
      </c>
      <c r="O488" s="115">
        <f>IF(COUNT($H488:N488)&gt;Input!$Y$7,0, N488+N520+N552)</f>
        <v>0</v>
      </c>
      <c r="P488" s="115">
        <f>IF(COUNT($H488:O488)&gt;Input!$Y$7,0, O488+O520+O552)</f>
        <v>0</v>
      </c>
      <c r="Q488" s="115">
        <f>IF(COUNT($H488:P488)&gt;Input!$Y$7,0, P488+P520+P552)</f>
        <v>0</v>
      </c>
      <c r="R488" s="115">
        <f>IF(COUNT($H488:Q488)&gt;Input!$Y$7,0, Q488+Q520+Q552)</f>
        <v>0</v>
      </c>
      <c r="S488" s="104"/>
      <c r="T488" s="104"/>
      <c r="U488" s="104"/>
      <c r="V488" s="104"/>
      <c r="W488" s="104"/>
      <c r="X488" s="104"/>
      <c r="Y488" s="104"/>
      <c r="Z488" s="104"/>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4"/>
      <c r="BE488" s="104"/>
      <c r="BF488" s="104"/>
      <c r="BG488" s="104"/>
      <c r="BH488" s="104"/>
      <c r="BI488" s="104"/>
      <c r="BJ488" s="104"/>
      <c r="BK488" s="12"/>
      <c r="BL488" s="12"/>
    </row>
    <row r="489" spans="1:64" hidden="1" outlineLevel="1">
      <c r="A489" s="9"/>
      <c r="B489" s="9"/>
      <c r="C489" s="44"/>
      <c r="D489" s="271">
        <f>Asset20</f>
        <v>0</v>
      </c>
      <c r="E489" s="9"/>
      <c r="F489" s="9"/>
      <c r="G489" s="204">
        <f>Input!J26</f>
        <v>0</v>
      </c>
      <c r="H489" s="115">
        <f t="shared" si="7"/>
        <v>0</v>
      </c>
      <c r="I489" s="115">
        <f t="shared" si="9"/>
        <v>0</v>
      </c>
      <c r="J489" s="115">
        <f t="shared" si="9"/>
        <v>0</v>
      </c>
      <c r="K489" s="115">
        <f t="shared" si="9"/>
        <v>0</v>
      </c>
      <c r="L489" s="115">
        <f t="shared" si="9"/>
        <v>0</v>
      </c>
      <c r="M489" s="115">
        <f t="shared" si="9"/>
        <v>0</v>
      </c>
      <c r="N489" s="115">
        <f>IF(COUNT($H489:M489)&gt;Input!$Y$7,0, M489+M521+M553)</f>
        <v>0</v>
      </c>
      <c r="O489" s="115">
        <f>IF(COUNT($H489:N489)&gt;Input!$Y$7,0, N489+N521+N553)</f>
        <v>0</v>
      </c>
      <c r="P489" s="115">
        <f>IF(COUNT($H489:O489)&gt;Input!$Y$7,0, O489+O521+O553)</f>
        <v>0</v>
      </c>
      <c r="Q489" s="115">
        <f>IF(COUNT($H489:P489)&gt;Input!$Y$7,0, P489+P521+P553)</f>
        <v>0</v>
      </c>
      <c r="R489" s="115">
        <f>IF(COUNT($H489:Q489)&gt;Input!$Y$7,0, Q489+Q521+Q553)</f>
        <v>0</v>
      </c>
      <c r="S489" s="104"/>
      <c r="T489" s="104"/>
      <c r="U489" s="104"/>
      <c r="V489" s="104"/>
      <c r="W489" s="104"/>
      <c r="X489" s="104"/>
      <c r="Y489" s="104"/>
      <c r="Z489" s="104"/>
      <c r="AA489" s="23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4"/>
      <c r="BE489" s="104"/>
      <c r="BF489" s="104"/>
      <c r="BG489" s="104"/>
      <c r="BH489" s="104"/>
      <c r="BI489" s="104"/>
      <c r="BJ489" s="104"/>
      <c r="BK489" s="12"/>
      <c r="BL489" s="12"/>
    </row>
    <row r="490" spans="1:64" hidden="1" outlineLevel="1">
      <c r="A490" s="9"/>
      <c r="B490" s="9"/>
      <c r="C490" s="44"/>
      <c r="D490" s="271">
        <f>Asset21</f>
        <v>0</v>
      </c>
      <c r="E490" s="9"/>
      <c r="F490" s="9"/>
      <c r="G490" s="204">
        <f>Input!J27</f>
        <v>0</v>
      </c>
      <c r="H490" s="115">
        <f t="shared" si="7"/>
        <v>0</v>
      </c>
      <c r="I490" s="115">
        <f>H490+H522+H554</f>
        <v>0</v>
      </c>
      <c r="J490" s="115">
        <f t="shared" ref="J490:M498" si="10">I490+I522+I554</f>
        <v>0</v>
      </c>
      <c r="K490" s="115">
        <f t="shared" si="10"/>
        <v>0</v>
      </c>
      <c r="L490" s="115">
        <f t="shared" si="10"/>
        <v>0</v>
      </c>
      <c r="M490" s="115">
        <f t="shared" si="10"/>
        <v>0</v>
      </c>
      <c r="N490" s="115">
        <f>IF(COUNT($H490:M490)&gt;Input!$Y$7,0, M490+M522+M554)</f>
        <v>0</v>
      </c>
      <c r="O490" s="115">
        <f>IF(COUNT($H490:N490)&gt;Input!$Y$7,0, N490+N522+N554)</f>
        <v>0</v>
      </c>
      <c r="P490" s="115">
        <f>IF(COUNT($H490:O490)&gt;Input!$Y$7,0, O490+O522+O554)</f>
        <v>0</v>
      </c>
      <c r="Q490" s="115">
        <f>IF(COUNT($H490:P490)&gt;Input!$Y$7,0, P490+P522+P554)</f>
        <v>0</v>
      </c>
      <c r="R490" s="115">
        <f>IF(COUNT($H490:Q490)&gt;Input!$Y$7,0, Q490+Q522+Q554)</f>
        <v>0</v>
      </c>
      <c r="S490" s="104"/>
      <c r="T490" s="104"/>
      <c r="U490" s="104"/>
      <c r="V490" s="104"/>
      <c r="W490" s="104"/>
      <c r="X490" s="104"/>
      <c r="Y490" s="104"/>
      <c r="Z490" s="104"/>
      <c r="AA490" s="23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4"/>
      <c r="BE490" s="104"/>
      <c r="BF490" s="104"/>
      <c r="BG490" s="104"/>
      <c r="BH490" s="104"/>
      <c r="BI490" s="104"/>
      <c r="BJ490" s="104"/>
      <c r="BK490" s="12"/>
      <c r="BL490" s="12"/>
    </row>
    <row r="491" spans="1:64" hidden="1" outlineLevel="1">
      <c r="A491" s="9"/>
      <c r="B491" s="9"/>
      <c r="C491" s="44"/>
      <c r="D491" s="271">
        <f>Asset22</f>
        <v>0</v>
      </c>
      <c r="E491" s="9"/>
      <c r="F491" s="9"/>
      <c r="G491" s="204">
        <f>Input!J28</f>
        <v>0</v>
      </c>
      <c r="H491" s="115">
        <f t="shared" si="7"/>
        <v>0</v>
      </c>
      <c r="I491" s="115">
        <f>H491+H523+H555</f>
        <v>0</v>
      </c>
      <c r="J491" s="115">
        <f t="shared" si="10"/>
        <v>0</v>
      </c>
      <c r="K491" s="115">
        <f t="shared" si="10"/>
        <v>0</v>
      </c>
      <c r="L491" s="115">
        <f t="shared" si="10"/>
        <v>0</v>
      </c>
      <c r="M491" s="115">
        <f t="shared" si="10"/>
        <v>0</v>
      </c>
      <c r="N491" s="115">
        <f>IF(COUNT($H491:M491)&gt;Input!$Y$7,0, M491+M523+M555)</f>
        <v>0</v>
      </c>
      <c r="O491" s="115">
        <f>IF(COUNT($H491:N491)&gt;Input!$Y$7,0, N491+N523+N555)</f>
        <v>0</v>
      </c>
      <c r="P491" s="115">
        <f>IF(COUNT($H491:O491)&gt;Input!$Y$7,0, O491+O523+O555)</f>
        <v>0</v>
      </c>
      <c r="Q491" s="115">
        <f>IF(COUNT($H491:P491)&gt;Input!$Y$7,0, P491+P523+P555)</f>
        <v>0</v>
      </c>
      <c r="R491" s="115">
        <f>IF(COUNT($H491:Q491)&gt;Input!$Y$7,0, Q491+Q523+Q555)</f>
        <v>0</v>
      </c>
      <c r="S491" s="104"/>
      <c r="T491" s="104"/>
      <c r="U491" s="104"/>
      <c r="V491" s="104"/>
      <c r="W491" s="104"/>
      <c r="X491" s="104"/>
      <c r="Y491" s="104"/>
      <c r="Z491" s="104"/>
      <c r="AA491" s="23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4"/>
      <c r="BE491" s="104"/>
      <c r="BF491" s="104"/>
      <c r="BG491" s="104"/>
      <c r="BH491" s="104"/>
      <c r="BI491" s="104"/>
      <c r="BJ491" s="104"/>
      <c r="BK491" s="12"/>
      <c r="BL491" s="12"/>
    </row>
    <row r="492" spans="1:64" hidden="1" outlineLevel="1">
      <c r="A492" s="9"/>
      <c r="B492" s="9"/>
      <c r="C492" s="44"/>
      <c r="D492" s="271">
        <f>Asset23</f>
        <v>0</v>
      </c>
      <c r="E492" s="9"/>
      <c r="F492" s="9"/>
      <c r="G492" s="204">
        <f>Input!J29</f>
        <v>0</v>
      </c>
      <c r="H492" s="115">
        <f t="shared" si="7"/>
        <v>0</v>
      </c>
      <c r="I492" s="115">
        <f t="shared" ref="I492:I499" si="11">H492+H524+H556</f>
        <v>0</v>
      </c>
      <c r="J492" s="115">
        <f t="shared" si="10"/>
        <v>0</v>
      </c>
      <c r="K492" s="115">
        <f t="shared" si="10"/>
        <v>0</v>
      </c>
      <c r="L492" s="115">
        <f t="shared" si="10"/>
        <v>0</v>
      </c>
      <c r="M492" s="115">
        <f t="shared" si="10"/>
        <v>0</v>
      </c>
      <c r="N492" s="115">
        <f>IF(COUNT($H492:M492)&gt;Input!$Y$7,0, M492+M524+M556)</f>
        <v>0</v>
      </c>
      <c r="O492" s="115">
        <f>IF(COUNT($H492:N492)&gt;Input!$Y$7,0, N492+N524+N556)</f>
        <v>0</v>
      </c>
      <c r="P492" s="115">
        <f>IF(COUNT($H492:O492)&gt;Input!$Y$7,0, O492+O524+O556)</f>
        <v>0</v>
      </c>
      <c r="Q492" s="115">
        <f>IF(COUNT($H492:P492)&gt;Input!$Y$7,0, P492+P524+P556)</f>
        <v>0</v>
      </c>
      <c r="R492" s="115">
        <f>IF(COUNT($H492:Q492)&gt;Input!$Y$7,0, Q492+Q524+Q556)</f>
        <v>0</v>
      </c>
      <c r="S492" s="104"/>
      <c r="T492" s="104"/>
      <c r="U492" s="104"/>
      <c r="V492" s="104"/>
      <c r="W492" s="104"/>
      <c r="X492" s="104"/>
      <c r="Y492" s="104"/>
      <c r="Z492" s="104"/>
      <c r="AA492" s="23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4"/>
      <c r="BE492" s="104"/>
      <c r="BF492" s="104"/>
      <c r="BG492" s="104"/>
      <c r="BH492" s="104"/>
      <c r="BI492" s="104"/>
      <c r="BJ492" s="104"/>
      <c r="BK492" s="12"/>
      <c r="BL492" s="12"/>
    </row>
    <row r="493" spans="1:64" hidden="1" outlineLevel="1">
      <c r="A493" s="9"/>
      <c r="B493" s="9"/>
      <c r="C493" s="44"/>
      <c r="D493" s="271">
        <f>Asset24</f>
        <v>0</v>
      </c>
      <c r="E493" s="9"/>
      <c r="F493" s="9"/>
      <c r="G493" s="204">
        <f>Input!J30</f>
        <v>0</v>
      </c>
      <c r="H493" s="115">
        <f t="shared" si="7"/>
        <v>0</v>
      </c>
      <c r="I493" s="115">
        <f t="shared" si="11"/>
        <v>0</v>
      </c>
      <c r="J493" s="115">
        <f t="shared" si="10"/>
        <v>0</v>
      </c>
      <c r="K493" s="115">
        <f t="shared" si="10"/>
        <v>0</v>
      </c>
      <c r="L493" s="115">
        <f t="shared" si="10"/>
        <v>0</v>
      </c>
      <c r="M493" s="115">
        <f t="shared" si="10"/>
        <v>0</v>
      </c>
      <c r="N493" s="115">
        <f>IF(COUNT($H493:M493)&gt;Input!$Y$7,0, M493+M525+M557)</f>
        <v>0</v>
      </c>
      <c r="O493" s="115">
        <f>IF(COUNT($H493:N493)&gt;Input!$Y$7,0, N493+N525+N557)</f>
        <v>0</v>
      </c>
      <c r="P493" s="115">
        <f>IF(COUNT($H493:O493)&gt;Input!$Y$7,0, O493+O525+O557)</f>
        <v>0</v>
      </c>
      <c r="Q493" s="115">
        <f>IF(COUNT($H493:P493)&gt;Input!$Y$7,0, P493+P525+P557)</f>
        <v>0</v>
      </c>
      <c r="R493" s="115">
        <f>IF(COUNT($H493:Q493)&gt;Input!$Y$7,0, Q493+Q525+Q557)</f>
        <v>0</v>
      </c>
      <c r="S493" s="104"/>
      <c r="T493" s="104"/>
      <c r="U493" s="104"/>
      <c r="V493" s="104"/>
      <c r="W493" s="104"/>
      <c r="X493" s="104"/>
      <c r="Y493" s="104"/>
      <c r="Z493" s="104"/>
      <c r="AA493" s="23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4"/>
      <c r="BE493" s="104"/>
      <c r="BF493" s="104"/>
      <c r="BG493" s="104"/>
      <c r="BH493" s="104"/>
      <c r="BI493" s="104"/>
      <c r="BJ493" s="104"/>
      <c r="BK493" s="12"/>
      <c r="BL493" s="12"/>
    </row>
    <row r="494" spans="1:64" hidden="1" outlineLevel="1">
      <c r="A494" s="9"/>
      <c r="B494" s="9"/>
      <c r="C494" s="44"/>
      <c r="D494" s="271">
        <f>Asset25</f>
        <v>0</v>
      </c>
      <c r="E494" s="9"/>
      <c r="F494" s="9"/>
      <c r="G494" s="204">
        <f>Input!J31</f>
        <v>0</v>
      </c>
      <c r="H494" s="115">
        <f t="shared" si="7"/>
        <v>0</v>
      </c>
      <c r="I494" s="115">
        <f t="shared" si="11"/>
        <v>0</v>
      </c>
      <c r="J494" s="115">
        <f t="shared" si="10"/>
        <v>0</v>
      </c>
      <c r="K494" s="115">
        <f t="shared" si="10"/>
        <v>0</v>
      </c>
      <c r="L494" s="115">
        <f t="shared" si="10"/>
        <v>0</v>
      </c>
      <c r="M494" s="115">
        <f t="shared" si="10"/>
        <v>0</v>
      </c>
      <c r="N494" s="115">
        <f>IF(COUNT($H494:M494)&gt;Input!$Y$7,0, M494+M526+M558)</f>
        <v>0</v>
      </c>
      <c r="O494" s="115">
        <f>IF(COUNT($H494:N494)&gt;Input!$Y$7,0, N494+N526+N558)</f>
        <v>0</v>
      </c>
      <c r="P494" s="115">
        <f>IF(COUNT($H494:O494)&gt;Input!$Y$7,0, O494+O526+O558)</f>
        <v>0</v>
      </c>
      <c r="Q494" s="115">
        <f>IF(COUNT($H494:P494)&gt;Input!$Y$7,0, P494+P526+P558)</f>
        <v>0</v>
      </c>
      <c r="R494" s="115">
        <f>IF(COUNT($H494:Q494)&gt;Input!$Y$7,0, Q494+Q526+Q558)</f>
        <v>0</v>
      </c>
      <c r="S494" s="104"/>
      <c r="T494" s="104"/>
      <c r="U494" s="104"/>
      <c r="V494" s="104"/>
      <c r="W494" s="104"/>
      <c r="X494" s="104"/>
      <c r="Y494" s="104"/>
      <c r="Z494" s="104"/>
      <c r="AA494" s="23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4"/>
      <c r="BE494" s="104"/>
      <c r="BF494" s="104"/>
      <c r="BG494" s="104"/>
      <c r="BH494" s="104"/>
      <c r="BI494" s="104"/>
      <c r="BJ494" s="104"/>
      <c r="BK494" s="12"/>
      <c r="BL494" s="12"/>
    </row>
    <row r="495" spans="1:64" hidden="1" outlineLevel="1">
      <c r="A495" s="9"/>
      <c r="B495" s="9"/>
      <c r="C495" s="44"/>
      <c r="D495" s="271">
        <f>Asset26</f>
        <v>0</v>
      </c>
      <c r="E495" s="9"/>
      <c r="F495" s="9"/>
      <c r="G495" s="204">
        <f>Input!J32</f>
        <v>0</v>
      </c>
      <c r="H495" s="115">
        <f t="shared" si="7"/>
        <v>0</v>
      </c>
      <c r="I495" s="115">
        <f t="shared" si="11"/>
        <v>0</v>
      </c>
      <c r="J495" s="115">
        <f t="shared" si="10"/>
        <v>0</v>
      </c>
      <c r="K495" s="115">
        <f t="shared" si="10"/>
        <v>0</v>
      </c>
      <c r="L495" s="115">
        <f t="shared" si="10"/>
        <v>0</v>
      </c>
      <c r="M495" s="115">
        <f t="shared" si="10"/>
        <v>0</v>
      </c>
      <c r="N495" s="115">
        <f>IF(COUNT($H495:M495)&gt;Input!$Y$7,0, M495+M527+M559)</f>
        <v>0</v>
      </c>
      <c r="O495" s="115">
        <f>IF(COUNT($H495:N495)&gt;Input!$Y$7,0, N495+N527+N559)</f>
        <v>0</v>
      </c>
      <c r="P495" s="115">
        <f>IF(COUNT($H495:O495)&gt;Input!$Y$7,0, O495+O527+O559)</f>
        <v>0</v>
      </c>
      <c r="Q495" s="115">
        <f>IF(COUNT($H495:P495)&gt;Input!$Y$7,0, P495+P527+P559)</f>
        <v>0</v>
      </c>
      <c r="R495" s="115">
        <f>IF(COUNT($H495:Q495)&gt;Input!$Y$7,0, Q495+Q527+Q559)</f>
        <v>0</v>
      </c>
      <c r="S495" s="104"/>
      <c r="T495" s="104"/>
      <c r="U495" s="104"/>
      <c r="V495" s="104"/>
      <c r="W495" s="104"/>
      <c r="X495" s="104"/>
      <c r="Y495" s="104"/>
      <c r="Z495" s="104"/>
      <c r="AA495" s="23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4"/>
      <c r="BE495" s="104"/>
      <c r="BF495" s="104"/>
      <c r="BG495" s="104"/>
      <c r="BH495" s="104"/>
      <c r="BI495" s="104"/>
      <c r="BJ495" s="104"/>
      <c r="BK495" s="12"/>
      <c r="BL495" s="12"/>
    </row>
    <row r="496" spans="1:64" hidden="1" outlineLevel="1">
      <c r="A496" s="9"/>
      <c r="B496" s="9"/>
      <c r="C496" s="44"/>
      <c r="D496" s="271">
        <f>Asset27</f>
        <v>0</v>
      </c>
      <c r="E496" s="9"/>
      <c r="F496" s="9"/>
      <c r="G496" s="204">
        <f>Input!J33</f>
        <v>0</v>
      </c>
      <c r="H496" s="115">
        <f t="shared" si="7"/>
        <v>0</v>
      </c>
      <c r="I496" s="115">
        <f t="shared" si="11"/>
        <v>0</v>
      </c>
      <c r="J496" s="115">
        <f t="shared" si="10"/>
        <v>0</v>
      </c>
      <c r="K496" s="115">
        <f t="shared" si="10"/>
        <v>0</v>
      </c>
      <c r="L496" s="115">
        <f t="shared" si="10"/>
        <v>0</v>
      </c>
      <c r="M496" s="115">
        <f t="shared" si="10"/>
        <v>0</v>
      </c>
      <c r="N496" s="115">
        <f>IF(COUNT($H496:M496)&gt;Input!$Y$7,0, M496+M528+M560)</f>
        <v>0</v>
      </c>
      <c r="O496" s="115">
        <f>IF(COUNT($H496:N496)&gt;Input!$Y$7,0, N496+N528+N560)</f>
        <v>0</v>
      </c>
      <c r="P496" s="115">
        <f>IF(COUNT($H496:O496)&gt;Input!$Y$7,0, O496+O528+O560)</f>
        <v>0</v>
      </c>
      <c r="Q496" s="115">
        <f>IF(COUNT($H496:P496)&gt;Input!$Y$7,0, P496+P528+P560)</f>
        <v>0</v>
      </c>
      <c r="R496" s="115">
        <f>IF(COUNT($H496:Q496)&gt;Input!$Y$7,0, Q496+Q528+Q560)</f>
        <v>0</v>
      </c>
      <c r="S496" s="104"/>
      <c r="T496" s="104"/>
      <c r="U496" s="104"/>
      <c r="V496" s="104"/>
      <c r="W496" s="104"/>
      <c r="X496" s="104"/>
      <c r="Y496" s="104"/>
      <c r="Z496" s="104"/>
      <c r="AA496" s="23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4"/>
      <c r="BE496" s="104"/>
      <c r="BF496" s="104"/>
      <c r="BG496" s="104"/>
      <c r="BH496" s="104"/>
      <c r="BI496" s="104"/>
      <c r="BJ496" s="104"/>
      <c r="BK496" s="12"/>
      <c r="BL496" s="12"/>
    </row>
    <row r="497" spans="1:64" hidden="1" outlineLevel="1">
      <c r="A497" s="9"/>
      <c r="B497" s="9"/>
      <c r="C497" s="44"/>
      <c r="D497" s="271">
        <f>Asset28</f>
        <v>0</v>
      </c>
      <c r="E497" s="9"/>
      <c r="F497" s="9"/>
      <c r="G497" s="204">
        <f>Input!J34</f>
        <v>0</v>
      </c>
      <c r="H497" s="115">
        <f t="shared" si="7"/>
        <v>0</v>
      </c>
      <c r="I497" s="115">
        <f t="shared" si="11"/>
        <v>0</v>
      </c>
      <c r="J497" s="115">
        <f t="shared" si="10"/>
        <v>0</v>
      </c>
      <c r="K497" s="115">
        <f t="shared" si="10"/>
        <v>0</v>
      </c>
      <c r="L497" s="115">
        <f t="shared" si="10"/>
        <v>0</v>
      </c>
      <c r="M497" s="115">
        <f t="shared" si="10"/>
        <v>0</v>
      </c>
      <c r="N497" s="115">
        <f>IF(COUNT($H497:M497)&gt;Input!$Y$7,0, M497+M529+M561)</f>
        <v>0</v>
      </c>
      <c r="O497" s="115">
        <f>IF(COUNT($H497:N497)&gt;Input!$Y$7,0, N497+N529+N561)</f>
        <v>0</v>
      </c>
      <c r="P497" s="115">
        <f>IF(COUNT($H497:O497)&gt;Input!$Y$7,0, O497+O529+O561)</f>
        <v>0</v>
      </c>
      <c r="Q497" s="115">
        <f>IF(COUNT($H497:P497)&gt;Input!$Y$7,0, P497+P529+P561)</f>
        <v>0</v>
      </c>
      <c r="R497" s="115">
        <f>IF(COUNT($H497:Q497)&gt;Input!$Y$7,0, Q497+Q529+Q561)</f>
        <v>0</v>
      </c>
      <c r="S497" s="104"/>
      <c r="T497" s="104"/>
      <c r="U497" s="104"/>
      <c r="V497" s="104"/>
      <c r="W497" s="104"/>
      <c r="X497" s="104"/>
      <c r="Y497" s="104"/>
      <c r="Z497" s="104"/>
      <c r="AA497" s="23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4"/>
      <c r="BE497" s="104"/>
      <c r="BF497" s="104"/>
      <c r="BG497" s="104"/>
      <c r="BH497" s="104"/>
      <c r="BI497" s="104"/>
      <c r="BJ497" s="104"/>
      <c r="BK497" s="12"/>
      <c r="BL497" s="12"/>
    </row>
    <row r="498" spans="1:64" hidden="1" outlineLevel="1">
      <c r="A498" s="9"/>
      <c r="B498" s="9"/>
      <c r="C498" s="44"/>
      <c r="D498" s="271">
        <f>Asset29</f>
        <v>0</v>
      </c>
      <c r="E498" s="9"/>
      <c r="F498" s="9"/>
      <c r="G498" s="204">
        <f>Input!J35</f>
        <v>0</v>
      </c>
      <c r="H498" s="115">
        <f t="shared" si="7"/>
        <v>0</v>
      </c>
      <c r="I498" s="115">
        <f t="shared" si="11"/>
        <v>0</v>
      </c>
      <c r="J498" s="115">
        <f t="shared" si="10"/>
        <v>0</v>
      </c>
      <c r="K498" s="115">
        <f t="shared" si="10"/>
        <v>0</v>
      </c>
      <c r="L498" s="115">
        <f t="shared" si="10"/>
        <v>0</v>
      </c>
      <c r="M498" s="115">
        <f t="shared" si="10"/>
        <v>0</v>
      </c>
      <c r="N498" s="115">
        <f>IF(COUNT($H498:M498)&gt;Input!$Y$7,0, M498+M530+M562)</f>
        <v>0</v>
      </c>
      <c r="O498" s="115">
        <f>IF(COUNT($H498:N498)&gt;Input!$Y$7,0, N498+N530+N562)</f>
        <v>0</v>
      </c>
      <c r="P498" s="115">
        <f>IF(COUNT($H498:O498)&gt;Input!$Y$7,0, O498+O530+O562)</f>
        <v>0</v>
      </c>
      <c r="Q498" s="115">
        <f>IF(COUNT($H498:P498)&gt;Input!$Y$7,0, P498+P530+P562)</f>
        <v>0</v>
      </c>
      <c r="R498" s="115">
        <f>IF(COUNT($H498:Q498)&gt;Input!$Y$7,0, Q498+Q530+Q562)</f>
        <v>0</v>
      </c>
      <c r="S498" s="104"/>
      <c r="T498" s="104"/>
      <c r="U498" s="104"/>
      <c r="V498" s="104"/>
      <c r="W498" s="104"/>
      <c r="X498" s="104"/>
      <c r="Y498" s="104"/>
      <c r="Z498" s="104"/>
      <c r="AA498" s="23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4"/>
      <c r="BE498" s="104"/>
      <c r="BF498" s="104"/>
      <c r="BG498" s="104"/>
      <c r="BH498" s="104"/>
      <c r="BI498" s="104"/>
      <c r="BJ498" s="104"/>
      <c r="BK498" s="12"/>
      <c r="BL498" s="12"/>
    </row>
    <row r="499" spans="1:64" hidden="1" outlineLevel="1">
      <c r="A499" s="9"/>
      <c r="B499" s="9"/>
      <c r="C499" s="44"/>
      <c r="D499" s="271">
        <f>Asset30</f>
        <v>0</v>
      </c>
      <c r="E499" s="9"/>
      <c r="F499" s="9"/>
      <c r="G499" s="204">
        <f>Input!J36</f>
        <v>0</v>
      </c>
      <c r="H499" s="115">
        <f t="shared" si="7"/>
        <v>0</v>
      </c>
      <c r="I499" s="115">
        <f t="shared" si="11"/>
        <v>0</v>
      </c>
      <c r="J499" s="115">
        <f>I499+I531+I563</f>
        <v>0</v>
      </c>
      <c r="K499" s="115">
        <f>J499+J531+J563</f>
        <v>0</v>
      </c>
      <c r="L499" s="115">
        <f>K499+K531+K563</f>
        <v>0</v>
      </c>
      <c r="M499" s="115">
        <f>L499+L531+L563</f>
        <v>0</v>
      </c>
      <c r="N499" s="115">
        <f>IF(COUNT($H499:M499)&gt;Input!$Y$7,0, M499+M531+M563)</f>
        <v>0</v>
      </c>
      <c r="O499" s="115">
        <f>IF(COUNT($H499:N499)&gt;Input!$Y$7,0, N499+N531+N563)</f>
        <v>0</v>
      </c>
      <c r="P499" s="115">
        <f>IF(COUNT($H499:O499)&gt;Input!$Y$7,0, O499+O531+O563)</f>
        <v>0</v>
      </c>
      <c r="Q499" s="115">
        <f>IF(COUNT($H499:P499)&gt;Input!$Y$7,0, P499+P531+P563)</f>
        <v>0</v>
      </c>
      <c r="R499" s="115">
        <f>IF(COUNT($H499:Q499)&gt;Input!$Y$7,0, Q499+Q531+Q563)</f>
        <v>0</v>
      </c>
      <c r="S499" s="104"/>
      <c r="T499" s="104"/>
      <c r="U499" s="104"/>
      <c r="V499" s="104"/>
      <c r="W499" s="104"/>
      <c r="X499" s="104"/>
      <c r="Y499" s="104"/>
      <c r="Z499" s="104"/>
      <c r="AA499" s="23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4"/>
      <c r="BE499" s="104"/>
      <c r="BF499" s="104"/>
      <c r="BG499" s="104"/>
      <c r="BH499" s="104"/>
      <c r="BI499" s="104"/>
      <c r="BJ499" s="104"/>
      <c r="BK499" s="12"/>
      <c r="BL499" s="12"/>
    </row>
    <row r="500" spans="1:64" collapsed="1">
      <c r="A500" s="9"/>
      <c r="B500" s="9"/>
      <c r="C500" s="44"/>
      <c r="D500" s="117"/>
      <c r="E500" s="9"/>
      <c r="F500" s="9"/>
      <c r="G500" s="211"/>
      <c r="H500" s="35"/>
      <c r="I500" s="35"/>
      <c r="J500" s="35"/>
      <c r="K500" s="35"/>
      <c r="L500" s="35"/>
      <c r="M500" s="35"/>
      <c r="N500" s="29"/>
      <c r="O500" s="29"/>
      <c r="P500" s="29"/>
      <c r="Q500" s="29"/>
      <c r="R500" s="29"/>
      <c r="S500" s="104"/>
      <c r="T500" s="104"/>
      <c r="U500" s="104"/>
      <c r="V500" s="104"/>
      <c r="W500" s="104"/>
      <c r="X500" s="104"/>
      <c r="Y500" s="104"/>
      <c r="Z500" s="104"/>
      <c r="AA500" s="23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4"/>
      <c r="BE500" s="104"/>
      <c r="BF500" s="104"/>
      <c r="BG500" s="104"/>
      <c r="BH500" s="104"/>
      <c r="BI500" s="104"/>
      <c r="BJ500" s="104"/>
      <c r="BK500" s="12"/>
      <c r="BL500" s="12"/>
    </row>
    <row r="501" spans="1:64">
      <c r="A501" s="9"/>
      <c r="B501" s="9"/>
      <c r="C501" s="44" t="s">
        <v>10</v>
      </c>
      <c r="D501" s="9"/>
      <c r="E501" s="9"/>
      <c r="F501" s="9"/>
      <c r="G501" s="205">
        <f>SUM(G502:G531)</f>
        <v>256.13131134785033</v>
      </c>
      <c r="H501" s="35">
        <f>SUM(H502:H531)</f>
        <v>273.82759092251814</v>
      </c>
      <c r="I501" s="35">
        <f t="shared" ref="I501:P501" si="12">SUM(I502:I531)</f>
        <v>319.46355928702627</v>
      </c>
      <c r="J501" s="35">
        <f t="shared" si="12"/>
        <v>379.05562881142396</v>
      </c>
      <c r="K501" s="35">
        <f t="shared" si="12"/>
        <v>400.5282162554243</v>
      </c>
      <c r="L501" s="35">
        <f t="shared" si="12"/>
        <v>366.10899757493087</v>
      </c>
      <c r="M501" s="35">
        <f t="shared" si="12"/>
        <v>0</v>
      </c>
      <c r="N501" s="35">
        <f t="shared" si="12"/>
        <v>0</v>
      </c>
      <c r="O501" s="35">
        <f t="shared" si="12"/>
        <v>0</v>
      </c>
      <c r="P501" s="35">
        <f t="shared" si="12"/>
        <v>0</v>
      </c>
      <c r="Q501" s="35">
        <f>SUM(Q502:Q531)</f>
        <v>0</v>
      </c>
      <c r="R501" s="29"/>
      <c r="S501" s="104"/>
      <c r="T501" s="104"/>
      <c r="U501" s="104"/>
      <c r="V501" s="104"/>
      <c r="W501" s="104"/>
      <c r="X501" s="104"/>
      <c r="Y501" s="104"/>
      <c r="Z501" s="104"/>
      <c r="AA501" s="23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4"/>
      <c r="BE501" s="104"/>
      <c r="BF501" s="104"/>
      <c r="BG501" s="104"/>
      <c r="BH501" s="104"/>
      <c r="BI501" s="104"/>
      <c r="BJ501" s="104"/>
      <c r="BK501" s="12"/>
      <c r="BL501" s="12"/>
    </row>
    <row r="502" spans="1:64" hidden="1" outlineLevel="1">
      <c r="A502" s="9"/>
      <c r="B502" s="9"/>
      <c r="C502" s="44"/>
      <c r="D502" s="271" t="str">
        <f>Asset1</f>
        <v>Subtransmission</v>
      </c>
      <c r="E502" s="9"/>
      <c r="F502" s="9"/>
      <c r="G502" s="207">
        <f>'Adjustment for previous period'!G528</f>
        <v>26.463578654632183</v>
      </c>
      <c r="H502" s="115">
        <f>H12*H$7</f>
        <v>23.303623231324877</v>
      </c>
      <c r="I502" s="115">
        <f t="shared" ref="I502:Q502" si="13">I12*I$7</f>
        <v>46.378760314540145</v>
      </c>
      <c r="J502" s="115">
        <f t="shared" si="13"/>
        <v>66.655244555600063</v>
      </c>
      <c r="K502" s="115">
        <f t="shared" si="13"/>
        <v>65.988628238562669</v>
      </c>
      <c r="L502" s="115">
        <f t="shared" si="13"/>
        <v>65.82190228729435</v>
      </c>
      <c r="M502" s="115">
        <f t="shared" si="13"/>
        <v>0</v>
      </c>
      <c r="N502" s="115">
        <f t="shared" si="13"/>
        <v>0</v>
      </c>
      <c r="O502" s="115">
        <f t="shared" si="13"/>
        <v>0</v>
      </c>
      <c r="P502" s="115">
        <f t="shared" si="13"/>
        <v>0</v>
      </c>
      <c r="Q502" s="115">
        <f t="shared" si="13"/>
        <v>0</v>
      </c>
      <c r="R502" s="29"/>
      <c r="S502" s="104"/>
      <c r="T502" s="104"/>
      <c r="U502" s="104"/>
      <c r="V502" s="104"/>
      <c r="W502" s="104"/>
      <c r="X502" s="104"/>
      <c r="Y502" s="104"/>
      <c r="Z502" s="104"/>
      <c r="AA502" s="23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4"/>
      <c r="BE502" s="104"/>
      <c r="BF502" s="104"/>
      <c r="BG502" s="104"/>
      <c r="BH502" s="104"/>
      <c r="BI502" s="104"/>
      <c r="BJ502" s="104"/>
      <c r="BK502" s="12"/>
      <c r="BL502" s="12"/>
    </row>
    <row r="503" spans="1:64" hidden="1" outlineLevel="1">
      <c r="A503" s="9"/>
      <c r="B503" s="9"/>
      <c r="C503" s="44"/>
      <c r="D503" s="271" t="str">
        <f>Asset2</f>
        <v>Distribution system assets</v>
      </c>
      <c r="E503" s="9"/>
      <c r="F503" s="9"/>
      <c r="G503" s="207">
        <f>'Adjustment for previous period'!G529</f>
        <v>172.58288269321812</v>
      </c>
      <c r="H503" s="115">
        <f t="shared" ref="H503:Q503" si="14">H13*H$7</f>
        <v>193.59505286296888</v>
      </c>
      <c r="I503" s="115">
        <f t="shared" si="14"/>
        <v>215.07213538798695</v>
      </c>
      <c r="J503" s="115">
        <f t="shared" si="14"/>
        <v>252.19913275839346</v>
      </c>
      <c r="K503" s="115">
        <f t="shared" si="14"/>
        <v>294.62750465602994</v>
      </c>
      <c r="L503" s="115">
        <f t="shared" si="14"/>
        <v>274.33470113397988</v>
      </c>
      <c r="M503" s="115">
        <f t="shared" si="14"/>
        <v>0</v>
      </c>
      <c r="N503" s="115">
        <f t="shared" si="14"/>
        <v>0</v>
      </c>
      <c r="O503" s="115">
        <f t="shared" si="14"/>
        <v>0</v>
      </c>
      <c r="P503" s="115">
        <f t="shared" si="14"/>
        <v>0</v>
      </c>
      <c r="Q503" s="115">
        <f t="shared" si="14"/>
        <v>0</v>
      </c>
      <c r="R503" s="29"/>
      <c r="S503" s="104"/>
      <c r="T503" s="104"/>
      <c r="U503" s="104"/>
      <c r="V503" s="104"/>
      <c r="W503" s="104"/>
      <c r="X503" s="104"/>
      <c r="Y503" s="104"/>
      <c r="Z503" s="104"/>
      <c r="AA503" s="23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4"/>
      <c r="BE503" s="104"/>
      <c r="BF503" s="104"/>
      <c r="BG503" s="104"/>
      <c r="BH503" s="104"/>
      <c r="BI503" s="104"/>
      <c r="BJ503" s="104"/>
      <c r="BK503" s="12"/>
      <c r="BL503" s="12"/>
    </row>
    <row r="504" spans="1:64" hidden="1" outlineLevel="1">
      <c r="A504" s="9"/>
      <c r="B504" s="9"/>
      <c r="C504" s="44"/>
      <c r="D504" s="271" t="str">
        <f>Asset3</f>
        <v>Standard metering</v>
      </c>
      <c r="E504" s="9"/>
      <c r="F504" s="9"/>
      <c r="G504" s="207">
        <f>'Adjustment for previous period'!G530</f>
        <v>0</v>
      </c>
      <c r="H504" s="115">
        <f t="shared" ref="H504:Q504" si="15">H14*H$7</f>
        <v>0</v>
      </c>
      <c r="I504" s="115">
        <f t="shared" si="15"/>
        <v>0</v>
      </c>
      <c r="J504" s="115">
        <f t="shared" si="15"/>
        <v>0</v>
      </c>
      <c r="K504" s="115">
        <f t="shared" si="15"/>
        <v>0</v>
      </c>
      <c r="L504" s="115">
        <f t="shared" si="15"/>
        <v>0</v>
      </c>
      <c r="M504" s="115">
        <f t="shared" si="15"/>
        <v>0</v>
      </c>
      <c r="N504" s="115">
        <f t="shared" si="15"/>
        <v>0</v>
      </c>
      <c r="O504" s="115">
        <f t="shared" si="15"/>
        <v>0</v>
      </c>
      <c r="P504" s="115">
        <f t="shared" si="15"/>
        <v>0</v>
      </c>
      <c r="Q504" s="115">
        <f t="shared" si="15"/>
        <v>0</v>
      </c>
      <c r="R504" s="29"/>
      <c r="S504" s="104"/>
      <c r="T504" s="104"/>
      <c r="U504" s="104"/>
      <c r="V504" s="104"/>
      <c r="W504" s="104"/>
      <c r="X504" s="104"/>
      <c r="Y504" s="104"/>
      <c r="Z504" s="104"/>
      <c r="AA504" s="23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4"/>
      <c r="BE504" s="104"/>
      <c r="BF504" s="104"/>
      <c r="BG504" s="104"/>
      <c r="BH504" s="104"/>
      <c r="BI504" s="104"/>
      <c r="BJ504" s="104"/>
      <c r="BK504" s="12"/>
      <c r="BL504" s="12"/>
    </row>
    <row r="505" spans="1:64" hidden="1" outlineLevel="1">
      <c r="A505" s="9"/>
      <c r="B505" s="9"/>
      <c r="C505" s="44"/>
      <c r="D505" s="271" t="str">
        <f>Asset4</f>
        <v>Public lighting</v>
      </c>
      <c r="E505" s="9"/>
      <c r="F505" s="9"/>
      <c r="G505" s="207">
        <f>'Adjustment for previous period'!G531</f>
        <v>0</v>
      </c>
      <c r="H505" s="115">
        <f t="shared" ref="H505:Q505" si="16">H15*H$7</f>
        <v>0</v>
      </c>
      <c r="I505" s="115">
        <f t="shared" si="16"/>
        <v>0</v>
      </c>
      <c r="J505" s="115">
        <f t="shared" si="16"/>
        <v>0</v>
      </c>
      <c r="K505" s="115">
        <f t="shared" si="16"/>
        <v>0</v>
      </c>
      <c r="L505" s="115">
        <f t="shared" si="16"/>
        <v>0</v>
      </c>
      <c r="M505" s="115">
        <f t="shared" si="16"/>
        <v>0</v>
      </c>
      <c r="N505" s="115">
        <f t="shared" si="16"/>
        <v>0</v>
      </c>
      <c r="O505" s="115">
        <f t="shared" si="16"/>
        <v>0</v>
      </c>
      <c r="P505" s="115">
        <f t="shared" si="16"/>
        <v>0</v>
      </c>
      <c r="Q505" s="115">
        <f t="shared" si="16"/>
        <v>0</v>
      </c>
      <c r="R505" s="29"/>
      <c r="S505" s="104"/>
      <c r="T505" s="104"/>
      <c r="U505" s="104"/>
      <c r="V505" s="104"/>
      <c r="W505" s="104"/>
      <c r="X505" s="104"/>
      <c r="Y505" s="104"/>
      <c r="Z505" s="104"/>
      <c r="AA505" s="23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4"/>
      <c r="BE505" s="104"/>
      <c r="BF505" s="104"/>
      <c r="BG505" s="104"/>
      <c r="BH505" s="104"/>
      <c r="BI505" s="104"/>
      <c r="BJ505" s="104"/>
      <c r="BK505" s="12"/>
      <c r="BL505" s="12"/>
    </row>
    <row r="506" spans="1:64" hidden="1" outlineLevel="1">
      <c r="A506" s="9"/>
      <c r="B506" s="9"/>
      <c r="C506" s="44"/>
      <c r="D506" s="271" t="str">
        <f>Asset5</f>
        <v>SCADA/Network control</v>
      </c>
      <c r="E506" s="9"/>
      <c r="F506" s="9"/>
      <c r="G506" s="207">
        <f>'Adjustment for previous period'!G532</f>
        <v>1.96</v>
      </c>
      <c r="H506" s="115">
        <f t="shared" ref="H506:Q506" si="17">H16*H$7</f>
        <v>1.3307440827500228</v>
      </c>
      <c r="I506" s="115">
        <f t="shared" si="17"/>
        <v>6.2235364165212346</v>
      </c>
      <c r="J506" s="115">
        <f t="shared" si="17"/>
        <v>2.0111157645861524</v>
      </c>
      <c r="K506" s="115">
        <f t="shared" si="17"/>
        <v>0.76939414652789528</v>
      </c>
      <c r="L506" s="115">
        <f t="shared" si="17"/>
        <v>3.0482079713681767</v>
      </c>
      <c r="M506" s="115">
        <f t="shared" si="17"/>
        <v>0</v>
      </c>
      <c r="N506" s="115">
        <f t="shared" si="17"/>
        <v>0</v>
      </c>
      <c r="O506" s="115">
        <f t="shared" si="17"/>
        <v>0</v>
      </c>
      <c r="P506" s="115">
        <f t="shared" si="17"/>
        <v>0</v>
      </c>
      <c r="Q506" s="115">
        <f t="shared" si="17"/>
        <v>0</v>
      </c>
      <c r="R506" s="29"/>
      <c r="S506" s="104"/>
      <c r="T506" s="104"/>
      <c r="U506" s="104"/>
      <c r="V506" s="104"/>
      <c r="W506" s="104"/>
      <c r="X506" s="104"/>
      <c r="Y506" s="104"/>
      <c r="Z506" s="104"/>
      <c r="AA506" s="23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4"/>
      <c r="BE506" s="104"/>
      <c r="BF506" s="104"/>
      <c r="BG506" s="104"/>
      <c r="BH506" s="104"/>
      <c r="BI506" s="104"/>
      <c r="BJ506" s="104"/>
      <c r="BK506" s="12"/>
      <c r="BL506" s="12"/>
    </row>
    <row r="507" spans="1:64" hidden="1" outlineLevel="1">
      <c r="A507" s="9"/>
      <c r="B507" s="9"/>
      <c r="C507" s="44"/>
      <c r="D507" s="271" t="str">
        <f>Asset6</f>
        <v>Non-network general assets - IT</v>
      </c>
      <c r="E507" s="9"/>
      <c r="F507" s="9"/>
      <c r="G507" s="207">
        <f>'Adjustment for previous period'!G533</f>
        <v>48.754849999999998</v>
      </c>
      <c r="H507" s="115">
        <f t="shared" ref="H507:Q507" si="18">H17*H$7</f>
        <v>48.88963050469534</v>
      </c>
      <c r="I507" s="115">
        <f t="shared" si="18"/>
        <v>47.902560628477289</v>
      </c>
      <c r="J507" s="115">
        <f t="shared" si="18"/>
        <v>52.452763589315062</v>
      </c>
      <c r="K507" s="115">
        <f t="shared" si="18"/>
        <v>34.528761120489946</v>
      </c>
      <c r="L507" s="115">
        <f t="shared" si="18"/>
        <v>20.378165210085136</v>
      </c>
      <c r="M507" s="115">
        <f t="shared" si="18"/>
        <v>0</v>
      </c>
      <c r="N507" s="115">
        <f t="shared" si="18"/>
        <v>0</v>
      </c>
      <c r="O507" s="115">
        <f t="shared" si="18"/>
        <v>0</v>
      </c>
      <c r="P507" s="115">
        <f t="shared" si="18"/>
        <v>0</v>
      </c>
      <c r="Q507" s="115">
        <f t="shared" si="18"/>
        <v>0</v>
      </c>
      <c r="R507" s="29"/>
      <c r="S507" s="104"/>
      <c r="T507" s="104"/>
      <c r="U507" s="104"/>
      <c r="V507" s="104"/>
      <c r="W507" s="104"/>
      <c r="X507" s="104"/>
      <c r="Y507" s="104"/>
      <c r="Z507" s="104"/>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4"/>
      <c r="BE507" s="104"/>
      <c r="BF507" s="104"/>
      <c r="BG507" s="104"/>
      <c r="BH507" s="104"/>
      <c r="BI507" s="104"/>
      <c r="BJ507" s="104"/>
      <c r="BK507" s="12"/>
      <c r="BL507" s="12"/>
    </row>
    <row r="508" spans="1:64" hidden="1" outlineLevel="1">
      <c r="A508" s="9"/>
      <c r="B508" s="9"/>
      <c r="C508" s="44"/>
      <c r="D508" s="271" t="str">
        <f>Asset7</f>
        <v>Non-network general assets - Other</v>
      </c>
      <c r="E508" s="9"/>
      <c r="F508" s="9"/>
      <c r="G508" s="207">
        <f>'Adjustment for previous period'!G534</f>
        <v>6.37</v>
      </c>
      <c r="H508" s="115">
        <f t="shared" ref="H508:Q508" si="19">H18*H$7</f>
        <v>5.1531960739867975</v>
      </c>
      <c r="I508" s="115">
        <f t="shared" si="19"/>
        <v>3.8865665395006244</v>
      </c>
      <c r="J508" s="115">
        <f t="shared" si="19"/>
        <v>5.7373721435292522</v>
      </c>
      <c r="K508" s="115">
        <f t="shared" si="19"/>
        <v>4.613928093813831</v>
      </c>
      <c r="L508" s="115">
        <f t="shared" si="19"/>
        <v>2.5260209722033289</v>
      </c>
      <c r="M508" s="115">
        <f t="shared" si="19"/>
        <v>0</v>
      </c>
      <c r="N508" s="115">
        <f t="shared" si="19"/>
        <v>0</v>
      </c>
      <c r="O508" s="115">
        <f t="shared" si="19"/>
        <v>0</v>
      </c>
      <c r="P508" s="115">
        <f t="shared" si="19"/>
        <v>0</v>
      </c>
      <c r="Q508" s="115">
        <f t="shared" si="19"/>
        <v>0</v>
      </c>
      <c r="R508" s="29"/>
      <c r="S508" s="104"/>
      <c r="T508" s="104"/>
      <c r="U508" s="104"/>
      <c r="V508" s="104"/>
      <c r="W508" s="104"/>
      <c r="X508" s="104"/>
      <c r="Y508" s="104"/>
      <c r="Z508" s="104"/>
      <c r="AA508" s="23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4"/>
      <c r="BE508" s="104"/>
      <c r="BF508" s="104"/>
      <c r="BG508" s="104"/>
      <c r="BH508" s="104"/>
      <c r="BI508" s="104"/>
      <c r="BJ508" s="104"/>
      <c r="BK508" s="12"/>
      <c r="BL508" s="12"/>
    </row>
    <row r="509" spans="1:64" hidden="1" outlineLevel="1">
      <c r="A509" s="9"/>
      <c r="B509" s="9"/>
      <c r="C509" s="44"/>
      <c r="D509" s="271" t="str">
        <f>Asset8</f>
        <v>Equity Raising Costs</v>
      </c>
      <c r="E509" s="9"/>
      <c r="F509" s="9"/>
      <c r="G509" s="207">
        <f>'Adjustment for previous period'!G535</f>
        <v>0</v>
      </c>
      <c r="H509" s="115">
        <f t="shared" ref="H509:Q509" si="20">H19*H$7</f>
        <v>1.5553441667922454</v>
      </c>
      <c r="I509" s="115">
        <f t="shared" si="20"/>
        <v>0</v>
      </c>
      <c r="J509" s="115">
        <f t="shared" si="20"/>
        <v>0</v>
      </c>
      <c r="K509" s="115">
        <f t="shared" si="20"/>
        <v>0</v>
      </c>
      <c r="L509" s="115">
        <f t="shared" si="20"/>
        <v>0</v>
      </c>
      <c r="M509" s="115">
        <f t="shared" si="20"/>
        <v>0</v>
      </c>
      <c r="N509" s="115">
        <f t="shared" si="20"/>
        <v>0</v>
      </c>
      <c r="O509" s="115">
        <f t="shared" si="20"/>
        <v>0</v>
      </c>
      <c r="P509" s="115">
        <f t="shared" si="20"/>
        <v>0</v>
      </c>
      <c r="Q509" s="115">
        <f t="shared" si="20"/>
        <v>0</v>
      </c>
      <c r="R509" s="29"/>
      <c r="S509" s="104"/>
      <c r="T509" s="104"/>
      <c r="U509" s="104"/>
      <c r="V509" s="104"/>
      <c r="W509" s="104"/>
      <c r="X509" s="104"/>
      <c r="Y509" s="104"/>
      <c r="Z509" s="104"/>
      <c r="AA509" s="23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4"/>
      <c r="BE509" s="104"/>
      <c r="BF509" s="104"/>
      <c r="BG509" s="104"/>
      <c r="BH509" s="104"/>
      <c r="BI509" s="104"/>
      <c r="BJ509" s="104"/>
      <c r="BK509" s="12"/>
      <c r="BL509" s="12"/>
    </row>
    <row r="510" spans="1:64" hidden="1" outlineLevel="1">
      <c r="A510" s="9"/>
      <c r="B510" s="9"/>
      <c r="C510" s="44"/>
      <c r="D510" s="271">
        <f>Asset9</f>
        <v>0</v>
      </c>
      <c r="E510" s="9"/>
      <c r="F510" s="9"/>
      <c r="G510" s="207">
        <f>'Adjustment for previous period'!G536</f>
        <v>0</v>
      </c>
      <c r="H510" s="115">
        <f t="shared" ref="H510:Q510" si="21">H20*H$7</f>
        <v>0</v>
      </c>
      <c r="I510" s="115">
        <f t="shared" si="21"/>
        <v>0</v>
      </c>
      <c r="J510" s="115">
        <f t="shared" si="21"/>
        <v>0</v>
      </c>
      <c r="K510" s="115">
        <f t="shared" si="21"/>
        <v>0</v>
      </c>
      <c r="L510" s="115">
        <f t="shared" si="21"/>
        <v>0</v>
      </c>
      <c r="M510" s="115">
        <f t="shared" si="21"/>
        <v>0</v>
      </c>
      <c r="N510" s="115">
        <f t="shared" si="21"/>
        <v>0</v>
      </c>
      <c r="O510" s="115">
        <f t="shared" si="21"/>
        <v>0</v>
      </c>
      <c r="P510" s="115">
        <f t="shared" si="21"/>
        <v>0</v>
      </c>
      <c r="Q510" s="115">
        <f t="shared" si="21"/>
        <v>0</v>
      </c>
      <c r="R510" s="29"/>
      <c r="S510" s="104"/>
      <c r="T510" s="104"/>
      <c r="U510" s="104"/>
      <c r="V510" s="104"/>
      <c r="W510" s="104"/>
      <c r="X510" s="104"/>
      <c r="Y510" s="104"/>
      <c r="Z510" s="104"/>
      <c r="AA510" s="23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4"/>
      <c r="BE510" s="104"/>
      <c r="BF510" s="104"/>
      <c r="BG510" s="104"/>
      <c r="BH510" s="104"/>
      <c r="BI510" s="104"/>
      <c r="BJ510" s="104"/>
      <c r="BK510" s="12"/>
      <c r="BL510" s="12"/>
    </row>
    <row r="511" spans="1:64" hidden="1" outlineLevel="1">
      <c r="A511" s="9"/>
      <c r="B511" s="9"/>
      <c r="C511" s="44"/>
      <c r="D511" s="271">
        <f>Asset10</f>
        <v>0</v>
      </c>
      <c r="E511" s="9"/>
      <c r="F511" s="9"/>
      <c r="G511" s="207">
        <f>'Adjustment for previous period'!G537</f>
        <v>0</v>
      </c>
      <c r="H511" s="115">
        <f t="shared" ref="H511:Q511" si="22">H21*H$7</f>
        <v>0</v>
      </c>
      <c r="I511" s="115">
        <f t="shared" si="22"/>
        <v>0</v>
      </c>
      <c r="J511" s="115">
        <f t="shared" si="22"/>
        <v>0</v>
      </c>
      <c r="K511" s="115">
        <f t="shared" si="22"/>
        <v>0</v>
      </c>
      <c r="L511" s="115">
        <f t="shared" si="22"/>
        <v>0</v>
      </c>
      <c r="M511" s="115">
        <f t="shared" si="22"/>
        <v>0</v>
      </c>
      <c r="N511" s="115">
        <f t="shared" si="22"/>
        <v>0</v>
      </c>
      <c r="O511" s="115">
        <f t="shared" si="22"/>
        <v>0</v>
      </c>
      <c r="P511" s="115">
        <f t="shared" si="22"/>
        <v>0</v>
      </c>
      <c r="Q511" s="115">
        <f t="shared" si="22"/>
        <v>0</v>
      </c>
      <c r="R511" s="29"/>
      <c r="S511" s="104"/>
      <c r="T511" s="104"/>
      <c r="U511" s="104"/>
      <c r="V511" s="104"/>
      <c r="W511" s="104"/>
      <c r="X511" s="104"/>
      <c r="Y511" s="104"/>
      <c r="Z511" s="104"/>
      <c r="AA511" s="23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4"/>
      <c r="BE511" s="104"/>
      <c r="BF511" s="104"/>
      <c r="BG511" s="104"/>
      <c r="BH511" s="104"/>
      <c r="BI511" s="104"/>
      <c r="BJ511" s="104"/>
      <c r="BK511" s="12"/>
      <c r="BL511" s="12"/>
    </row>
    <row r="512" spans="1:64" hidden="1" outlineLevel="1">
      <c r="A512" s="9"/>
      <c r="B512" s="9"/>
      <c r="C512" s="44"/>
      <c r="D512" s="271">
        <f>Asset11</f>
        <v>0</v>
      </c>
      <c r="E512" s="9"/>
      <c r="F512" s="9"/>
      <c r="G512" s="207">
        <f>'Adjustment for previous period'!G538</f>
        <v>0</v>
      </c>
      <c r="H512" s="115">
        <f t="shared" ref="H512:Q512" si="23">H22*H$7</f>
        <v>0</v>
      </c>
      <c r="I512" s="115">
        <f t="shared" si="23"/>
        <v>0</v>
      </c>
      <c r="J512" s="115">
        <f t="shared" si="23"/>
        <v>0</v>
      </c>
      <c r="K512" s="115">
        <f t="shared" si="23"/>
        <v>0</v>
      </c>
      <c r="L512" s="115">
        <f t="shared" si="23"/>
        <v>0</v>
      </c>
      <c r="M512" s="115">
        <f t="shared" si="23"/>
        <v>0</v>
      </c>
      <c r="N512" s="115">
        <f t="shared" si="23"/>
        <v>0</v>
      </c>
      <c r="O512" s="115">
        <f t="shared" si="23"/>
        <v>0</v>
      </c>
      <c r="P512" s="115">
        <f t="shared" si="23"/>
        <v>0</v>
      </c>
      <c r="Q512" s="115">
        <f t="shared" si="23"/>
        <v>0</v>
      </c>
      <c r="R512" s="29"/>
      <c r="S512" s="104"/>
      <c r="T512" s="104"/>
      <c r="U512" s="104"/>
      <c r="V512" s="104"/>
      <c r="W512" s="104"/>
      <c r="X512" s="104"/>
      <c r="Y512" s="104"/>
      <c r="Z512" s="104"/>
      <c r="AA512" s="23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4"/>
      <c r="BE512" s="104"/>
      <c r="BF512" s="104"/>
      <c r="BG512" s="104"/>
      <c r="BH512" s="104"/>
      <c r="BI512" s="104"/>
      <c r="BJ512" s="104"/>
      <c r="BK512" s="12"/>
      <c r="BL512" s="12"/>
    </row>
    <row r="513" spans="1:64" hidden="1" outlineLevel="1">
      <c r="A513" s="9"/>
      <c r="B513" s="9"/>
      <c r="C513" s="44"/>
      <c r="D513" s="271">
        <f>Asset12</f>
        <v>0</v>
      </c>
      <c r="E513" s="9"/>
      <c r="F513" s="9"/>
      <c r="G513" s="207">
        <f>'Adjustment for previous period'!G539</f>
        <v>0</v>
      </c>
      <c r="H513" s="115">
        <f t="shared" ref="H513:Q513" si="24">H23*H$7</f>
        <v>0</v>
      </c>
      <c r="I513" s="115">
        <f t="shared" si="24"/>
        <v>0</v>
      </c>
      <c r="J513" s="115">
        <f t="shared" si="24"/>
        <v>0</v>
      </c>
      <c r="K513" s="115">
        <f t="shared" si="24"/>
        <v>0</v>
      </c>
      <c r="L513" s="115">
        <f t="shared" si="24"/>
        <v>0</v>
      </c>
      <c r="M513" s="115">
        <f t="shared" si="24"/>
        <v>0</v>
      </c>
      <c r="N513" s="115">
        <f t="shared" si="24"/>
        <v>0</v>
      </c>
      <c r="O513" s="115">
        <f t="shared" si="24"/>
        <v>0</v>
      </c>
      <c r="P513" s="115">
        <f t="shared" si="24"/>
        <v>0</v>
      </c>
      <c r="Q513" s="115">
        <f t="shared" si="24"/>
        <v>0</v>
      </c>
      <c r="R513" s="29"/>
      <c r="S513" s="104"/>
      <c r="T513" s="104"/>
      <c r="U513" s="104"/>
      <c r="V513" s="104"/>
      <c r="W513" s="104"/>
      <c r="X513" s="104"/>
      <c r="Y513" s="104"/>
      <c r="Z513" s="104"/>
      <c r="AA513" s="23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4"/>
      <c r="BE513" s="104"/>
      <c r="BF513" s="104"/>
      <c r="BG513" s="104"/>
      <c r="BH513" s="104"/>
      <c r="BI513" s="104"/>
      <c r="BJ513" s="104"/>
      <c r="BK513" s="12"/>
      <c r="BL513" s="12"/>
    </row>
    <row r="514" spans="1:64" hidden="1" outlineLevel="1">
      <c r="A514" s="9"/>
      <c r="B514" s="9"/>
      <c r="C514" s="44"/>
      <c r="D514" s="271">
        <f>Asset13</f>
        <v>0</v>
      </c>
      <c r="E514" s="9"/>
      <c r="F514" s="9"/>
      <c r="G514" s="207">
        <f>'Adjustment for previous period'!G540</f>
        <v>0</v>
      </c>
      <c r="H514" s="115">
        <f t="shared" ref="H514:Q514" si="25">H24*H$7</f>
        <v>0</v>
      </c>
      <c r="I514" s="115">
        <f t="shared" si="25"/>
        <v>0</v>
      </c>
      <c r="J514" s="115">
        <f t="shared" si="25"/>
        <v>0</v>
      </c>
      <c r="K514" s="115">
        <f t="shared" si="25"/>
        <v>0</v>
      </c>
      <c r="L514" s="115">
        <f t="shared" si="25"/>
        <v>0</v>
      </c>
      <c r="M514" s="115">
        <f t="shared" si="25"/>
        <v>0</v>
      </c>
      <c r="N514" s="115">
        <f t="shared" si="25"/>
        <v>0</v>
      </c>
      <c r="O514" s="115">
        <f t="shared" si="25"/>
        <v>0</v>
      </c>
      <c r="P514" s="115">
        <f t="shared" si="25"/>
        <v>0</v>
      </c>
      <c r="Q514" s="115">
        <f t="shared" si="25"/>
        <v>0</v>
      </c>
      <c r="R514" s="29"/>
      <c r="S514" s="104"/>
      <c r="T514" s="104"/>
      <c r="U514" s="104"/>
      <c r="V514" s="104"/>
      <c r="W514" s="104"/>
      <c r="X514" s="104"/>
      <c r="Y514" s="104"/>
      <c r="Z514" s="104"/>
      <c r="AA514" s="23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4"/>
      <c r="BE514" s="104"/>
      <c r="BF514" s="104"/>
      <c r="BG514" s="104"/>
      <c r="BH514" s="104"/>
      <c r="BI514" s="104"/>
      <c r="BJ514" s="104"/>
      <c r="BK514" s="12"/>
      <c r="BL514" s="12"/>
    </row>
    <row r="515" spans="1:64" hidden="1" outlineLevel="1">
      <c r="A515" s="9"/>
      <c r="B515" s="9"/>
      <c r="C515" s="44"/>
      <c r="D515" s="271">
        <f>Asset14</f>
        <v>0</v>
      </c>
      <c r="E515" s="9"/>
      <c r="F515" s="9"/>
      <c r="G515" s="207">
        <f>'Adjustment for previous period'!G541</f>
        <v>0</v>
      </c>
      <c r="H515" s="115">
        <f t="shared" ref="H515:Q515" si="26">H25*H$7</f>
        <v>0</v>
      </c>
      <c r="I515" s="115">
        <f t="shared" si="26"/>
        <v>0</v>
      </c>
      <c r="J515" s="115">
        <f t="shared" si="26"/>
        <v>0</v>
      </c>
      <c r="K515" s="115">
        <f t="shared" si="26"/>
        <v>0</v>
      </c>
      <c r="L515" s="115">
        <f t="shared" si="26"/>
        <v>0</v>
      </c>
      <c r="M515" s="115">
        <f t="shared" si="26"/>
        <v>0</v>
      </c>
      <c r="N515" s="115">
        <f t="shared" si="26"/>
        <v>0</v>
      </c>
      <c r="O515" s="115">
        <f t="shared" si="26"/>
        <v>0</v>
      </c>
      <c r="P515" s="115">
        <f t="shared" si="26"/>
        <v>0</v>
      </c>
      <c r="Q515" s="115">
        <f t="shared" si="26"/>
        <v>0</v>
      </c>
      <c r="R515" s="29"/>
      <c r="S515" s="104"/>
      <c r="T515" s="104"/>
      <c r="U515" s="104"/>
      <c r="V515" s="104"/>
      <c r="W515" s="104"/>
      <c r="X515" s="104"/>
      <c r="Y515" s="104"/>
      <c r="Z515" s="104"/>
      <c r="AA515" s="23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4"/>
      <c r="BE515" s="104"/>
      <c r="BF515" s="104"/>
      <c r="BG515" s="104"/>
      <c r="BH515" s="104"/>
      <c r="BI515" s="104"/>
      <c r="BJ515" s="104"/>
      <c r="BK515" s="12"/>
      <c r="BL515" s="12"/>
    </row>
    <row r="516" spans="1:64" hidden="1" outlineLevel="1">
      <c r="A516" s="9"/>
      <c r="B516" s="9"/>
      <c r="C516" s="44"/>
      <c r="D516" s="271">
        <f>Asset15</f>
        <v>0</v>
      </c>
      <c r="E516" s="9"/>
      <c r="F516" s="9"/>
      <c r="G516" s="207">
        <f>'Adjustment for previous period'!G542</f>
        <v>0</v>
      </c>
      <c r="H516" s="115">
        <f t="shared" ref="H516:Q516" si="27">H26*H$7</f>
        <v>0</v>
      </c>
      <c r="I516" s="115">
        <f t="shared" si="27"/>
        <v>0</v>
      </c>
      <c r="J516" s="115">
        <f t="shared" si="27"/>
        <v>0</v>
      </c>
      <c r="K516" s="115">
        <f t="shared" si="27"/>
        <v>0</v>
      </c>
      <c r="L516" s="115">
        <f t="shared" si="27"/>
        <v>0</v>
      </c>
      <c r="M516" s="115">
        <f t="shared" si="27"/>
        <v>0</v>
      </c>
      <c r="N516" s="115">
        <f t="shared" si="27"/>
        <v>0</v>
      </c>
      <c r="O516" s="115">
        <f t="shared" si="27"/>
        <v>0</v>
      </c>
      <c r="P516" s="115">
        <f t="shared" si="27"/>
        <v>0</v>
      </c>
      <c r="Q516" s="115">
        <f t="shared" si="27"/>
        <v>0</v>
      </c>
      <c r="R516" s="29"/>
      <c r="S516" s="104"/>
      <c r="T516" s="104"/>
      <c r="U516" s="104"/>
      <c r="V516" s="104"/>
      <c r="W516" s="104"/>
      <c r="X516" s="104"/>
      <c r="Y516" s="104"/>
      <c r="Z516" s="104"/>
      <c r="AA516" s="23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4"/>
      <c r="BE516" s="104"/>
      <c r="BF516" s="104"/>
      <c r="BG516" s="104"/>
      <c r="BH516" s="104"/>
      <c r="BI516" s="104"/>
      <c r="BJ516" s="104"/>
      <c r="BK516" s="12"/>
      <c r="BL516" s="12"/>
    </row>
    <row r="517" spans="1:64" hidden="1" outlineLevel="1">
      <c r="A517" s="9"/>
      <c r="B517" s="9"/>
      <c r="C517" s="44"/>
      <c r="D517" s="271">
        <f>Asset16</f>
        <v>0</v>
      </c>
      <c r="E517" s="9"/>
      <c r="F517" s="9"/>
      <c r="G517" s="207">
        <f>'Adjustment for previous period'!G543</f>
        <v>0</v>
      </c>
      <c r="H517" s="115">
        <f t="shared" ref="H517:Q517" si="28">H27*H$7</f>
        <v>0</v>
      </c>
      <c r="I517" s="115">
        <f t="shared" si="28"/>
        <v>0</v>
      </c>
      <c r="J517" s="115">
        <f t="shared" si="28"/>
        <v>0</v>
      </c>
      <c r="K517" s="115">
        <f t="shared" si="28"/>
        <v>0</v>
      </c>
      <c r="L517" s="115">
        <f t="shared" si="28"/>
        <v>0</v>
      </c>
      <c r="M517" s="115">
        <f t="shared" si="28"/>
        <v>0</v>
      </c>
      <c r="N517" s="115">
        <f t="shared" si="28"/>
        <v>0</v>
      </c>
      <c r="O517" s="115">
        <f t="shared" si="28"/>
        <v>0</v>
      </c>
      <c r="P517" s="115">
        <f t="shared" si="28"/>
        <v>0</v>
      </c>
      <c r="Q517" s="115">
        <f t="shared" si="28"/>
        <v>0</v>
      </c>
      <c r="R517" s="29"/>
      <c r="S517" s="104"/>
      <c r="T517" s="104"/>
      <c r="U517" s="104"/>
      <c r="V517" s="104"/>
      <c r="W517" s="104"/>
      <c r="X517" s="104"/>
      <c r="Y517" s="104"/>
      <c r="Z517" s="104"/>
      <c r="AA517" s="23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4"/>
      <c r="BE517" s="104"/>
      <c r="BF517" s="104"/>
      <c r="BG517" s="104"/>
      <c r="BH517" s="104"/>
      <c r="BI517" s="104"/>
      <c r="BJ517" s="104"/>
      <c r="BK517" s="12"/>
      <c r="BL517" s="12"/>
    </row>
    <row r="518" spans="1:64" hidden="1" outlineLevel="1">
      <c r="A518" s="9"/>
      <c r="B518" s="9"/>
      <c r="C518" s="44"/>
      <c r="D518" s="271">
        <f>Asset17</f>
        <v>0</v>
      </c>
      <c r="E518" s="9"/>
      <c r="F518" s="9"/>
      <c r="G518" s="207">
        <f>'Adjustment for previous period'!G544</f>
        <v>0</v>
      </c>
      <c r="H518" s="115">
        <f t="shared" ref="H518:Q518" si="29">H28*H$7</f>
        <v>0</v>
      </c>
      <c r="I518" s="115">
        <f t="shared" si="29"/>
        <v>0</v>
      </c>
      <c r="J518" s="115">
        <f t="shared" si="29"/>
        <v>0</v>
      </c>
      <c r="K518" s="115">
        <f t="shared" si="29"/>
        <v>0</v>
      </c>
      <c r="L518" s="115">
        <f t="shared" si="29"/>
        <v>0</v>
      </c>
      <c r="M518" s="115">
        <f t="shared" si="29"/>
        <v>0</v>
      </c>
      <c r="N518" s="115">
        <f t="shared" si="29"/>
        <v>0</v>
      </c>
      <c r="O518" s="115">
        <f t="shared" si="29"/>
        <v>0</v>
      </c>
      <c r="P518" s="115">
        <f t="shared" si="29"/>
        <v>0</v>
      </c>
      <c r="Q518" s="115">
        <f t="shared" si="29"/>
        <v>0</v>
      </c>
      <c r="R518" s="29"/>
      <c r="S518" s="104"/>
      <c r="T518" s="104"/>
      <c r="U518" s="104"/>
      <c r="V518" s="104"/>
      <c r="W518" s="104"/>
      <c r="X518" s="104"/>
      <c r="Y518" s="104"/>
      <c r="Z518" s="104"/>
      <c r="AA518" s="23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4"/>
      <c r="BE518" s="104"/>
      <c r="BF518" s="104"/>
      <c r="BG518" s="104"/>
      <c r="BH518" s="104"/>
      <c r="BI518" s="104"/>
      <c r="BJ518" s="104"/>
      <c r="BK518" s="12"/>
      <c r="BL518" s="12"/>
    </row>
    <row r="519" spans="1:64" hidden="1" outlineLevel="1">
      <c r="A519" s="9"/>
      <c r="B519" s="9"/>
      <c r="C519" s="44"/>
      <c r="D519" s="271">
        <f>Asset18</f>
        <v>0</v>
      </c>
      <c r="E519" s="9"/>
      <c r="F519" s="9"/>
      <c r="G519" s="207">
        <f>'Adjustment for previous period'!G545</f>
        <v>0</v>
      </c>
      <c r="H519" s="115">
        <f t="shared" ref="H519:Q519" si="30">H29*H$7</f>
        <v>0</v>
      </c>
      <c r="I519" s="115">
        <f t="shared" si="30"/>
        <v>0</v>
      </c>
      <c r="J519" s="115">
        <f t="shared" si="30"/>
        <v>0</v>
      </c>
      <c r="K519" s="115">
        <f t="shared" si="30"/>
        <v>0</v>
      </c>
      <c r="L519" s="115">
        <f t="shared" si="30"/>
        <v>0</v>
      </c>
      <c r="M519" s="115">
        <f t="shared" si="30"/>
        <v>0</v>
      </c>
      <c r="N519" s="115">
        <f t="shared" si="30"/>
        <v>0</v>
      </c>
      <c r="O519" s="115">
        <f t="shared" si="30"/>
        <v>0</v>
      </c>
      <c r="P519" s="115">
        <f t="shared" si="30"/>
        <v>0</v>
      </c>
      <c r="Q519" s="115">
        <f t="shared" si="30"/>
        <v>0</v>
      </c>
      <c r="R519" s="29"/>
      <c r="S519" s="104"/>
      <c r="T519" s="104"/>
      <c r="U519" s="104"/>
      <c r="V519" s="104"/>
      <c r="W519" s="104"/>
      <c r="X519" s="104"/>
      <c r="Y519" s="104"/>
      <c r="Z519" s="104"/>
      <c r="AA519" s="23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4"/>
      <c r="BE519" s="104"/>
      <c r="BF519" s="104"/>
      <c r="BG519" s="104"/>
      <c r="BH519" s="104"/>
      <c r="BI519" s="104"/>
      <c r="BJ519" s="104"/>
      <c r="BK519" s="12"/>
      <c r="BL519" s="12"/>
    </row>
    <row r="520" spans="1:64" hidden="1" outlineLevel="1">
      <c r="A520" s="9"/>
      <c r="B520" s="9"/>
      <c r="C520" s="44"/>
      <c r="D520" s="271">
        <f>Asset19</f>
        <v>0</v>
      </c>
      <c r="E520" s="9"/>
      <c r="F520" s="9"/>
      <c r="G520" s="207">
        <f>'Adjustment for previous period'!G546</f>
        <v>0</v>
      </c>
      <c r="H520" s="115">
        <f t="shared" ref="H520:Q520" si="31">H30*H$7</f>
        <v>0</v>
      </c>
      <c r="I520" s="115">
        <f t="shared" si="31"/>
        <v>0</v>
      </c>
      <c r="J520" s="115">
        <f t="shared" si="31"/>
        <v>0</v>
      </c>
      <c r="K520" s="115">
        <f t="shared" si="31"/>
        <v>0</v>
      </c>
      <c r="L520" s="115">
        <f t="shared" si="31"/>
        <v>0</v>
      </c>
      <c r="M520" s="115">
        <f t="shared" si="31"/>
        <v>0</v>
      </c>
      <c r="N520" s="115">
        <f t="shared" si="31"/>
        <v>0</v>
      </c>
      <c r="O520" s="115">
        <f t="shared" si="31"/>
        <v>0</v>
      </c>
      <c r="P520" s="115">
        <f t="shared" si="31"/>
        <v>0</v>
      </c>
      <c r="Q520" s="115">
        <f t="shared" si="31"/>
        <v>0</v>
      </c>
      <c r="R520" s="29"/>
      <c r="S520" s="104"/>
      <c r="T520" s="104"/>
      <c r="U520" s="104"/>
      <c r="V520" s="104"/>
      <c r="W520" s="104"/>
      <c r="X520" s="104"/>
      <c r="Y520" s="104"/>
      <c r="Z520" s="104"/>
      <c r="AA520" s="23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4"/>
      <c r="BE520" s="104"/>
      <c r="BF520" s="104"/>
      <c r="BG520" s="104"/>
      <c r="BH520" s="104"/>
      <c r="BI520" s="104"/>
      <c r="BJ520" s="104"/>
      <c r="BK520" s="12"/>
      <c r="BL520" s="12"/>
    </row>
    <row r="521" spans="1:64" hidden="1" outlineLevel="1">
      <c r="A521" s="9"/>
      <c r="B521" s="9"/>
      <c r="C521" s="44"/>
      <c r="D521" s="271">
        <f>Asset20</f>
        <v>0</v>
      </c>
      <c r="E521" s="9"/>
      <c r="F521" s="9"/>
      <c r="G521" s="207">
        <f>'Adjustment for previous period'!G547</f>
        <v>0</v>
      </c>
      <c r="H521" s="115">
        <f>H31*H$7</f>
        <v>0</v>
      </c>
      <c r="I521" s="115">
        <f t="shared" ref="I521:Q521" si="32">I31*I$7</f>
        <v>0</v>
      </c>
      <c r="J521" s="115">
        <f t="shared" si="32"/>
        <v>0</v>
      </c>
      <c r="K521" s="115">
        <f t="shared" si="32"/>
        <v>0</v>
      </c>
      <c r="L521" s="115">
        <f t="shared" si="32"/>
        <v>0</v>
      </c>
      <c r="M521" s="115">
        <f t="shared" si="32"/>
        <v>0</v>
      </c>
      <c r="N521" s="115">
        <f t="shared" si="32"/>
        <v>0</v>
      </c>
      <c r="O521" s="115">
        <f t="shared" si="32"/>
        <v>0</v>
      </c>
      <c r="P521" s="115">
        <f t="shared" si="32"/>
        <v>0</v>
      </c>
      <c r="Q521" s="115">
        <f t="shared" si="32"/>
        <v>0</v>
      </c>
      <c r="R521" s="29"/>
      <c r="S521" s="104"/>
      <c r="T521" s="104"/>
      <c r="U521" s="104"/>
      <c r="V521" s="104"/>
      <c r="W521" s="104"/>
      <c r="X521" s="104"/>
      <c r="Y521" s="104"/>
      <c r="Z521" s="104"/>
      <c r="AA521" s="23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4"/>
      <c r="BE521" s="104"/>
      <c r="BF521" s="104"/>
      <c r="BG521" s="104"/>
      <c r="BH521" s="104"/>
      <c r="BI521" s="104"/>
      <c r="BJ521" s="104"/>
      <c r="BK521" s="12"/>
      <c r="BL521" s="12"/>
    </row>
    <row r="522" spans="1:64" hidden="1" outlineLevel="1">
      <c r="A522" s="9"/>
      <c r="B522" s="9"/>
      <c r="C522" s="44"/>
      <c r="D522" s="271">
        <f>Asset21</f>
        <v>0</v>
      </c>
      <c r="E522" s="9"/>
      <c r="F522" s="9"/>
      <c r="G522" s="207">
        <f>'Adjustment for previous period'!G548</f>
        <v>0</v>
      </c>
      <c r="H522" s="115">
        <f t="shared" ref="H522:Q530" si="33">H32*H$7</f>
        <v>0</v>
      </c>
      <c r="I522" s="115">
        <f t="shared" si="33"/>
        <v>0</v>
      </c>
      <c r="J522" s="115">
        <f t="shared" si="33"/>
        <v>0</v>
      </c>
      <c r="K522" s="115">
        <f t="shared" si="33"/>
        <v>0</v>
      </c>
      <c r="L522" s="115">
        <f t="shared" si="33"/>
        <v>0</v>
      </c>
      <c r="M522" s="115">
        <f>M32*M$7</f>
        <v>0</v>
      </c>
      <c r="N522" s="115">
        <f>N32*N$7</f>
        <v>0</v>
      </c>
      <c r="O522" s="115">
        <f>O32*O$7</f>
        <v>0</v>
      </c>
      <c r="P522" s="115">
        <f>P32*P$7</f>
        <v>0</v>
      </c>
      <c r="Q522" s="115">
        <f>Q32*Q$7</f>
        <v>0</v>
      </c>
      <c r="R522" s="29"/>
      <c r="S522" s="104"/>
      <c r="T522" s="104"/>
      <c r="U522" s="104"/>
      <c r="V522" s="104"/>
      <c r="W522" s="104"/>
      <c r="X522" s="104"/>
      <c r="Y522" s="104"/>
      <c r="Z522" s="104"/>
      <c r="AA522" s="23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4"/>
      <c r="BE522" s="104"/>
      <c r="BF522" s="104"/>
      <c r="BG522" s="104"/>
      <c r="BH522" s="104"/>
      <c r="BI522" s="104"/>
      <c r="BJ522" s="104"/>
      <c r="BK522" s="12"/>
      <c r="BL522" s="12"/>
    </row>
    <row r="523" spans="1:64" hidden="1" outlineLevel="1">
      <c r="A523" s="9"/>
      <c r="B523" s="9"/>
      <c r="C523" s="44"/>
      <c r="D523" s="271">
        <f>Asset22</f>
        <v>0</v>
      </c>
      <c r="E523" s="9"/>
      <c r="F523" s="9"/>
      <c r="G523" s="207">
        <f>'Adjustment for previous period'!G549</f>
        <v>0</v>
      </c>
      <c r="H523" s="115">
        <f t="shared" si="33"/>
        <v>0</v>
      </c>
      <c r="I523" s="115">
        <f t="shared" si="33"/>
        <v>0</v>
      </c>
      <c r="J523" s="115">
        <f t="shared" si="33"/>
        <v>0</v>
      </c>
      <c r="K523" s="115">
        <f t="shared" si="33"/>
        <v>0</v>
      </c>
      <c r="L523" s="115">
        <f t="shared" si="33"/>
        <v>0</v>
      </c>
      <c r="M523" s="115">
        <f t="shared" si="33"/>
        <v>0</v>
      </c>
      <c r="N523" s="115">
        <f t="shared" si="33"/>
        <v>0</v>
      </c>
      <c r="O523" s="115">
        <f t="shared" si="33"/>
        <v>0</v>
      </c>
      <c r="P523" s="115">
        <f t="shared" si="33"/>
        <v>0</v>
      </c>
      <c r="Q523" s="115">
        <f t="shared" si="33"/>
        <v>0</v>
      </c>
      <c r="R523" s="29"/>
      <c r="S523" s="104"/>
      <c r="T523" s="104"/>
      <c r="U523" s="104"/>
      <c r="V523" s="104"/>
      <c r="W523" s="104"/>
      <c r="X523" s="104"/>
      <c r="Y523" s="104"/>
      <c r="Z523" s="104"/>
      <c r="AA523" s="23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4"/>
      <c r="BE523" s="104"/>
      <c r="BF523" s="104"/>
      <c r="BG523" s="104"/>
      <c r="BH523" s="104"/>
      <c r="BI523" s="104"/>
      <c r="BJ523" s="104"/>
      <c r="BK523" s="12"/>
      <c r="BL523" s="12"/>
    </row>
    <row r="524" spans="1:64" hidden="1" outlineLevel="1">
      <c r="A524" s="9"/>
      <c r="B524" s="9"/>
      <c r="C524" s="44"/>
      <c r="D524" s="271">
        <f>Asset23</f>
        <v>0</v>
      </c>
      <c r="E524" s="9"/>
      <c r="F524" s="9"/>
      <c r="G524" s="207">
        <f>'Adjustment for previous period'!G550</f>
        <v>0</v>
      </c>
      <c r="H524" s="115">
        <f t="shared" si="33"/>
        <v>0</v>
      </c>
      <c r="I524" s="115">
        <f t="shared" si="33"/>
        <v>0</v>
      </c>
      <c r="J524" s="115">
        <f t="shared" si="33"/>
        <v>0</v>
      </c>
      <c r="K524" s="115">
        <f t="shared" si="33"/>
        <v>0</v>
      </c>
      <c r="L524" s="115">
        <f t="shared" si="33"/>
        <v>0</v>
      </c>
      <c r="M524" s="115">
        <f t="shared" si="33"/>
        <v>0</v>
      </c>
      <c r="N524" s="115">
        <f t="shared" si="33"/>
        <v>0</v>
      </c>
      <c r="O524" s="115">
        <f t="shared" si="33"/>
        <v>0</v>
      </c>
      <c r="P524" s="115">
        <f t="shared" si="33"/>
        <v>0</v>
      </c>
      <c r="Q524" s="115">
        <f t="shared" si="33"/>
        <v>0</v>
      </c>
      <c r="R524" s="29"/>
      <c r="S524" s="104"/>
      <c r="T524" s="104"/>
      <c r="U524" s="104"/>
      <c r="V524" s="104"/>
      <c r="W524" s="104"/>
      <c r="X524" s="104"/>
      <c r="Y524" s="104"/>
      <c r="Z524" s="104"/>
      <c r="AA524" s="23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4"/>
      <c r="BE524" s="104"/>
      <c r="BF524" s="104"/>
      <c r="BG524" s="104"/>
      <c r="BH524" s="104"/>
      <c r="BI524" s="104"/>
      <c r="BJ524" s="104"/>
      <c r="BK524" s="12"/>
      <c r="BL524" s="12"/>
    </row>
    <row r="525" spans="1:64" hidden="1" outlineLevel="1">
      <c r="A525" s="9"/>
      <c r="B525" s="9"/>
      <c r="C525" s="44"/>
      <c r="D525" s="271">
        <f>Asset24</f>
        <v>0</v>
      </c>
      <c r="E525" s="9"/>
      <c r="F525" s="9"/>
      <c r="G525" s="207">
        <f>'Adjustment for previous period'!G551</f>
        <v>0</v>
      </c>
      <c r="H525" s="115">
        <f t="shared" si="33"/>
        <v>0</v>
      </c>
      <c r="I525" s="115">
        <f t="shared" si="33"/>
        <v>0</v>
      </c>
      <c r="J525" s="115">
        <f t="shared" si="33"/>
        <v>0</v>
      </c>
      <c r="K525" s="115">
        <f t="shared" si="33"/>
        <v>0</v>
      </c>
      <c r="L525" s="115">
        <f t="shared" si="33"/>
        <v>0</v>
      </c>
      <c r="M525" s="115">
        <f t="shared" si="33"/>
        <v>0</v>
      </c>
      <c r="N525" s="115">
        <f t="shared" si="33"/>
        <v>0</v>
      </c>
      <c r="O525" s="115">
        <f t="shared" si="33"/>
        <v>0</v>
      </c>
      <c r="P525" s="115">
        <f t="shared" si="33"/>
        <v>0</v>
      </c>
      <c r="Q525" s="115">
        <f t="shared" si="33"/>
        <v>0</v>
      </c>
      <c r="R525" s="29"/>
      <c r="S525" s="104"/>
      <c r="T525" s="104"/>
      <c r="U525" s="104"/>
      <c r="V525" s="104"/>
      <c r="W525" s="104"/>
      <c r="X525" s="104"/>
      <c r="Y525" s="104"/>
      <c r="Z525" s="104"/>
      <c r="AA525" s="23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4"/>
      <c r="BE525" s="104"/>
      <c r="BF525" s="104"/>
      <c r="BG525" s="104"/>
      <c r="BH525" s="104"/>
      <c r="BI525" s="104"/>
      <c r="BJ525" s="104"/>
      <c r="BK525" s="12"/>
      <c r="BL525" s="12"/>
    </row>
    <row r="526" spans="1:64" hidden="1" outlineLevel="1">
      <c r="A526" s="9"/>
      <c r="B526" s="9"/>
      <c r="C526" s="44"/>
      <c r="D526" s="271">
        <f>Asset25</f>
        <v>0</v>
      </c>
      <c r="E526" s="9"/>
      <c r="F526" s="9"/>
      <c r="G526" s="207">
        <f>'Adjustment for previous period'!G552</f>
        <v>0</v>
      </c>
      <c r="H526" s="115">
        <f t="shared" si="33"/>
        <v>0</v>
      </c>
      <c r="I526" s="115">
        <f t="shared" si="33"/>
        <v>0</v>
      </c>
      <c r="J526" s="115">
        <f t="shared" si="33"/>
        <v>0</v>
      </c>
      <c r="K526" s="115">
        <f t="shared" si="33"/>
        <v>0</v>
      </c>
      <c r="L526" s="115">
        <f t="shared" si="33"/>
        <v>0</v>
      </c>
      <c r="M526" s="115">
        <f t="shared" si="33"/>
        <v>0</v>
      </c>
      <c r="N526" s="115">
        <f t="shared" si="33"/>
        <v>0</v>
      </c>
      <c r="O526" s="115">
        <f t="shared" si="33"/>
        <v>0</v>
      </c>
      <c r="P526" s="115">
        <f t="shared" si="33"/>
        <v>0</v>
      </c>
      <c r="Q526" s="115">
        <f t="shared" si="33"/>
        <v>0</v>
      </c>
      <c r="R526" s="29"/>
      <c r="S526" s="104"/>
      <c r="T526" s="104"/>
      <c r="U526" s="104"/>
      <c r="V526" s="104"/>
      <c r="W526" s="104"/>
      <c r="X526" s="104"/>
      <c r="Y526" s="104"/>
      <c r="Z526" s="104"/>
      <c r="AA526" s="23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4"/>
      <c r="BE526" s="104"/>
      <c r="BF526" s="104"/>
      <c r="BG526" s="104"/>
      <c r="BH526" s="104"/>
      <c r="BI526" s="104"/>
      <c r="BJ526" s="104"/>
      <c r="BK526" s="12"/>
      <c r="BL526" s="12"/>
    </row>
    <row r="527" spans="1:64" hidden="1" outlineLevel="1">
      <c r="A527" s="9"/>
      <c r="B527" s="9"/>
      <c r="C527" s="44"/>
      <c r="D527" s="271">
        <f>Asset26</f>
        <v>0</v>
      </c>
      <c r="E527" s="9"/>
      <c r="F527" s="9"/>
      <c r="G527" s="207">
        <f>'Adjustment for previous period'!G553</f>
        <v>0</v>
      </c>
      <c r="H527" s="115">
        <f t="shared" si="33"/>
        <v>0</v>
      </c>
      <c r="I527" s="115">
        <f t="shared" si="33"/>
        <v>0</v>
      </c>
      <c r="J527" s="115">
        <f t="shared" si="33"/>
        <v>0</v>
      </c>
      <c r="K527" s="115">
        <f t="shared" si="33"/>
        <v>0</v>
      </c>
      <c r="L527" s="115">
        <f t="shared" si="33"/>
        <v>0</v>
      </c>
      <c r="M527" s="115">
        <f t="shared" si="33"/>
        <v>0</v>
      </c>
      <c r="N527" s="115">
        <f t="shared" si="33"/>
        <v>0</v>
      </c>
      <c r="O527" s="115">
        <f t="shared" si="33"/>
        <v>0</v>
      </c>
      <c r="P527" s="115">
        <f t="shared" si="33"/>
        <v>0</v>
      </c>
      <c r="Q527" s="115">
        <f t="shared" si="33"/>
        <v>0</v>
      </c>
      <c r="R527" s="29"/>
      <c r="S527" s="104"/>
      <c r="T527" s="104"/>
      <c r="U527" s="104"/>
      <c r="V527" s="104"/>
      <c r="W527" s="104"/>
      <c r="X527" s="104"/>
      <c r="Y527" s="104"/>
      <c r="Z527" s="104"/>
      <c r="AA527" s="23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4"/>
      <c r="BE527" s="104"/>
      <c r="BF527" s="104"/>
      <c r="BG527" s="104"/>
      <c r="BH527" s="104"/>
      <c r="BI527" s="104"/>
      <c r="BJ527" s="104"/>
      <c r="BK527" s="12"/>
      <c r="BL527" s="12"/>
    </row>
    <row r="528" spans="1:64" hidden="1" outlineLevel="1">
      <c r="A528" s="9"/>
      <c r="B528" s="9"/>
      <c r="C528" s="44"/>
      <c r="D528" s="271">
        <f>Asset27</f>
        <v>0</v>
      </c>
      <c r="E528" s="9"/>
      <c r="F528" s="9"/>
      <c r="G528" s="207">
        <f>'Adjustment for previous period'!G554</f>
        <v>0</v>
      </c>
      <c r="H528" s="115">
        <f t="shared" si="33"/>
        <v>0</v>
      </c>
      <c r="I528" s="115">
        <f t="shared" si="33"/>
        <v>0</v>
      </c>
      <c r="J528" s="115">
        <f t="shared" si="33"/>
        <v>0</v>
      </c>
      <c r="K528" s="115">
        <f t="shared" si="33"/>
        <v>0</v>
      </c>
      <c r="L528" s="115">
        <f t="shared" si="33"/>
        <v>0</v>
      </c>
      <c r="M528" s="115">
        <f t="shared" si="33"/>
        <v>0</v>
      </c>
      <c r="N528" s="115">
        <f t="shared" si="33"/>
        <v>0</v>
      </c>
      <c r="O528" s="115">
        <f t="shared" si="33"/>
        <v>0</v>
      </c>
      <c r="P528" s="115">
        <f t="shared" si="33"/>
        <v>0</v>
      </c>
      <c r="Q528" s="115">
        <f t="shared" si="33"/>
        <v>0</v>
      </c>
      <c r="R528" s="29"/>
      <c r="S528" s="104"/>
      <c r="T528" s="104"/>
      <c r="U528" s="104"/>
      <c r="V528" s="104"/>
      <c r="W528" s="104"/>
      <c r="X528" s="104"/>
      <c r="Y528" s="104"/>
      <c r="Z528" s="104"/>
      <c r="AA528" s="23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4"/>
      <c r="BE528" s="104"/>
      <c r="BF528" s="104"/>
      <c r="BG528" s="104"/>
      <c r="BH528" s="104"/>
      <c r="BI528" s="104"/>
      <c r="BJ528" s="104"/>
      <c r="BK528" s="12"/>
      <c r="BL528" s="12"/>
    </row>
    <row r="529" spans="1:64" hidden="1" outlineLevel="1">
      <c r="A529" s="9"/>
      <c r="B529" s="9"/>
      <c r="C529" s="44"/>
      <c r="D529" s="271">
        <f>Asset28</f>
        <v>0</v>
      </c>
      <c r="E529" s="9"/>
      <c r="F529" s="9"/>
      <c r="G529" s="207">
        <f>'Adjustment for previous period'!G555</f>
        <v>0</v>
      </c>
      <c r="H529" s="115">
        <f t="shared" si="33"/>
        <v>0</v>
      </c>
      <c r="I529" s="115">
        <f t="shared" si="33"/>
        <v>0</v>
      </c>
      <c r="J529" s="115">
        <f t="shared" si="33"/>
        <v>0</v>
      </c>
      <c r="K529" s="115">
        <f t="shared" si="33"/>
        <v>0</v>
      </c>
      <c r="L529" s="115">
        <f t="shared" si="33"/>
        <v>0</v>
      </c>
      <c r="M529" s="115">
        <f t="shared" si="33"/>
        <v>0</v>
      </c>
      <c r="N529" s="115">
        <f t="shared" si="33"/>
        <v>0</v>
      </c>
      <c r="O529" s="115">
        <f t="shared" si="33"/>
        <v>0</v>
      </c>
      <c r="P529" s="115">
        <f t="shared" si="33"/>
        <v>0</v>
      </c>
      <c r="Q529" s="115">
        <f t="shared" si="33"/>
        <v>0</v>
      </c>
      <c r="R529" s="29"/>
      <c r="S529" s="104"/>
      <c r="T529" s="104"/>
      <c r="U529" s="104"/>
      <c r="V529" s="104"/>
      <c r="W529" s="104"/>
      <c r="X529" s="104"/>
      <c r="Y529" s="104"/>
      <c r="Z529" s="104"/>
      <c r="AA529" s="23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4"/>
      <c r="BE529" s="104"/>
      <c r="BF529" s="104"/>
      <c r="BG529" s="104"/>
      <c r="BH529" s="104"/>
      <c r="BI529" s="104"/>
      <c r="BJ529" s="104"/>
      <c r="BK529" s="12"/>
      <c r="BL529" s="12"/>
    </row>
    <row r="530" spans="1:64" hidden="1" outlineLevel="1">
      <c r="A530" s="9"/>
      <c r="B530" s="9"/>
      <c r="C530" s="44"/>
      <c r="D530" s="271">
        <f>Asset29</f>
        <v>0</v>
      </c>
      <c r="E530" s="9"/>
      <c r="F530" s="9"/>
      <c r="G530" s="207">
        <f>'Adjustment for previous period'!G556</f>
        <v>0</v>
      </c>
      <c r="H530" s="115">
        <f t="shared" si="33"/>
        <v>0</v>
      </c>
      <c r="I530" s="115">
        <f t="shared" si="33"/>
        <v>0</v>
      </c>
      <c r="J530" s="115">
        <f t="shared" si="33"/>
        <v>0</v>
      </c>
      <c r="K530" s="115">
        <f t="shared" si="33"/>
        <v>0</v>
      </c>
      <c r="L530" s="115">
        <f t="shared" si="33"/>
        <v>0</v>
      </c>
      <c r="M530" s="115">
        <f t="shared" si="33"/>
        <v>0</v>
      </c>
      <c r="N530" s="115">
        <f t="shared" si="33"/>
        <v>0</v>
      </c>
      <c r="O530" s="115">
        <f t="shared" si="33"/>
        <v>0</v>
      </c>
      <c r="P530" s="115">
        <f t="shared" si="33"/>
        <v>0</v>
      </c>
      <c r="Q530" s="115">
        <f t="shared" si="33"/>
        <v>0</v>
      </c>
      <c r="R530" s="29"/>
      <c r="S530" s="104"/>
      <c r="T530" s="104"/>
      <c r="U530" s="104"/>
      <c r="V530" s="104"/>
      <c r="W530" s="104"/>
      <c r="X530" s="104"/>
      <c r="Y530" s="104"/>
      <c r="Z530" s="104"/>
      <c r="AA530" s="23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4"/>
      <c r="BE530" s="104"/>
      <c r="BF530" s="104"/>
      <c r="BG530" s="104"/>
      <c r="BH530" s="104"/>
      <c r="BI530" s="104"/>
      <c r="BJ530" s="104"/>
      <c r="BK530" s="12"/>
      <c r="BL530" s="12"/>
    </row>
    <row r="531" spans="1:64" hidden="1" outlineLevel="1">
      <c r="A531" s="9"/>
      <c r="B531" s="9"/>
      <c r="C531" s="44"/>
      <c r="D531" s="271">
        <f>Asset30</f>
        <v>0</v>
      </c>
      <c r="E531" s="9"/>
      <c r="F531" s="9"/>
      <c r="G531" s="207">
        <f>'Adjustment for previous period'!G557</f>
        <v>0</v>
      </c>
      <c r="H531" s="115">
        <f t="shared" ref="H531:Q531" si="34">H41*H$7</f>
        <v>0</v>
      </c>
      <c r="I531" s="115">
        <f t="shared" si="34"/>
        <v>0</v>
      </c>
      <c r="J531" s="115">
        <f t="shared" si="34"/>
        <v>0</v>
      </c>
      <c r="K531" s="115">
        <f t="shared" si="34"/>
        <v>0</v>
      </c>
      <c r="L531" s="115">
        <f t="shared" si="34"/>
        <v>0</v>
      </c>
      <c r="M531" s="115">
        <f t="shared" si="34"/>
        <v>0</v>
      </c>
      <c r="N531" s="115">
        <f t="shared" si="34"/>
        <v>0</v>
      </c>
      <c r="O531" s="115">
        <f t="shared" si="34"/>
        <v>0</v>
      </c>
      <c r="P531" s="115">
        <f t="shared" si="34"/>
        <v>0</v>
      </c>
      <c r="Q531" s="115">
        <f t="shared" si="34"/>
        <v>0</v>
      </c>
      <c r="R531" s="29"/>
      <c r="S531" s="104"/>
      <c r="T531" s="104"/>
      <c r="U531" s="104"/>
      <c r="V531" s="104"/>
      <c r="W531" s="104"/>
      <c r="X531" s="104"/>
      <c r="Y531" s="104"/>
      <c r="Z531" s="104"/>
      <c r="AA531" s="23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4"/>
      <c r="BE531" s="104"/>
      <c r="BF531" s="104"/>
      <c r="BG531" s="104"/>
      <c r="BH531" s="104"/>
      <c r="BI531" s="104"/>
      <c r="BJ531" s="104"/>
      <c r="BK531" s="12"/>
      <c r="BL531" s="12"/>
    </row>
    <row r="532" spans="1:64" collapsed="1">
      <c r="A532" s="9"/>
      <c r="B532" s="9"/>
      <c r="C532" s="44"/>
      <c r="D532" s="117"/>
      <c r="E532" s="9"/>
      <c r="F532" s="9"/>
      <c r="G532" s="211"/>
      <c r="H532" s="35"/>
      <c r="I532" s="35"/>
      <c r="J532" s="35"/>
      <c r="K532" s="35"/>
      <c r="L532" s="35"/>
      <c r="M532" s="35"/>
      <c r="N532" s="29"/>
      <c r="O532" s="29"/>
      <c r="P532" s="29"/>
      <c r="Q532" s="29"/>
      <c r="R532" s="29"/>
      <c r="S532" s="104"/>
      <c r="T532" s="104"/>
      <c r="U532" s="104"/>
      <c r="V532" s="104"/>
      <c r="W532" s="104"/>
      <c r="X532" s="104"/>
      <c r="Y532" s="104"/>
      <c r="Z532" s="104"/>
      <c r="AA532" s="23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4"/>
      <c r="BE532" s="104"/>
      <c r="BF532" s="104"/>
      <c r="BG532" s="104"/>
      <c r="BH532" s="104"/>
      <c r="BI532" s="104"/>
      <c r="BJ532" s="104"/>
      <c r="BK532" s="12"/>
      <c r="BL532" s="12"/>
    </row>
    <row r="533" spans="1:64">
      <c r="A533" s="9"/>
      <c r="B533" s="9"/>
      <c r="C533" s="229" t="s">
        <v>49</v>
      </c>
      <c r="D533" s="224"/>
      <c r="E533" s="9"/>
      <c r="F533" s="9"/>
      <c r="G533" s="205">
        <f>SUM(G534:G563)</f>
        <v>-85.497842544496294</v>
      </c>
      <c r="H533" s="333">
        <f>SUM(H534:H563)</f>
        <v>-89.005231496529916</v>
      </c>
      <c r="I533" s="333">
        <f t="shared" ref="I533:P533" si="35">SUM(I534:I563)</f>
        <v>-34.714075478242158</v>
      </c>
      <c r="J533" s="333">
        <f t="shared" si="35"/>
        <v>-83.120548490464657</v>
      </c>
      <c r="K533" s="333">
        <f t="shared" si="35"/>
        <v>-79.084031742681205</v>
      </c>
      <c r="L533" s="333">
        <f t="shared" si="35"/>
        <v>-72.973664130462026</v>
      </c>
      <c r="M533" s="333">
        <f t="shared" si="35"/>
        <v>0</v>
      </c>
      <c r="N533" s="35">
        <f t="shared" si="35"/>
        <v>0</v>
      </c>
      <c r="O533" s="35">
        <f t="shared" si="35"/>
        <v>0</v>
      </c>
      <c r="P533" s="35">
        <f t="shared" si="35"/>
        <v>0</v>
      </c>
      <c r="Q533" s="35">
        <f>SUM(Q534:Q563)</f>
        <v>0</v>
      </c>
      <c r="R533" s="29"/>
      <c r="S533" s="104"/>
      <c r="T533" s="104"/>
      <c r="U533" s="104"/>
      <c r="V533" s="104"/>
      <c r="W533" s="104"/>
      <c r="X533" s="104"/>
      <c r="Y533" s="104"/>
      <c r="Z533" s="104"/>
      <c r="AA533" s="23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4"/>
      <c r="BE533" s="104"/>
      <c r="BF533" s="104"/>
      <c r="BG533" s="104"/>
      <c r="BH533" s="104"/>
      <c r="BI533" s="104"/>
      <c r="BJ533" s="104"/>
      <c r="BK533" s="12"/>
      <c r="BL533" s="12"/>
    </row>
    <row r="534" spans="1:64" ht="12.75" hidden="1" customHeight="1" outlineLevel="1">
      <c r="A534" s="9"/>
      <c r="B534" s="9"/>
      <c r="C534" s="44"/>
      <c r="D534" s="271" t="str">
        <f>Asset1</f>
        <v>Subtransmission</v>
      </c>
      <c r="E534" s="9"/>
      <c r="F534" s="9"/>
      <c r="G534" s="207">
        <f>'Adjustment for previous period'!G560</f>
        <v>-6.6911891775343548</v>
      </c>
      <c r="H534" s="334">
        <f t="shared" ref="H534:Q534" si="36">H696+H728</f>
        <v>-1.4121726060074709</v>
      </c>
      <c r="I534" s="334">
        <f t="shared" si="36"/>
        <v>5.2644874861382362E-2</v>
      </c>
      <c r="J534" s="334">
        <f t="shared" si="36"/>
        <v>-3.6168212369029087</v>
      </c>
      <c r="K534" s="334">
        <f t="shared" si="36"/>
        <v>-3.5384730273056562</v>
      </c>
      <c r="L534" s="334">
        <f t="shared" si="36"/>
        <v>-3.3569311841354992</v>
      </c>
      <c r="M534" s="334">
        <f t="shared" si="36"/>
        <v>0</v>
      </c>
      <c r="N534" s="115">
        <f t="shared" si="36"/>
        <v>0</v>
      </c>
      <c r="O534" s="115">
        <f t="shared" si="36"/>
        <v>0</v>
      </c>
      <c r="P534" s="115">
        <f t="shared" si="36"/>
        <v>0</v>
      </c>
      <c r="Q534" s="115">
        <f t="shared" si="36"/>
        <v>0</v>
      </c>
      <c r="R534" s="29"/>
      <c r="S534" s="104"/>
      <c r="T534" s="104"/>
      <c r="U534" s="104"/>
      <c r="V534" s="104"/>
      <c r="W534" s="104"/>
      <c r="X534" s="104"/>
      <c r="Y534" s="104"/>
      <c r="Z534" s="104"/>
      <c r="AA534" s="23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4"/>
      <c r="BE534" s="104"/>
      <c r="BF534" s="104"/>
      <c r="BG534" s="104"/>
      <c r="BH534" s="104"/>
      <c r="BI534" s="104"/>
      <c r="BJ534" s="104"/>
      <c r="BK534" s="12"/>
      <c r="BL534" s="12"/>
    </row>
    <row r="535" spans="1:64" ht="12.75" hidden="1" customHeight="1" outlineLevel="1">
      <c r="A535" s="9"/>
      <c r="B535" s="9"/>
      <c r="C535" s="44"/>
      <c r="D535" s="271" t="str">
        <f>Asset2</f>
        <v>Distribution system assets</v>
      </c>
      <c r="E535" s="9"/>
      <c r="F535" s="9"/>
      <c r="G535" s="207">
        <f>'Adjustment for previous period'!G561</f>
        <v>-30.502351015154549</v>
      </c>
      <c r="H535" s="334">
        <f t="shared" ref="H535:Q535" si="37">H697+H729</f>
        <v>-13.086408647832833</v>
      </c>
      <c r="I535" s="334">
        <f t="shared" si="37"/>
        <v>-9.2938846340430814E-2</v>
      </c>
      <c r="J535" s="334">
        <f t="shared" si="37"/>
        <v>-30.829169357900689</v>
      </c>
      <c r="K535" s="334">
        <f t="shared" si="37"/>
        <v>-29.421117476512855</v>
      </c>
      <c r="L535" s="334">
        <f t="shared" si="37"/>
        <v>-27.717469934295117</v>
      </c>
      <c r="M535" s="334">
        <f t="shared" si="37"/>
        <v>0</v>
      </c>
      <c r="N535" s="115">
        <f t="shared" si="37"/>
        <v>0</v>
      </c>
      <c r="O535" s="115">
        <f t="shared" si="37"/>
        <v>0</v>
      </c>
      <c r="P535" s="115">
        <f t="shared" si="37"/>
        <v>0</v>
      </c>
      <c r="Q535" s="115">
        <f t="shared" si="37"/>
        <v>0</v>
      </c>
      <c r="R535" s="29"/>
      <c r="S535" s="104"/>
      <c r="T535" s="104"/>
      <c r="U535" s="104"/>
      <c r="V535" s="104"/>
      <c r="W535" s="104"/>
      <c r="X535" s="104"/>
      <c r="Y535" s="104"/>
      <c r="Z535" s="104"/>
      <c r="AA535" s="23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4"/>
      <c r="BE535" s="104"/>
      <c r="BF535" s="104"/>
      <c r="BG535" s="104"/>
      <c r="BH535" s="104"/>
      <c r="BI535" s="104"/>
      <c r="BJ535" s="104"/>
      <c r="BK535" s="12"/>
      <c r="BL535" s="12"/>
    </row>
    <row r="536" spans="1:64" ht="12.75" hidden="1" customHeight="1" outlineLevel="1">
      <c r="A536" s="9"/>
      <c r="B536" s="9"/>
      <c r="C536" s="44"/>
      <c r="D536" s="271" t="str">
        <f>Asset3</f>
        <v>Standard metering</v>
      </c>
      <c r="E536" s="9"/>
      <c r="F536" s="9"/>
      <c r="G536" s="207">
        <f>'Adjustment for previous period'!G562</f>
        <v>-13.489445516505549</v>
      </c>
      <c r="H536" s="334">
        <f t="shared" ref="H536:Q536" si="38">H698+H730</f>
        <v>-15.790380770985779</v>
      </c>
      <c r="I536" s="334">
        <f t="shared" si="38"/>
        <v>0</v>
      </c>
      <c r="J536" s="334">
        <f t="shared" si="38"/>
        <v>0</v>
      </c>
      <c r="K536" s="334">
        <f t="shared" si="38"/>
        <v>0</v>
      </c>
      <c r="L536" s="334">
        <f t="shared" si="38"/>
        <v>0</v>
      </c>
      <c r="M536" s="334">
        <f t="shared" si="38"/>
        <v>0</v>
      </c>
      <c r="N536" s="115">
        <f t="shared" si="38"/>
        <v>0</v>
      </c>
      <c r="O536" s="115">
        <f t="shared" si="38"/>
        <v>0</v>
      </c>
      <c r="P536" s="115">
        <f t="shared" si="38"/>
        <v>0</v>
      </c>
      <c r="Q536" s="115">
        <f t="shared" si="38"/>
        <v>0</v>
      </c>
      <c r="R536" s="29"/>
      <c r="S536" s="104"/>
      <c r="T536" s="104"/>
      <c r="U536" s="104"/>
      <c r="V536" s="104"/>
      <c r="W536" s="104"/>
      <c r="X536" s="104"/>
      <c r="Y536" s="104"/>
      <c r="Z536" s="104"/>
      <c r="AA536" s="23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4"/>
      <c r="BE536" s="104"/>
      <c r="BF536" s="104"/>
      <c r="BG536" s="104"/>
      <c r="BH536" s="104"/>
      <c r="BI536" s="104"/>
      <c r="BJ536" s="104"/>
      <c r="BK536" s="12"/>
      <c r="BL536" s="12"/>
    </row>
    <row r="537" spans="1:64" ht="12.75" hidden="1" customHeight="1" outlineLevel="1">
      <c r="A537" s="9"/>
      <c r="B537" s="9"/>
      <c r="C537" s="44"/>
      <c r="D537" s="271" t="str">
        <f>Asset4</f>
        <v>Public lighting</v>
      </c>
      <c r="E537" s="9"/>
      <c r="F537" s="9"/>
      <c r="G537" s="207">
        <f>'Adjustment for previous period'!G563</f>
        <v>-6.5389223827045004</v>
      </c>
      <c r="H537" s="334">
        <f t="shared" ref="H537:Q537" si="39">H699+H731</f>
        <v>-0.38897486718899543</v>
      </c>
      <c r="I537" s="334">
        <f t="shared" si="39"/>
        <v>0</v>
      </c>
      <c r="J537" s="334">
        <f t="shared" si="39"/>
        <v>0</v>
      </c>
      <c r="K537" s="334">
        <f t="shared" si="39"/>
        <v>0</v>
      </c>
      <c r="L537" s="334">
        <f t="shared" si="39"/>
        <v>0</v>
      </c>
      <c r="M537" s="334">
        <f t="shared" si="39"/>
        <v>0</v>
      </c>
      <c r="N537" s="115">
        <f t="shared" si="39"/>
        <v>0</v>
      </c>
      <c r="O537" s="115">
        <f t="shared" si="39"/>
        <v>0</v>
      </c>
      <c r="P537" s="115">
        <f t="shared" si="39"/>
        <v>0</v>
      </c>
      <c r="Q537" s="115">
        <f t="shared" si="39"/>
        <v>0</v>
      </c>
      <c r="R537" s="29"/>
      <c r="S537" s="104"/>
      <c r="T537" s="104"/>
      <c r="U537" s="104"/>
      <c r="V537" s="104"/>
      <c r="W537" s="104"/>
      <c r="X537" s="104"/>
      <c r="Y537" s="104"/>
      <c r="Z537" s="104"/>
      <c r="AA537" s="23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4"/>
      <c r="BE537" s="104"/>
      <c r="BF537" s="104"/>
      <c r="BG537" s="104"/>
      <c r="BH537" s="104"/>
      <c r="BI537" s="104"/>
      <c r="BJ537" s="104"/>
      <c r="BK537" s="12"/>
      <c r="BL537" s="12"/>
    </row>
    <row r="538" spans="1:64" ht="12.75" hidden="1" customHeight="1" outlineLevel="1">
      <c r="A538" s="9"/>
      <c r="B538" s="9"/>
      <c r="C538" s="44"/>
      <c r="D538" s="271" t="str">
        <f>Asset5</f>
        <v>SCADA/Network control</v>
      </c>
      <c r="E538" s="9"/>
      <c r="F538" s="9"/>
      <c r="G538" s="207">
        <f>'Adjustment for previous period'!G564</f>
        <v>-9.9973617177477241</v>
      </c>
      <c r="H538" s="334">
        <f t="shared" ref="H538:Q538" si="40">H700+H732</f>
        <v>-1.6653345369377348E-15</v>
      </c>
      <c r="I538" s="334">
        <f t="shared" si="40"/>
        <v>-0.2286760460721044</v>
      </c>
      <c r="J538" s="334">
        <f t="shared" si="40"/>
        <v>-1.4038840086916538</v>
      </c>
      <c r="K538" s="334">
        <f t="shared" si="40"/>
        <v>-1.8236807268729756</v>
      </c>
      <c r="L538" s="334">
        <f t="shared" si="40"/>
        <v>-2.0398525519937203</v>
      </c>
      <c r="M538" s="334">
        <f t="shared" si="40"/>
        <v>0</v>
      </c>
      <c r="N538" s="115">
        <f t="shared" si="40"/>
        <v>0</v>
      </c>
      <c r="O538" s="115">
        <f t="shared" si="40"/>
        <v>0</v>
      </c>
      <c r="P538" s="115">
        <f t="shared" si="40"/>
        <v>0</v>
      </c>
      <c r="Q538" s="115">
        <f t="shared" si="40"/>
        <v>0</v>
      </c>
      <c r="R538" s="29"/>
      <c r="S538" s="104"/>
      <c r="T538" s="104"/>
      <c r="U538" s="104"/>
      <c r="V538" s="104"/>
      <c r="W538" s="104"/>
      <c r="X538" s="104"/>
      <c r="Y538" s="104"/>
      <c r="Z538" s="104"/>
      <c r="AA538" s="23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4"/>
      <c r="BE538" s="104"/>
      <c r="BF538" s="104"/>
      <c r="BG538" s="104"/>
      <c r="BH538" s="104"/>
      <c r="BI538" s="104"/>
      <c r="BJ538" s="104"/>
      <c r="BK538" s="12"/>
      <c r="BL538" s="12"/>
    </row>
    <row r="539" spans="1:64" ht="12.75" hidden="1" customHeight="1" outlineLevel="1">
      <c r="A539" s="9"/>
      <c r="B539" s="9"/>
      <c r="C539" s="44"/>
      <c r="D539" s="271" t="str">
        <f>Asset6</f>
        <v>Non-network general assets - IT</v>
      </c>
      <c r="E539" s="9"/>
      <c r="F539" s="9"/>
      <c r="G539" s="207">
        <f>'Adjustment for previous period'!G565</f>
        <v>-18.232941669919043</v>
      </c>
      <c r="H539" s="334">
        <f t="shared" ref="H539:Q539" si="41">H701+H733</f>
        <v>-24.051650203029588</v>
      </c>
      <c r="I539" s="334">
        <f t="shared" si="41"/>
        <v>-33.579678639948213</v>
      </c>
      <c r="J539" s="334">
        <f t="shared" si="41"/>
        <v>-45.549130105242405</v>
      </c>
      <c r="K539" s="334">
        <f t="shared" si="41"/>
        <v>-41.467596794153749</v>
      </c>
      <c r="L539" s="334">
        <f t="shared" si="41"/>
        <v>-36.071174665794985</v>
      </c>
      <c r="M539" s="334">
        <f t="shared" si="41"/>
        <v>0</v>
      </c>
      <c r="N539" s="115">
        <f t="shared" si="41"/>
        <v>0</v>
      </c>
      <c r="O539" s="115">
        <f t="shared" si="41"/>
        <v>0</v>
      </c>
      <c r="P539" s="115">
        <f t="shared" si="41"/>
        <v>0</v>
      </c>
      <c r="Q539" s="115">
        <f t="shared" si="41"/>
        <v>0</v>
      </c>
      <c r="R539" s="29"/>
      <c r="S539" s="104"/>
      <c r="T539" s="104"/>
      <c r="U539" s="104"/>
      <c r="V539" s="104"/>
      <c r="W539" s="104"/>
      <c r="X539" s="104"/>
      <c r="Y539" s="104"/>
      <c r="Z539" s="104"/>
      <c r="AA539" s="23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4"/>
      <c r="BE539" s="104"/>
      <c r="BF539" s="104"/>
      <c r="BG539" s="104"/>
      <c r="BH539" s="104"/>
      <c r="BI539" s="104"/>
      <c r="BJ539" s="104"/>
      <c r="BK539" s="12"/>
      <c r="BL539" s="12"/>
    </row>
    <row r="540" spans="1:64" ht="12.75" hidden="1" customHeight="1" outlineLevel="1">
      <c r="A540" s="9"/>
      <c r="B540" s="9"/>
      <c r="C540" s="44"/>
      <c r="D540" s="271" t="str">
        <f>Asset7</f>
        <v>Non-network general assets - Other</v>
      </c>
      <c r="E540" s="9"/>
      <c r="F540" s="9"/>
      <c r="G540" s="207">
        <f>'Adjustment for previous period'!G566</f>
        <v>-4.5631064930580612E-2</v>
      </c>
      <c r="H540" s="334">
        <f t="shared" ref="H540:Q540" si="42">H702+H734</f>
        <v>-34.275644401485252</v>
      </c>
      <c r="I540" s="334">
        <f t="shared" si="42"/>
        <v>-0.88552901952294794</v>
      </c>
      <c r="J540" s="334">
        <f t="shared" si="42"/>
        <v>-1.7177770951143159</v>
      </c>
      <c r="K540" s="334">
        <f t="shared" si="42"/>
        <v>-2.8310268264286993</v>
      </c>
      <c r="L540" s="334">
        <f t="shared" si="42"/>
        <v>-3.7875204145944852</v>
      </c>
      <c r="M540" s="334">
        <f t="shared" si="42"/>
        <v>0</v>
      </c>
      <c r="N540" s="115">
        <f t="shared" si="42"/>
        <v>0</v>
      </c>
      <c r="O540" s="115">
        <f t="shared" si="42"/>
        <v>0</v>
      </c>
      <c r="P540" s="115">
        <f t="shared" si="42"/>
        <v>0</v>
      </c>
      <c r="Q540" s="115">
        <f t="shared" si="42"/>
        <v>0</v>
      </c>
      <c r="R540" s="29"/>
      <c r="S540" s="104"/>
      <c r="T540" s="104"/>
      <c r="U540" s="104"/>
      <c r="V540" s="104"/>
      <c r="W540" s="104"/>
      <c r="X540" s="104"/>
      <c r="Y540" s="104"/>
      <c r="Z540" s="104"/>
      <c r="AA540" s="23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4"/>
      <c r="BE540" s="104"/>
      <c r="BF540" s="104"/>
      <c r="BG540" s="104"/>
      <c r="BH540" s="104"/>
      <c r="BI540" s="104"/>
      <c r="BJ540" s="104"/>
      <c r="BK540" s="12"/>
      <c r="BL540" s="12"/>
    </row>
    <row r="541" spans="1:64" ht="12.75" hidden="1" customHeight="1" outlineLevel="1">
      <c r="A541" s="9"/>
      <c r="B541" s="9"/>
      <c r="C541" s="44"/>
      <c r="D541" s="271" t="str">
        <f>Asset8</f>
        <v>Equity Raising Costs</v>
      </c>
      <c r="E541" s="9"/>
      <c r="F541" s="9"/>
      <c r="G541" s="207">
        <f>'Adjustment for previous period'!G567</f>
        <v>0</v>
      </c>
      <c r="H541" s="334">
        <f t="shared" ref="H541:Q541" si="43">H703+H735</f>
        <v>0</v>
      </c>
      <c r="I541" s="334">
        <f t="shared" si="43"/>
        <v>2.0102198780155262E-2</v>
      </c>
      <c r="J541" s="334">
        <f t="shared" si="43"/>
        <v>-3.7666866126759915E-3</v>
      </c>
      <c r="K541" s="334">
        <f t="shared" si="43"/>
        <v>-2.1368914072693382E-3</v>
      </c>
      <c r="L541" s="334">
        <f t="shared" si="43"/>
        <v>-7.1537964822988159E-4</v>
      </c>
      <c r="M541" s="334">
        <f t="shared" si="43"/>
        <v>0</v>
      </c>
      <c r="N541" s="115">
        <f t="shared" si="43"/>
        <v>0</v>
      </c>
      <c r="O541" s="115">
        <f t="shared" si="43"/>
        <v>0</v>
      </c>
      <c r="P541" s="115">
        <f t="shared" si="43"/>
        <v>0</v>
      </c>
      <c r="Q541" s="115">
        <f t="shared" si="43"/>
        <v>0</v>
      </c>
      <c r="R541" s="29"/>
      <c r="S541" s="104"/>
      <c r="T541" s="104"/>
      <c r="U541" s="104"/>
      <c r="V541" s="104"/>
      <c r="W541" s="104"/>
      <c r="X541" s="104"/>
      <c r="Y541" s="104"/>
      <c r="Z541" s="104"/>
      <c r="AA541" s="23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4"/>
      <c r="BE541" s="104"/>
      <c r="BF541" s="104"/>
      <c r="BG541" s="104"/>
      <c r="BH541" s="104"/>
      <c r="BI541" s="104"/>
      <c r="BJ541" s="104"/>
      <c r="BK541" s="12"/>
      <c r="BL541" s="12"/>
    </row>
    <row r="542" spans="1:64" ht="12.75" hidden="1" customHeight="1" outlineLevel="1">
      <c r="A542" s="9"/>
      <c r="B542" s="9"/>
      <c r="C542" s="44"/>
      <c r="D542" s="271">
        <f>Asset9</f>
        <v>0</v>
      </c>
      <c r="E542" s="9"/>
      <c r="F542" s="9"/>
      <c r="G542" s="207">
        <f>'Adjustment for previous period'!G568</f>
        <v>0</v>
      </c>
      <c r="H542" s="334">
        <f t="shared" ref="H542:Q542" si="44">H704+H736</f>
        <v>0</v>
      </c>
      <c r="I542" s="334">
        <f t="shared" si="44"/>
        <v>0</v>
      </c>
      <c r="J542" s="334">
        <f t="shared" si="44"/>
        <v>0</v>
      </c>
      <c r="K542" s="334">
        <f t="shared" si="44"/>
        <v>0</v>
      </c>
      <c r="L542" s="334">
        <f t="shared" si="44"/>
        <v>0</v>
      </c>
      <c r="M542" s="334">
        <f t="shared" si="44"/>
        <v>0</v>
      </c>
      <c r="N542" s="115">
        <f t="shared" si="44"/>
        <v>0</v>
      </c>
      <c r="O542" s="115">
        <f t="shared" si="44"/>
        <v>0</v>
      </c>
      <c r="P542" s="115">
        <f t="shared" si="44"/>
        <v>0</v>
      </c>
      <c r="Q542" s="115">
        <f t="shared" si="44"/>
        <v>0</v>
      </c>
      <c r="R542" s="29"/>
      <c r="S542" s="104"/>
      <c r="T542" s="104"/>
      <c r="U542" s="104"/>
      <c r="V542" s="104"/>
      <c r="W542" s="104"/>
      <c r="X542" s="104"/>
      <c r="Y542" s="104"/>
      <c r="Z542" s="104"/>
      <c r="AA542" s="23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4"/>
      <c r="BE542" s="104"/>
      <c r="BF542" s="104"/>
      <c r="BG542" s="104"/>
      <c r="BH542" s="104"/>
      <c r="BI542" s="104"/>
      <c r="BJ542" s="104"/>
      <c r="BK542" s="12"/>
      <c r="BL542" s="12"/>
    </row>
    <row r="543" spans="1:64" ht="12.75" hidden="1" customHeight="1" outlineLevel="1">
      <c r="A543" s="9"/>
      <c r="B543" s="9"/>
      <c r="C543" s="44"/>
      <c r="D543" s="271">
        <f>Asset10</f>
        <v>0</v>
      </c>
      <c r="E543" s="9"/>
      <c r="F543" s="9"/>
      <c r="G543" s="207">
        <f>'Adjustment for previous period'!G569</f>
        <v>0</v>
      </c>
      <c r="H543" s="334">
        <f t="shared" ref="H543:Q543" si="45">H705+H737</f>
        <v>0</v>
      </c>
      <c r="I543" s="334">
        <f t="shared" si="45"/>
        <v>0</v>
      </c>
      <c r="J543" s="334">
        <f t="shared" si="45"/>
        <v>0</v>
      </c>
      <c r="K543" s="334">
        <f t="shared" si="45"/>
        <v>0</v>
      </c>
      <c r="L543" s="334">
        <f t="shared" si="45"/>
        <v>0</v>
      </c>
      <c r="M543" s="334">
        <f t="shared" si="45"/>
        <v>0</v>
      </c>
      <c r="N543" s="115">
        <f t="shared" si="45"/>
        <v>0</v>
      </c>
      <c r="O543" s="115">
        <f t="shared" si="45"/>
        <v>0</v>
      </c>
      <c r="P543" s="115">
        <f t="shared" si="45"/>
        <v>0</v>
      </c>
      <c r="Q543" s="115">
        <f t="shared" si="45"/>
        <v>0</v>
      </c>
      <c r="R543" s="29"/>
      <c r="S543" s="104"/>
      <c r="T543" s="104"/>
      <c r="U543" s="104"/>
      <c r="V543" s="104"/>
      <c r="W543" s="104"/>
      <c r="X543" s="104"/>
      <c r="Y543" s="104"/>
      <c r="Z543" s="104"/>
      <c r="AA543" s="23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4"/>
      <c r="BE543" s="104"/>
      <c r="BF543" s="104"/>
      <c r="BG543" s="104"/>
      <c r="BH543" s="104"/>
      <c r="BI543" s="104"/>
      <c r="BJ543" s="104"/>
      <c r="BK543" s="12"/>
      <c r="BL543" s="12"/>
    </row>
    <row r="544" spans="1:64" ht="12.75" hidden="1" customHeight="1" outlineLevel="1">
      <c r="A544" s="9"/>
      <c r="B544" s="9"/>
      <c r="C544" s="44"/>
      <c r="D544" s="271">
        <f>Asset11</f>
        <v>0</v>
      </c>
      <c r="E544" s="9"/>
      <c r="F544" s="9"/>
      <c r="G544" s="207">
        <f>'Adjustment for previous period'!G570</f>
        <v>0</v>
      </c>
      <c r="H544" s="334">
        <f t="shared" ref="H544:Q544" si="46">H706+H738</f>
        <v>0</v>
      </c>
      <c r="I544" s="334">
        <f t="shared" si="46"/>
        <v>0</v>
      </c>
      <c r="J544" s="334">
        <f t="shared" si="46"/>
        <v>0</v>
      </c>
      <c r="K544" s="334">
        <f t="shared" si="46"/>
        <v>0</v>
      </c>
      <c r="L544" s="334">
        <f t="shared" si="46"/>
        <v>0</v>
      </c>
      <c r="M544" s="334">
        <f t="shared" si="46"/>
        <v>0</v>
      </c>
      <c r="N544" s="115">
        <f t="shared" si="46"/>
        <v>0</v>
      </c>
      <c r="O544" s="115">
        <f t="shared" si="46"/>
        <v>0</v>
      </c>
      <c r="P544" s="115">
        <f t="shared" si="46"/>
        <v>0</v>
      </c>
      <c r="Q544" s="115">
        <f t="shared" si="46"/>
        <v>0</v>
      </c>
      <c r="R544" s="29"/>
      <c r="S544" s="104"/>
      <c r="T544" s="104"/>
      <c r="U544" s="104"/>
      <c r="V544" s="104"/>
      <c r="W544" s="104"/>
      <c r="X544" s="104"/>
      <c r="Y544" s="104"/>
      <c r="Z544" s="104"/>
      <c r="AA544" s="23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4"/>
      <c r="BE544" s="104"/>
      <c r="BF544" s="104"/>
      <c r="BG544" s="104"/>
      <c r="BH544" s="104"/>
      <c r="BI544" s="104"/>
      <c r="BJ544" s="104"/>
      <c r="BK544" s="12"/>
      <c r="BL544" s="12"/>
    </row>
    <row r="545" spans="1:64" ht="12.75" hidden="1" customHeight="1" outlineLevel="1">
      <c r="A545" s="9"/>
      <c r="B545" s="9"/>
      <c r="C545" s="44"/>
      <c r="D545" s="271">
        <f>Asset12</f>
        <v>0</v>
      </c>
      <c r="E545" s="9"/>
      <c r="F545" s="9"/>
      <c r="G545" s="207">
        <f>'Adjustment for previous period'!G571</f>
        <v>0</v>
      </c>
      <c r="H545" s="334">
        <f t="shared" ref="H545:Q545" si="47">H707+H739</f>
        <v>0</v>
      </c>
      <c r="I545" s="334">
        <f t="shared" si="47"/>
        <v>0</v>
      </c>
      <c r="J545" s="334">
        <f t="shared" si="47"/>
        <v>0</v>
      </c>
      <c r="K545" s="334">
        <f t="shared" si="47"/>
        <v>0</v>
      </c>
      <c r="L545" s="334">
        <f t="shared" si="47"/>
        <v>0</v>
      </c>
      <c r="M545" s="334">
        <f t="shared" si="47"/>
        <v>0</v>
      </c>
      <c r="N545" s="115">
        <f t="shared" si="47"/>
        <v>0</v>
      </c>
      <c r="O545" s="115">
        <f t="shared" si="47"/>
        <v>0</v>
      </c>
      <c r="P545" s="115">
        <f t="shared" si="47"/>
        <v>0</v>
      </c>
      <c r="Q545" s="115">
        <f t="shared" si="47"/>
        <v>0</v>
      </c>
      <c r="R545" s="29"/>
      <c r="S545" s="104"/>
      <c r="T545" s="104"/>
      <c r="U545" s="104"/>
      <c r="V545" s="104"/>
      <c r="W545" s="104"/>
      <c r="X545" s="104"/>
      <c r="Y545" s="104"/>
      <c r="Z545" s="104"/>
      <c r="AA545" s="23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4"/>
      <c r="BE545" s="104"/>
      <c r="BF545" s="104"/>
      <c r="BG545" s="104"/>
      <c r="BH545" s="104"/>
      <c r="BI545" s="104"/>
      <c r="BJ545" s="104"/>
      <c r="BK545" s="12"/>
      <c r="BL545" s="12"/>
    </row>
    <row r="546" spans="1:64" ht="12.75" hidden="1" customHeight="1" outlineLevel="1">
      <c r="A546" s="9"/>
      <c r="B546" s="9"/>
      <c r="C546" s="44"/>
      <c r="D546" s="271">
        <f>Asset13</f>
        <v>0</v>
      </c>
      <c r="E546" s="9"/>
      <c r="F546" s="9"/>
      <c r="G546" s="207">
        <f>'Adjustment for previous period'!G572</f>
        <v>0</v>
      </c>
      <c r="H546" s="334">
        <f t="shared" ref="H546:Q546" si="48">H708+H740</f>
        <v>0</v>
      </c>
      <c r="I546" s="334">
        <f t="shared" si="48"/>
        <v>0</v>
      </c>
      <c r="J546" s="334">
        <f t="shared" si="48"/>
        <v>0</v>
      </c>
      <c r="K546" s="334">
        <f t="shared" si="48"/>
        <v>0</v>
      </c>
      <c r="L546" s="334">
        <f t="shared" si="48"/>
        <v>0</v>
      </c>
      <c r="M546" s="334">
        <f t="shared" si="48"/>
        <v>0</v>
      </c>
      <c r="N546" s="115">
        <f t="shared" si="48"/>
        <v>0</v>
      </c>
      <c r="O546" s="115">
        <f t="shared" si="48"/>
        <v>0</v>
      </c>
      <c r="P546" s="115">
        <f t="shared" si="48"/>
        <v>0</v>
      </c>
      <c r="Q546" s="115">
        <f t="shared" si="48"/>
        <v>0</v>
      </c>
      <c r="R546" s="29"/>
      <c r="S546" s="104"/>
      <c r="T546" s="104"/>
      <c r="U546" s="104"/>
      <c r="V546" s="104"/>
      <c r="W546" s="104"/>
      <c r="X546" s="104"/>
      <c r="Y546" s="104"/>
      <c r="Z546" s="104"/>
      <c r="AA546" s="23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4"/>
      <c r="BE546" s="104"/>
      <c r="BF546" s="104"/>
      <c r="BG546" s="104"/>
      <c r="BH546" s="104"/>
      <c r="BI546" s="104"/>
      <c r="BJ546" s="104"/>
      <c r="BK546" s="12"/>
      <c r="BL546" s="12"/>
    </row>
    <row r="547" spans="1:64" ht="12.75" hidden="1" customHeight="1" outlineLevel="1">
      <c r="A547" s="9"/>
      <c r="B547" s="9"/>
      <c r="C547" s="44"/>
      <c r="D547" s="271">
        <f>Asset14</f>
        <v>0</v>
      </c>
      <c r="E547" s="9"/>
      <c r="F547" s="9"/>
      <c r="G547" s="207">
        <f>'Adjustment for previous period'!G573</f>
        <v>0</v>
      </c>
      <c r="H547" s="334">
        <f t="shared" ref="H547:Q547" si="49">H709+H741</f>
        <v>0</v>
      </c>
      <c r="I547" s="334">
        <f t="shared" si="49"/>
        <v>0</v>
      </c>
      <c r="J547" s="334">
        <f t="shared" si="49"/>
        <v>0</v>
      </c>
      <c r="K547" s="334">
        <f t="shared" si="49"/>
        <v>0</v>
      </c>
      <c r="L547" s="334">
        <f t="shared" si="49"/>
        <v>0</v>
      </c>
      <c r="M547" s="334">
        <f t="shared" si="49"/>
        <v>0</v>
      </c>
      <c r="N547" s="115">
        <f t="shared" si="49"/>
        <v>0</v>
      </c>
      <c r="O547" s="115">
        <f t="shared" si="49"/>
        <v>0</v>
      </c>
      <c r="P547" s="115">
        <f t="shared" si="49"/>
        <v>0</v>
      </c>
      <c r="Q547" s="115">
        <f t="shared" si="49"/>
        <v>0</v>
      </c>
      <c r="R547" s="29"/>
      <c r="S547" s="104"/>
      <c r="T547" s="104"/>
      <c r="U547" s="104"/>
      <c r="V547" s="104"/>
      <c r="W547" s="104"/>
      <c r="X547" s="104"/>
      <c r="Y547" s="104"/>
      <c r="Z547" s="104"/>
      <c r="AA547" s="23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4"/>
      <c r="BE547" s="104"/>
      <c r="BF547" s="104"/>
      <c r="BG547" s="104"/>
      <c r="BH547" s="104"/>
      <c r="BI547" s="104"/>
      <c r="BJ547" s="104"/>
      <c r="BK547" s="12"/>
      <c r="BL547" s="12"/>
    </row>
    <row r="548" spans="1:64" ht="12.75" hidden="1" customHeight="1" outlineLevel="1">
      <c r="A548" s="9"/>
      <c r="B548" s="9"/>
      <c r="C548" s="44"/>
      <c r="D548" s="271">
        <f>Asset15</f>
        <v>0</v>
      </c>
      <c r="E548" s="9"/>
      <c r="F548" s="9"/>
      <c r="G548" s="207">
        <f>'Adjustment for previous period'!G574</f>
        <v>0</v>
      </c>
      <c r="H548" s="115">
        <f t="shared" ref="H548:Q548" si="50">H710+H742</f>
        <v>0</v>
      </c>
      <c r="I548" s="115">
        <f t="shared" si="50"/>
        <v>0</v>
      </c>
      <c r="J548" s="115">
        <f t="shared" si="50"/>
        <v>0</v>
      </c>
      <c r="K548" s="115">
        <f t="shared" si="50"/>
        <v>0</v>
      </c>
      <c r="L548" s="115">
        <f t="shared" si="50"/>
        <v>0</v>
      </c>
      <c r="M548" s="115">
        <f t="shared" si="50"/>
        <v>0</v>
      </c>
      <c r="N548" s="115">
        <f t="shared" si="50"/>
        <v>0</v>
      </c>
      <c r="O548" s="115">
        <f t="shared" si="50"/>
        <v>0</v>
      </c>
      <c r="P548" s="115">
        <f t="shared" si="50"/>
        <v>0</v>
      </c>
      <c r="Q548" s="115">
        <f t="shared" si="50"/>
        <v>0</v>
      </c>
      <c r="R548" s="29"/>
      <c r="S548" s="104"/>
      <c r="T548" s="104"/>
      <c r="U548" s="104"/>
      <c r="V548" s="104"/>
      <c r="W548" s="104"/>
      <c r="X548" s="104"/>
      <c r="Y548" s="104"/>
      <c r="Z548" s="104"/>
      <c r="AA548" s="23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4"/>
      <c r="BE548" s="104"/>
      <c r="BF548" s="104"/>
      <c r="BG548" s="104"/>
      <c r="BH548" s="104"/>
      <c r="BI548" s="104"/>
      <c r="BJ548" s="104"/>
      <c r="BK548" s="12"/>
      <c r="BL548" s="12"/>
    </row>
    <row r="549" spans="1:64" ht="12.75" hidden="1" customHeight="1" outlineLevel="1">
      <c r="A549" s="9"/>
      <c r="B549" s="9"/>
      <c r="C549" s="44"/>
      <c r="D549" s="271">
        <f>Asset16</f>
        <v>0</v>
      </c>
      <c r="E549" s="9"/>
      <c r="F549" s="9"/>
      <c r="G549" s="207">
        <f>'Adjustment for previous period'!G575</f>
        <v>0</v>
      </c>
      <c r="H549" s="115">
        <f t="shared" ref="H549:Q549" si="51">H711+H743</f>
        <v>0</v>
      </c>
      <c r="I549" s="115">
        <f t="shared" si="51"/>
        <v>0</v>
      </c>
      <c r="J549" s="115">
        <f t="shared" si="51"/>
        <v>0</v>
      </c>
      <c r="K549" s="115">
        <f t="shared" si="51"/>
        <v>0</v>
      </c>
      <c r="L549" s="115">
        <f t="shared" si="51"/>
        <v>0</v>
      </c>
      <c r="M549" s="115">
        <f t="shared" si="51"/>
        <v>0</v>
      </c>
      <c r="N549" s="115">
        <f t="shared" si="51"/>
        <v>0</v>
      </c>
      <c r="O549" s="115">
        <f t="shared" si="51"/>
        <v>0</v>
      </c>
      <c r="P549" s="115">
        <f t="shared" si="51"/>
        <v>0</v>
      </c>
      <c r="Q549" s="115">
        <f t="shared" si="51"/>
        <v>0</v>
      </c>
      <c r="R549" s="29"/>
      <c r="S549" s="104"/>
      <c r="T549" s="104"/>
      <c r="U549" s="104"/>
      <c r="V549" s="104"/>
      <c r="W549" s="104"/>
      <c r="X549" s="104"/>
      <c r="Y549" s="104"/>
      <c r="Z549" s="104"/>
      <c r="AA549" s="23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4"/>
      <c r="BE549" s="104"/>
      <c r="BF549" s="104"/>
      <c r="BG549" s="104"/>
      <c r="BH549" s="104"/>
      <c r="BI549" s="104"/>
      <c r="BJ549" s="104"/>
      <c r="BK549" s="12"/>
      <c r="BL549" s="12"/>
    </row>
    <row r="550" spans="1:64" ht="12.75" hidden="1" customHeight="1" outlineLevel="1">
      <c r="A550" s="9"/>
      <c r="B550" s="9"/>
      <c r="C550" s="44"/>
      <c r="D550" s="271">
        <f>Asset17</f>
        <v>0</v>
      </c>
      <c r="E550" s="9"/>
      <c r="F550" s="9"/>
      <c r="G550" s="207">
        <f>'Adjustment for previous period'!G576</f>
        <v>0</v>
      </c>
      <c r="H550" s="115">
        <f t="shared" ref="H550:Q550" si="52">H712+H744</f>
        <v>0</v>
      </c>
      <c r="I550" s="115">
        <f t="shared" si="52"/>
        <v>0</v>
      </c>
      <c r="J550" s="115">
        <f t="shared" si="52"/>
        <v>0</v>
      </c>
      <c r="K550" s="115">
        <f t="shared" si="52"/>
        <v>0</v>
      </c>
      <c r="L550" s="115">
        <f t="shared" si="52"/>
        <v>0</v>
      </c>
      <c r="M550" s="115">
        <f t="shared" si="52"/>
        <v>0</v>
      </c>
      <c r="N550" s="115">
        <f t="shared" si="52"/>
        <v>0</v>
      </c>
      <c r="O550" s="115">
        <f t="shared" si="52"/>
        <v>0</v>
      </c>
      <c r="P550" s="115">
        <f t="shared" si="52"/>
        <v>0</v>
      </c>
      <c r="Q550" s="115">
        <f t="shared" si="52"/>
        <v>0</v>
      </c>
      <c r="R550" s="29"/>
      <c r="S550" s="104"/>
      <c r="T550" s="104"/>
      <c r="U550" s="104"/>
      <c r="V550" s="104"/>
      <c r="W550" s="104"/>
      <c r="X550" s="104"/>
      <c r="Y550" s="104"/>
      <c r="Z550" s="104"/>
      <c r="AA550" s="23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4"/>
      <c r="BE550" s="104"/>
      <c r="BF550" s="104"/>
      <c r="BG550" s="104"/>
      <c r="BH550" s="104"/>
      <c r="BI550" s="104"/>
      <c r="BJ550" s="104"/>
      <c r="BK550" s="12"/>
      <c r="BL550" s="12"/>
    </row>
    <row r="551" spans="1:64" ht="12.75" hidden="1" customHeight="1" outlineLevel="1">
      <c r="A551" s="9"/>
      <c r="B551" s="9"/>
      <c r="C551" s="44"/>
      <c r="D551" s="271">
        <f>Asset18</f>
        <v>0</v>
      </c>
      <c r="E551" s="9"/>
      <c r="F551" s="9"/>
      <c r="G551" s="207">
        <f>'Adjustment for previous period'!G577</f>
        <v>0</v>
      </c>
      <c r="H551" s="115">
        <f t="shared" ref="H551:Q551" si="53">H713+H745</f>
        <v>0</v>
      </c>
      <c r="I551" s="115">
        <f t="shared" si="53"/>
        <v>0</v>
      </c>
      <c r="J551" s="115">
        <f t="shared" si="53"/>
        <v>0</v>
      </c>
      <c r="K551" s="115">
        <f t="shared" si="53"/>
        <v>0</v>
      </c>
      <c r="L551" s="115">
        <f t="shared" si="53"/>
        <v>0</v>
      </c>
      <c r="M551" s="115">
        <f t="shared" si="53"/>
        <v>0</v>
      </c>
      <c r="N551" s="115">
        <f t="shared" si="53"/>
        <v>0</v>
      </c>
      <c r="O551" s="115">
        <f t="shared" si="53"/>
        <v>0</v>
      </c>
      <c r="P551" s="115">
        <f t="shared" si="53"/>
        <v>0</v>
      </c>
      <c r="Q551" s="115">
        <f t="shared" si="53"/>
        <v>0</v>
      </c>
      <c r="R551" s="29"/>
      <c r="S551" s="104"/>
      <c r="T551" s="104"/>
      <c r="U551" s="104"/>
      <c r="V551" s="104"/>
      <c r="W551" s="104"/>
      <c r="X551" s="104"/>
      <c r="Y551" s="104"/>
      <c r="Z551" s="104"/>
      <c r="AA551" s="23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4"/>
      <c r="BE551" s="104"/>
      <c r="BF551" s="104"/>
      <c r="BG551" s="104"/>
      <c r="BH551" s="104"/>
      <c r="BI551" s="104"/>
      <c r="BJ551" s="104"/>
      <c r="BK551" s="12"/>
      <c r="BL551" s="12"/>
    </row>
    <row r="552" spans="1:64" ht="12.75" hidden="1" customHeight="1" outlineLevel="1">
      <c r="A552" s="9"/>
      <c r="B552" s="9"/>
      <c r="C552" s="44"/>
      <c r="D552" s="271">
        <f>Asset19</f>
        <v>0</v>
      </c>
      <c r="E552" s="9"/>
      <c r="F552" s="9"/>
      <c r="G552" s="207">
        <f>'Adjustment for previous period'!G578</f>
        <v>0</v>
      </c>
      <c r="H552" s="115">
        <f t="shared" ref="H552:Q552" si="54">H714+H746</f>
        <v>0</v>
      </c>
      <c r="I552" s="115">
        <f t="shared" si="54"/>
        <v>0</v>
      </c>
      <c r="J552" s="115">
        <f t="shared" si="54"/>
        <v>0</v>
      </c>
      <c r="K552" s="115">
        <f t="shared" si="54"/>
        <v>0</v>
      </c>
      <c r="L552" s="115">
        <f t="shared" si="54"/>
        <v>0</v>
      </c>
      <c r="M552" s="115">
        <f t="shared" si="54"/>
        <v>0</v>
      </c>
      <c r="N552" s="115">
        <f t="shared" si="54"/>
        <v>0</v>
      </c>
      <c r="O552" s="115">
        <f t="shared" si="54"/>
        <v>0</v>
      </c>
      <c r="P552" s="115">
        <f t="shared" si="54"/>
        <v>0</v>
      </c>
      <c r="Q552" s="115">
        <f t="shared" si="54"/>
        <v>0</v>
      </c>
      <c r="R552" s="29"/>
      <c r="S552" s="104"/>
      <c r="T552" s="104"/>
      <c r="U552" s="104"/>
      <c r="V552" s="104"/>
      <c r="W552" s="104"/>
      <c r="X552" s="104"/>
      <c r="Y552" s="104"/>
      <c r="Z552" s="104"/>
      <c r="AA552" s="23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4"/>
      <c r="BE552" s="104"/>
      <c r="BF552" s="104"/>
      <c r="BG552" s="104"/>
      <c r="BH552" s="104"/>
      <c r="BI552" s="104"/>
      <c r="BJ552" s="104"/>
      <c r="BK552" s="12"/>
      <c r="BL552" s="12"/>
    </row>
    <row r="553" spans="1:64" ht="12.75" hidden="1" customHeight="1" outlineLevel="1">
      <c r="A553" s="9"/>
      <c r="B553" s="9"/>
      <c r="C553" s="44"/>
      <c r="D553" s="271">
        <f>Asset20</f>
        <v>0</v>
      </c>
      <c r="E553" s="9"/>
      <c r="F553" s="9"/>
      <c r="G553" s="207">
        <f>'Adjustment for previous period'!G579</f>
        <v>0</v>
      </c>
      <c r="H553" s="115">
        <f t="shared" ref="H553:Q553" si="55">H715+H747</f>
        <v>0</v>
      </c>
      <c r="I553" s="115">
        <f t="shared" si="55"/>
        <v>0</v>
      </c>
      <c r="J553" s="115">
        <f t="shared" si="55"/>
        <v>0</v>
      </c>
      <c r="K553" s="115">
        <f t="shared" si="55"/>
        <v>0</v>
      </c>
      <c r="L553" s="115">
        <f t="shared" si="55"/>
        <v>0</v>
      </c>
      <c r="M553" s="115">
        <f t="shared" si="55"/>
        <v>0</v>
      </c>
      <c r="N553" s="115">
        <f t="shared" si="55"/>
        <v>0</v>
      </c>
      <c r="O553" s="115">
        <f t="shared" si="55"/>
        <v>0</v>
      </c>
      <c r="P553" s="115">
        <f t="shared" si="55"/>
        <v>0</v>
      </c>
      <c r="Q553" s="115">
        <f t="shared" si="55"/>
        <v>0</v>
      </c>
      <c r="R553" s="29"/>
      <c r="S553" s="104"/>
      <c r="T553" s="104"/>
      <c r="U553" s="104"/>
      <c r="V553" s="104"/>
      <c r="W553" s="104"/>
      <c r="X553" s="104"/>
      <c r="Y553" s="104"/>
      <c r="Z553" s="104"/>
      <c r="AA553" s="23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4"/>
      <c r="BE553" s="104"/>
      <c r="BF553" s="104"/>
      <c r="BG553" s="104"/>
      <c r="BH553" s="104"/>
      <c r="BI553" s="104"/>
      <c r="BJ553" s="104"/>
      <c r="BK553" s="12"/>
      <c r="BL553" s="12"/>
    </row>
    <row r="554" spans="1:64" ht="12.75" hidden="1" customHeight="1" outlineLevel="1">
      <c r="A554" s="9"/>
      <c r="B554" s="9"/>
      <c r="C554" s="44"/>
      <c r="D554" s="271">
        <f>Asset21</f>
        <v>0</v>
      </c>
      <c r="E554" s="9"/>
      <c r="F554" s="9"/>
      <c r="G554" s="207">
        <f>'Adjustment for previous period'!G580</f>
        <v>0</v>
      </c>
      <c r="H554" s="115">
        <f>H716+H748</f>
        <v>0</v>
      </c>
      <c r="I554" s="115">
        <f t="shared" ref="I554:Q563" si="56">I716+I748</f>
        <v>0</v>
      </c>
      <c r="J554" s="115">
        <f t="shared" si="56"/>
        <v>0</v>
      </c>
      <c r="K554" s="115">
        <f t="shared" si="56"/>
        <v>0</v>
      </c>
      <c r="L554" s="115">
        <f t="shared" si="56"/>
        <v>0</v>
      </c>
      <c r="M554" s="115">
        <f t="shared" si="56"/>
        <v>0</v>
      </c>
      <c r="N554" s="115">
        <f t="shared" si="56"/>
        <v>0</v>
      </c>
      <c r="O554" s="115">
        <f t="shared" si="56"/>
        <v>0</v>
      </c>
      <c r="P554" s="115">
        <f t="shared" si="56"/>
        <v>0</v>
      </c>
      <c r="Q554" s="115">
        <f t="shared" si="56"/>
        <v>0</v>
      </c>
      <c r="R554" s="29"/>
      <c r="S554" s="104"/>
      <c r="T554" s="104"/>
      <c r="U554" s="104"/>
      <c r="V554" s="104"/>
      <c r="W554" s="104"/>
      <c r="X554" s="104"/>
      <c r="Y554" s="104"/>
      <c r="Z554" s="104"/>
      <c r="AA554" s="23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4"/>
      <c r="BE554" s="104"/>
      <c r="BF554" s="104"/>
      <c r="BG554" s="104"/>
      <c r="BH554" s="104"/>
      <c r="BI554" s="104"/>
      <c r="BJ554" s="104"/>
      <c r="BK554" s="12"/>
      <c r="BL554" s="12"/>
    </row>
    <row r="555" spans="1:64" ht="12.75" hidden="1" customHeight="1" outlineLevel="1">
      <c r="A555" s="9"/>
      <c r="B555" s="9"/>
      <c r="C555" s="44"/>
      <c r="D555" s="271">
        <f>Asset22</f>
        <v>0</v>
      </c>
      <c r="E555" s="9"/>
      <c r="F555" s="9"/>
      <c r="G555" s="207">
        <f>'Adjustment for previous period'!G581</f>
        <v>0</v>
      </c>
      <c r="H555" s="115">
        <f>H717+H749</f>
        <v>0</v>
      </c>
      <c r="I555" s="115">
        <f t="shared" si="56"/>
        <v>0</v>
      </c>
      <c r="J555" s="115">
        <f t="shared" si="56"/>
        <v>0</v>
      </c>
      <c r="K555" s="115">
        <f t="shared" si="56"/>
        <v>0</v>
      </c>
      <c r="L555" s="115">
        <f t="shared" si="56"/>
        <v>0</v>
      </c>
      <c r="M555" s="115">
        <f t="shared" si="56"/>
        <v>0</v>
      </c>
      <c r="N555" s="115">
        <f t="shared" si="56"/>
        <v>0</v>
      </c>
      <c r="O555" s="115">
        <f t="shared" si="56"/>
        <v>0</v>
      </c>
      <c r="P555" s="115">
        <f t="shared" si="56"/>
        <v>0</v>
      </c>
      <c r="Q555" s="115">
        <f t="shared" si="56"/>
        <v>0</v>
      </c>
      <c r="R555" s="29"/>
      <c r="S555" s="104"/>
      <c r="T555" s="104"/>
      <c r="U555" s="104"/>
      <c r="V555" s="104"/>
      <c r="W555" s="104"/>
      <c r="X555" s="104"/>
      <c r="Y555" s="104"/>
      <c r="Z555" s="104"/>
      <c r="AA555" s="23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4"/>
      <c r="BE555" s="104"/>
      <c r="BF555" s="104"/>
      <c r="BG555" s="104"/>
      <c r="BH555" s="104"/>
      <c r="BI555" s="104"/>
      <c r="BJ555" s="104"/>
      <c r="BK555" s="12"/>
      <c r="BL555" s="12"/>
    </row>
    <row r="556" spans="1:64" ht="12.75" hidden="1" customHeight="1" outlineLevel="1">
      <c r="A556" s="9"/>
      <c r="B556" s="9"/>
      <c r="C556" s="44"/>
      <c r="D556" s="271">
        <f>Asset23</f>
        <v>0</v>
      </c>
      <c r="E556" s="9"/>
      <c r="F556" s="9"/>
      <c r="G556" s="207">
        <f>'Adjustment for previous period'!G582</f>
        <v>0</v>
      </c>
      <c r="H556" s="115">
        <f t="shared" ref="H556:H562" si="57">H718+H750</f>
        <v>0</v>
      </c>
      <c r="I556" s="115">
        <f t="shared" si="56"/>
        <v>0</v>
      </c>
      <c r="J556" s="115">
        <f t="shared" si="56"/>
        <v>0</v>
      </c>
      <c r="K556" s="115">
        <f t="shared" si="56"/>
        <v>0</v>
      </c>
      <c r="L556" s="115">
        <f t="shared" si="56"/>
        <v>0</v>
      </c>
      <c r="M556" s="115">
        <f t="shared" si="56"/>
        <v>0</v>
      </c>
      <c r="N556" s="115">
        <f t="shared" si="56"/>
        <v>0</v>
      </c>
      <c r="O556" s="115">
        <f t="shared" si="56"/>
        <v>0</v>
      </c>
      <c r="P556" s="115">
        <f t="shared" si="56"/>
        <v>0</v>
      </c>
      <c r="Q556" s="115">
        <f t="shared" si="56"/>
        <v>0</v>
      </c>
      <c r="R556" s="29"/>
      <c r="S556" s="104"/>
      <c r="T556" s="104"/>
      <c r="U556" s="104"/>
      <c r="V556" s="104"/>
      <c r="W556" s="104"/>
      <c r="X556" s="104"/>
      <c r="Y556" s="104"/>
      <c r="Z556" s="104"/>
      <c r="AA556" s="23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4"/>
      <c r="BE556" s="104"/>
      <c r="BF556" s="104"/>
      <c r="BG556" s="104"/>
      <c r="BH556" s="104"/>
      <c r="BI556" s="104"/>
      <c r="BJ556" s="104"/>
      <c r="BK556" s="12"/>
      <c r="BL556" s="12"/>
    </row>
    <row r="557" spans="1:64" ht="12.75" hidden="1" customHeight="1" outlineLevel="1">
      <c r="A557" s="9"/>
      <c r="B557" s="9"/>
      <c r="C557" s="44"/>
      <c r="D557" s="271">
        <f>Asset24</f>
        <v>0</v>
      </c>
      <c r="E557" s="9"/>
      <c r="F557" s="9"/>
      <c r="G557" s="207">
        <f>'Adjustment for previous period'!G583</f>
        <v>0</v>
      </c>
      <c r="H557" s="115">
        <f t="shared" si="57"/>
        <v>0</v>
      </c>
      <c r="I557" s="115">
        <f t="shared" si="56"/>
        <v>0</v>
      </c>
      <c r="J557" s="115">
        <f t="shared" si="56"/>
        <v>0</v>
      </c>
      <c r="K557" s="115">
        <f t="shared" si="56"/>
        <v>0</v>
      </c>
      <c r="L557" s="115">
        <f t="shared" si="56"/>
        <v>0</v>
      </c>
      <c r="M557" s="115">
        <f t="shared" si="56"/>
        <v>0</v>
      </c>
      <c r="N557" s="115">
        <f t="shared" si="56"/>
        <v>0</v>
      </c>
      <c r="O557" s="115">
        <f t="shared" si="56"/>
        <v>0</v>
      </c>
      <c r="P557" s="115">
        <f t="shared" si="56"/>
        <v>0</v>
      </c>
      <c r="Q557" s="115">
        <f t="shared" si="56"/>
        <v>0</v>
      </c>
      <c r="R557" s="29"/>
      <c r="S557" s="104"/>
      <c r="T557" s="104"/>
      <c r="U557" s="104"/>
      <c r="V557" s="104"/>
      <c r="W557" s="104"/>
      <c r="X557" s="104"/>
      <c r="Y557" s="104"/>
      <c r="Z557" s="104"/>
      <c r="AA557" s="23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4"/>
      <c r="BE557" s="104"/>
      <c r="BF557" s="104"/>
      <c r="BG557" s="104"/>
      <c r="BH557" s="104"/>
      <c r="BI557" s="104"/>
      <c r="BJ557" s="104"/>
      <c r="BK557" s="12"/>
      <c r="BL557" s="12"/>
    </row>
    <row r="558" spans="1:64" ht="12.75" hidden="1" customHeight="1" outlineLevel="1">
      <c r="A558" s="9"/>
      <c r="B558" s="9"/>
      <c r="C558" s="44"/>
      <c r="D558" s="271">
        <f>Asset25</f>
        <v>0</v>
      </c>
      <c r="E558" s="9"/>
      <c r="F558" s="9"/>
      <c r="G558" s="207">
        <f>'Adjustment for previous period'!G584</f>
        <v>0</v>
      </c>
      <c r="H558" s="115">
        <f t="shared" si="57"/>
        <v>0</v>
      </c>
      <c r="I558" s="115">
        <f t="shared" si="56"/>
        <v>0</v>
      </c>
      <c r="J558" s="115">
        <f t="shared" si="56"/>
        <v>0</v>
      </c>
      <c r="K558" s="115">
        <f t="shared" si="56"/>
        <v>0</v>
      </c>
      <c r="L558" s="115">
        <f t="shared" si="56"/>
        <v>0</v>
      </c>
      <c r="M558" s="115">
        <f t="shared" si="56"/>
        <v>0</v>
      </c>
      <c r="N558" s="115">
        <f t="shared" si="56"/>
        <v>0</v>
      </c>
      <c r="O558" s="115">
        <f t="shared" si="56"/>
        <v>0</v>
      </c>
      <c r="P558" s="115">
        <f t="shared" si="56"/>
        <v>0</v>
      </c>
      <c r="Q558" s="115">
        <f t="shared" si="56"/>
        <v>0</v>
      </c>
      <c r="R558" s="29"/>
      <c r="S558" s="104"/>
      <c r="T558" s="104"/>
      <c r="U558" s="104"/>
      <c r="V558" s="104"/>
      <c r="W558" s="104"/>
      <c r="X558" s="104"/>
      <c r="Y558" s="104"/>
      <c r="Z558" s="104"/>
      <c r="AA558" s="23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4"/>
      <c r="BE558" s="104"/>
      <c r="BF558" s="104"/>
      <c r="BG558" s="104"/>
      <c r="BH558" s="104"/>
      <c r="BI558" s="104"/>
      <c r="BJ558" s="104"/>
      <c r="BK558" s="12"/>
      <c r="BL558" s="12"/>
    </row>
    <row r="559" spans="1:64" ht="12.75" hidden="1" customHeight="1" outlineLevel="1">
      <c r="A559" s="9"/>
      <c r="B559" s="9"/>
      <c r="C559" s="44"/>
      <c r="D559" s="271">
        <f>Asset26</f>
        <v>0</v>
      </c>
      <c r="E559" s="9"/>
      <c r="F559" s="9"/>
      <c r="G559" s="207">
        <f>'Adjustment for previous period'!G585</f>
        <v>0</v>
      </c>
      <c r="H559" s="115">
        <f t="shared" si="57"/>
        <v>0</v>
      </c>
      <c r="I559" s="115">
        <f t="shared" si="56"/>
        <v>0</v>
      </c>
      <c r="J559" s="115">
        <f t="shared" si="56"/>
        <v>0</v>
      </c>
      <c r="K559" s="115">
        <f t="shared" si="56"/>
        <v>0</v>
      </c>
      <c r="L559" s="115">
        <f t="shared" si="56"/>
        <v>0</v>
      </c>
      <c r="M559" s="115">
        <f t="shared" si="56"/>
        <v>0</v>
      </c>
      <c r="N559" s="115">
        <f t="shared" si="56"/>
        <v>0</v>
      </c>
      <c r="O559" s="115">
        <f t="shared" si="56"/>
        <v>0</v>
      </c>
      <c r="P559" s="115">
        <f t="shared" si="56"/>
        <v>0</v>
      </c>
      <c r="Q559" s="115">
        <f t="shared" si="56"/>
        <v>0</v>
      </c>
      <c r="R559" s="29"/>
      <c r="S559" s="104"/>
      <c r="T559" s="104"/>
      <c r="U559" s="104"/>
      <c r="V559" s="104"/>
      <c r="W559" s="104"/>
      <c r="X559" s="104"/>
      <c r="Y559" s="104"/>
      <c r="Z559" s="104"/>
      <c r="AA559" s="23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4"/>
      <c r="BE559" s="104"/>
      <c r="BF559" s="104"/>
      <c r="BG559" s="104"/>
      <c r="BH559" s="104"/>
      <c r="BI559" s="104"/>
      <c r="BJ559" s="104"/>
      <c r="BK559" s="12"/>
      <c r="BL559" s="12"/>
    </row>
    <row r="560" spans="1:64" ht="12.75" hidden="1" customHeight="1" outlineLevel="1">
      <c r="A560" s="9"/>
      <c r="B560" s="9"/>
      <c r="C560" s="44"/>
      <c r="D560" s="271">
        <f>Asset27</f>
        <v>0</v>
      </c>
      <c r="E560" s="9"/>
      <c r="F560" s="9"/>
      <c r="G560" s="207">
        <f>'Adjustment for previous period'!G586</f>
        <v>0</v>
      </c>
      <c r="H560" s="115">
        <f t="shared" si="57"/>
        <v>0</v>
      </c>
      <c r="I560" s="115">
        <f t="shared" si="56"/>
        <v>0</v>
      </c>
      <c r="J560" s="115">
        <f t="shared" si="56"/>
        <v>0</v>
      </c>
      <c r="K560" s="115">
        <f t="shared" si="56"/>
        <v>0</v>
      </c>
      <c r="L560" s="115">
        <f t="shared" si="56"/>
        <v>0</v>
      </c>
      <c r="M560" s="115">
        <f t="shared" si="56"/>
        <v>0</v>
      </c>
      <c r="N560" s="115">
        <f t="shared" si="56"/>
        <v>0</v>
      </c>
      <c r="O560" s="115">
        <f t="shared" si="56"/>
        <v>0</v>
      </c>
      <c r="P560" s="115">
        <f t="shared" si="56"/>
        <v>0</v>
      </c>
      <c r="Q560" s="115">
        <f t="shared" si="56"/>
        <v>0</v>
      </c>
      <c r="R560" s="29"/>
      <c r="S560" s="104"/>
      <c r="T560" s="104"/>
      <c r="U560" s="104"/>
      <c r="V560" s="104"/>
      <c r="W560" s="104"/>
      <c r="X560" s="104"/>
      <c r="Y560" s="104"/>
      <c r="Z560" s="104"/>
      <c r="AA560" s="23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4"/>
      <c r="BE560" s="104"/>
      <c r="BF560" s="104"/>
      <c r="BG560" s="104"/>
      <c r="BH560" s="104"/>
      <c r="BI560" s="104"/>
      <c r="BJ560" s="104"/>
      <c r="BK560" s="12"/>
      <c r="BL560" s="12"/>
    </row>
    <row r="561" spans="1:64" ht="12.75" hidden="1" customHeight="1" outlineLevel="1">
      <c r="A561" s="9"/>
      <c r="B561" s="9"/>
      <c r="C561" s="44"/>
      <c r="D561" s="271">
        <f>Asset28</f>
        <v>0</v>
      </c>
      <c r="E561" s="9"/>
      <c r="F561" s="9"/>
      <c r="G561" s="207">
        <f>'Adjustment for previous period'!G587</f>
        <v>0</v>
      </c>
      <c r="H561" s="115">
        <f t="shared" si="57"/>
        <v>0</v>
      </c>
      <c r="I561" s="115">
        <f t="shared" si="56"/>
        <v>0</v>
      </c>
      <c r="J561" s="115">
        <f t="shared" si="56"/>
        <v>0</v>
      </c>
      <c r="K561" s="115">
        <f t="shared" si="56"/>
        <v>0</v>
      </c>
      <c r="L561" s="115">
        <f t="shared" si="56"/>
        <v>0</v>
      </c>
      <c r="M561" s="115">
        <f t="shared" si="56"/>
        <v>0</v>
      </c>
      <c r="N561" s="115">
        <f t="shared" si="56"/>
        <v>0</v>
      </c>
      <c r="O561" s="115">
        <f t="shared" si="56"/>
        <v>0</v>
      </c>
      <c r="P561" s="115">
        <f t="shared" si="56"/>
        <v>0</v>
      </c>
      <c r="Q561" s="115">
        <f t="shared" si="56"/>
        <v>0</v>
      </c>
      <c r="R561" s="29"/>
      <c r="S561" s="104"/>
      <c r="T561" s="104"/>
      <c r="U561" s="104"/>
      <c r="V561" s="104"/>
      <c r="W561" s="104"/>
      <c r="X561" s="104"/>
      <c r="Y561" s="104"/>
      <c r="Z561" s="104"/>
      <c r="AA561" s="23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4"/>
      <c r="BE561" s="104"/>
      <c r="BF561" s="104"/>
      <c r="BG561" s="104"/>
      <c r="BH561" s="104"/>
      <c r="BI561" s="104"/>
      <c r="BJ561" s="104"/>
      <c r="BK561" s="12"/>
      <c r="BL561" s="12"/>
    </row>
    <row r="562" spans="1:64" ht="12.75" hidden="1" customHeight="1" outlineLevel="1">
      <c r="A562" s="9"/>
      <c r="B562" s="9"/>
      <c r="C562" s="44"/>
      <c r="D562" s="271">
        <f>Asset29</f>
        <v>0</v>
      </c>
      <c r="E562" s="9"/>
      <c r="F562" s="9"/>
      <c r="G562" s="207">
        <f>'Adjustment for previous period'!G588</f>
        <v>0</v>
      </c>
      <c r="H562" s="115">
        <f t="shared" si="57"/>
        <v>0</v>
      </c>
      <c r="I562" s="115">
        <f t="shared" si="56"/>
        <v>0</v>
      </c>
      <c r="J562" s="115">
        <f t="shared" si="56"/>
        <v>0</v>
      </c>
      <c r="K562" s="115">
        <f t="shared" si="56"/>
        <v>0</v>
      </c>
      <c r="L562" s="115">
        <f t="shared" si="56"/>
        <v>0</v>
      </c>
      <c r="M562" s="115">
        <f t="shared" si="56"/>
        <v>0</v>
      </c>
      <c r="N562" s="115">
        <f t="shared" si="56"/>
        <v>0</v>
      </c>
      <c r="O562" s="115">
        <f t="shared" si="56"/>
        <v>0</v>
      </c>
      <c r="P562" s="115">
        <f t="shared" si="56"/>
        <v>0</v>
      </c>
      <c r="Q562" s="115">
        <f t="shared" si="56"/>
        <v>0</v>
      </c>
      <c r="R562" s="29"/>
      <c r="S562" s="104"/>
      <c r="T562" s="104"/>
      <c r="U562" s="104"/>
      <c r="V562" s="104"/>
      <c r="W562" s="104"/>
      <c r="X562" s="104"/>
      <c r="Y562" s="104"/>
      <c r="Z562" s="104"/>
      <c r="AA562" s="23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4"/>
      <c r="BE562" s="104"/>
      <c r="BF562" s="104"/>
      <c r="BG562" s="104"/>
      <c r="BH562" s="104"/>
      <c r="BI562" s="104"/>
      <c r="BJ562" s="104"/>
      <c r="BK562" s="12"/>
      <c r="BL562" s="12"/>
    </row>
    <row r="563" spans="1:64" ht="12.75" hidden="1" customHeight="1" outlineLevel="1">
      <c r="A563" s="9"/>
      <c r="B563" s="9"/>
      <c r="C563" s="44"/>
      <c r="D563" s="271">
        <f>Asset30</f>
        <v>0</v>
      </c>
      <c r="E563" s="9"/>
      <c r="F563" s="9"/>
      <c r="G563" s="207">
        <f>'Adjustment for previous period'!G589</f>
        <v>0</v>
      </c>
      <c r="H563" s="115">
        <f>H725+H757</f>
        <v>0</v>
      </c>
      <c r="I563" s="115">
        <f>I725+I757</f>
        <v>0</v>
      </c>
      <c r="J563" s="115">
        <f t="shared" si="56"/>
        <v>0</v>
      </c>
      <c r="K563" s="115">
        <f t="shared" si="56"/>
        <v>0</v>
      </c>
      <c r="L563" s="115">
        <f t="shared" si="56"/>
        <v>0</v>
      </c>
      <c r="M563" s="115">
        <f t="shared" si="56"/>
        <v>0</v>
      </c>
      <c r="N563" s="115">
        <f t="shared" si="56"/>
        <v>0</v>
      </c>
      <c r="O563" s="115">
        <f t="shared" si="56"/>
        <v>0</v>
      </c>
      <c r="P563" s="115">
        <f t="shared" si="56"/>
        <v>0</v>
      </c>
      <c r="Q563" s="115">
        <f>Q725+Q757</f>
        <v>0</v>
      </c>
      <c r="R563" s="29"/>
      <c r="S563" s="104"/>
      <c r="T563" s="104"/>
      <c r="U563" s="104"/>
      <c r="V563" s="104"/>
      <c r="W563" s="104"/>
      <c r="X563" s="104"/>
      <c r="Y563" s="104"/>
      <c r="Z563" s="104"/>
      <c r="AA563" s="23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4"/>
      <c r="BE563" s="104"/>
      <c r="BF563" s="104"/>
      <c r="BG563" s="104"/>
      <c r="BH563" s="104"/>
      <c r="BI563" s="104"/>
      <c r="BJ563" s="104"/>
      <c r="BK563" s="12"/>
      <c r="BL563" s="12"/>
    </row>
    <row r="564" spans="1:64" collapsed="1">
      <c r="A564" s="9"/>
      <c r="B564" s="9"/>
      <c r="C564" s="44"/>
      <c r="D564" s="131"/>
      <c r="E564" s="9"/>
      <c r="F564" s="9"/>
      <c r="G564" s="211"/>
      <c r="H564" s="115"/>
      <c r="I564" s="115"/>
      <c r="J564" s="115"/>
      <c r="K564" s="115"/>
      <c r="L564" s="115"/>
      <c r="M564" s="115"/>
      <c r="N564" s="29"/>
      <c r="O564" s="29"/>
      <c r="P564" s="29"/>
      <c r="Q564" s="29"/>
      <c r="R564" s="29"/>
      <c r="S564" s="104"/>
      <c r="T564" s="104"/>
      <c r="U564" s="104"/>
      <c r="V564" s="104"/>
      <c r="W564" s="104"/>
      <c r="X564" s="104"/>
      <c r="Y564" s="104"/>
      <c r="Z564" s="104"/>
      <c r="AA564" s="23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4"/>
      <c r="BE564" s="104"/>
      <c r="BF564" s="104"/>
      <c r="BG564" s="104"/>
      <c r="BH564" s="104"/>
      <c r="BI564" s="104"/>
      <c r="BJ564" s="104"/>
      <c r="BK564" s="12"/>
      <c r="BL564" s="12"/>
    </row>
    <row r="565" spans="1:64">
      <c r="A565" s="9"/>
      <c r="B565" s="9"/>
      <c r="C565" s="44" t="s">
        <v>26</v>
      </c>
      <c r="D565" s="117"/>
      <c r="E565" s="9"/>
      <c r="F565" s="9"/>
      <c r="G565" s="311">
        <f>SUM(G566:G595)</f>
        <v>27.807906237003301</v>
      </c>
      <c r="H565" s="35"/>
      <c r="I565" s="35"/>
      <c r="J565" s="35"/>
      <c r="K565" s="35"/>
      <c r="L565" s="35"/>
      <c r="M565" s="35"/>
      <c r="N565" s="29"/>
      <c r="O565" s="29"/>
      <c r="P565" s="29"/>
      <c r="Q565" s="29"/>
      <c r="R565" s="29"/>
      <c r="S565" s="104"/>
      <c r="T565" s="104"/>
      <c r="U565" s="104"/>
      <c r="V565" s="104"/>
      <c r="W565" s="104"/>
      <c r="X565" s="104"/>
      <c r="Y565" s="104"/>
      <c r="Z565" s="104"/>
      <c r="AA565" s="23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4"/>
      <c r="BE565" s="104"/>
      <c r="BF565" s="104"/>
      <c r="BG565" s="104"/>
      <c r="BH565" s="104"/>
      <c r="BI565" s="104"/>
      <c r="BJ565" s="104"/>
      <c r="BK565" s="12"/>
      <c r="BL565" s="12"/>
    </row>
    <row r="566" spans="1:64" hidden="1" outlineLevel="1">
      <c r="A566" s="9"/>
      <c r="B566" s="9"/>
      <c r="C566" s="9"/>
      <c r="D566" s="271" t="str">
        <f>Asset1</f>
        <v>Subtransmission</v>
      </c>
      <c r="E566" s="9"/>
      <c r="F566" s="9"/>
      <c r="G566" s="207">
        <f>'Adjustment for previous period'!G592</f>
        <v>-25.319625562178441</v>
      </c>
      <c r="H566" s="35"/>
      <c r="I566" s="35"/>
      <c r="J566" s="35"/>
      <c r="K566" s="35"/>
      <c r="L566" s="35"/>
      <c r="M566" s="35"/>
      <c r="N566" s="29"/>
      <c r="O566" s="29"/>
      <c r="P566" s="29"/>
      <c r="Q566" s="29"/>
      <c r="R566" s="29"/>
      <c r="S566" s="104"/>
      <c r="T566" s="104"/>
      <c r="U566" s="104"/>
      <c r="V566" s="104"/>
      <c r="W566" s="104"/>
      <c r="X566" s="104"/>
      <c r="Y566" s="104"/>
      <c r="Z566" s="104"/>
      <c r="AA566" s="23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4"/>
      <c r="BE566" s="104"/>
      <c r="BF566" s="104"/>
      <c r="BG566" s="104"/>
      <c r="BH566" s="104"/>
      <c r="BI566" s="104"/>
      <c r="BJ566" s="104"/>
      <c r="BK566" s="12"/>
      <c r="BL566" s="12"/>
    </row>
    <row r="567" spans="1:64" hidden="1" outlineLevel="1">
      <c r="A567" s="9"/>
      <c r="B567" s="9"/>
      <c r="C567" s="44"/>
      <c r="D567" s="271" t="str">
        <f>Asset2</f>
        <v>Distribution system assets</v>
      </c>
      <c r="E567" s="9"/>
      <c r="F567" s="9"/>
      <c r="G567" s="207">
        <f>'Adjustment for previous period'!G593</f>
        <v>32.156560835536396</v>
      </c>
      <c r="H567" s="35"/>
      <c r="I567" s="35"/>
      <c r="J567" s="35"/>
      <c r="K567" s="35"/>
      <c r="L567" s="35"/>
      <c r="M567" s="35"/>
      <c r="N567" s="29"/>
      <c r="O567" s="29"/>
      <c r="P567" s="29"/>
      <c r="Q567" s="29"/>
      <c r="R567" s="29"/>
      <c r="S567" s="104"/>
      <c r="T567" s="104"/>
      <c r="U567" s="104"/>
      <c r="V567" s="104"/>
      <c r="W567" s="104"/>
      <c r="X567" s="104"/>
      <c r="Y567" s="104"/>
      <c r="Z567" s="104"/>
      <c r="AA567" s="23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4"/>
      <c r="BE567" s="104"/>
      <c r="BF567" s="104"/>
      <c r="BG567" s="104"/>
      <c r="BH567" s="104"/>
      <c r="BI567" s="104"/>
      <c r="BJ567" s="104"/>
      <c r="BK567" s="12"/>
      <c r="BL567" s="12"/>
    </row>
    <row r="568" spans="1:64" hidden="1" outlineLevel="1">
      <c r="A568" s="9"/>
      <c r="B568" s="9"/>
      <c r="C568" s="44"/>
      <c r="D568" s="271" t="str">
        <f>Asset3</f>
        <v>Standard metering</v>
      </c>
      <c r="E568" s="9"/>
      <c r="F568" s="9"/>
      <c r="G568" s="207">
        <f>'Adjustment for previous period'!G594</f>
        <v>9.7325555754664421</v>
      </c>
      <c r="H568" s="35"/>
      <c r="I568" s="35"/>
      <c r="J568" s="35"/>
      <c r="K568" s="35"/>
      <c r="L568" s="35"/>
      <c r="M568" s="35"/>
      <c r="N568" s="29"/>
      <c r="O568" s="29"/>
      <c r="P568" s="29"/>
      <c r="Q568" s="29"/>
      <c r="R568" s="29"/>
      <c r="S568" s="104"/>
      <c r="T568" s="104"/>
      <c r="U568" s="104"/>
      <c r="V568" s="104"/>
      <c r="W568" s="104"/>
      <c r="X568" s="104"/>
      <c r="Y568" s="104"/>
      <c r="Z568" s="104"/>
      <c r="AA568" s="23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4"/>
      <c r="BE568" s="104"/>
      <c r="BF568" s="104"/>
      <c r="BG568" s="104"/>
      <c r="BH568" s="104"/>
      <c r="BI568" s="104"/>
      <c r="BJ568" s="104"/>
      <c r="BK568" s="12"/>
      <c r="BL568" s="12"/>
    </row>
    <row r="569" spans="1:64" hidden="1" outlineLevel="1">
      <c r="A569" s="9"/>
      <c r="B569" s="9"/>
      <c r="C569" s="44"/>
      <c r="D569" s="271" t="str">
        <f>Asset4</f>
        <v>Public lighting</v>
      </c>
      <c r="E569" s="9"/>
      <c r="F569" s="9"/>
      <c r="G569" s="207">
        <f>'Adjustment for previous period'!G595</f>
        <v>0</v>
      </c>
      <c r="H569" s="35"/>
      <c r="I569" s="35"/>
      <c r="J569" s="35"/>
      <c r="K569" s="35"/>
      <c r="L569" s="35"/>
      <c r="M569" s="35"/>
      <c r="N569" s="29"/>
      <c r="O569" s="29"/>
      <c r="P569" s="29"/>
      <c r="Q569" s="29"/>
      <c r="R569" s="29"/>
      <c r="S569" s="104"/>
      <c r="T569" s="104"/>
      <c r="U569" s="104"/>
      <c r="V569" s="104"/>
      <c r="W569" s="104"/>
      <c r="X569" s="104"/>
      <c r="Y569" s="104"/>
      <c r="Z569" s="104"/>
      <c r="AA569" s="23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4"/>
      <c r="BE569" s="104"/>
      <c r="BF569" s="104"/>
      <c r="BG569" s="104"/>
      <c r="BH569" s="104"/>
      <c r="BI569" s="104"/>
      <c r="BJ569" s="104"/>
      <c r="BK569" s="12"/>
      <c r="BL569" s="12"/>
    </row>
    <row r="570" spans="1:64" hidden="1" outlineLevel="1">
      <c r="A570" s="9"/>
      <c r="B570" s="9"/>
      <c r="C570" s="44"/>
      <c r="D570" s="271" t="str">
        <f>Asset5</f>
        <v>SCADA/Network control</v>
      </c>
      <c r="E570" s="9"/>
      <c r="F570" s="9"/>
      <c r="G570" s="207">
        <f>'Adjustment for previous period'!G596</f>
        <v>2.4654834392613107</v>
      </c>
      <c r="H570" s="35"/>
      <c r="I570" s="35"/>
      <c r="J570" s="35"/>
      <c r="K570" s="35"/>
      <c r="L570" s="35"/>
      <c r="M570" s="35"/>
      <c r="N570" s="29"/>
      <c r="O570" s="29"/>
      <c r="P570" s="29"/>
      <c r="Q570" s="29"/>
      <c r="R570" s="29"/>
      <c r="S570" s="104"/>
      <c r="T570" s="104"/>
      <c r="U570" s="104"/>
      <c r="V570" s="104"/>
      <c r="W570" s="104"/>
      <c r="X570" s="104"/>
      <c r="Y570" s="104"/>
      <c r="Z570" s="104"/>
      <c r="AA570" s="23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4"/>
      <c r="BE570" s="104"/>
      <c r="BF570" s="104"/>
      <c r="BG570" s="104"/>
      <c r="BH570" s="104"/>
      <c r="BI570" s="104"/>
      <c r="BJ570" s="104"/>
      <c r="BK570" s="12"/>
      <c r="BL570" s="12"/>
    </row>
    <row r="571" spans="1:64" hidden="1" outlineLevel="1">
      <c r="A571" s="9"/>
      <c r="B571" s="9"/>
      <c r="C571" s="44"/>
      <c r="D571" s="271" t="str">
        <f>Asset6</f>
        <v>Non-network general assets - IT</v>
      </c>
      <c r="E571" s="9"/>
      <c r="F571" s="9"/>
      <c r="G571" s="207">
        <f>'Adjustment for previous period'!G597</f>
        <v>5.9967896688978106</v>
      </c>
      <c r="H571" s="35"/>
      <c r="I571" s="35"/>
      <c r="J571" s="35"/>
      <c r="K571" s="35"/>
      <c r="L571" s="35"/>
      <c r="M571" s="35"/>
      <c r="N571" s="29"/>
      <c r="O571" s="29"/>
      <c r="P571" s="29"/>
      <c r="Q571" s="29"/>
      <c r="R571" s="29"/>
      <c r="S571" s="104"/>
      <c r="T571" s="104"/>
      <c r="U571" s="104"/>
      <c r="V571" s="104"/>
      <c r="W571" s="104"/>
      <c r="X571" s="104"/>
      <c r="Y571" s="104"/>
      <c r="Z571" s="104"/>
      <c r="AA571" s="23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4"/>
      <c r="BE571" s="104"/>
      <c r="BF571" s="104"/>
      <c r="BG571" s="104"/>
      <c r="BH571" s="104"/>
      <c r="BI571" s="104"/>
      <c r="BJ571" s="104"/>
      <c r="BK571" s="12"/>
      <c r="BL571" s="12"/>
    </row>
    <row r="572" spans="1:64" hidden="1" outlineLevel="1">
      <c r="A572" s="9"/>
      <c r="B572" s="9"/>
      <c r="C572" s="44"/>
      <c r="D572" s="271" t="str">
        <f>Asset7</f>
        <v>Non-network general assets - Other</v>
      </c>
      <c r="E572" s="9"/>
      <c r="F572" s="9"/>
      <c r="G572" s="207">
        <f>'Adjustment for previous period'!G598</f>
        <v>2.7761422800197848</v>
      </c>
      <c r="H572" s="35"/>
      <c r="I572" s="35"/>
      <c r="J572" s="35"/>
      <c r="K572" s="35"/>
      <c r="L572" s="35"/>
      <c r="M572" s="35"/>
      <c r="N572" s="29"/>
      <c r="O572" s="29"/>
      <c r="P572" s="29"/>
      <c r="Q572" s="29"/>
      <c r="R572" s="29"/>
      <c r="S572" s="104"/>
      <c r="T572" s="104"/>
      <c r="U572" s="104"/>
      <c r="V572" s="104"/>
      <c r="W572" s="104"/>
      <c r="X572" s="104"/>
      <c r="Y572" s="104"/>
      <c r="Z572" s="104"/>
      <c r="AA572" s="23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4"/>
      <c r="BE572" s="104"/>
      <c r="BF572" s="104"/>
      <c r="BG572" s="104"/>
      <c r="BH572" s="104"/>
      <c r="BI572" s="104"/>
      <c r="BJ572" s="104"/>
      <c r="BK572" s="12"/>
      <c r="BL572" s="12"/>
    </row>
    <row r="573" spans="1:64" hidden="1" outlineLevel="1">
      <c r="A573" s="9"/>
      <c r="B573" s="9"/>
      <c r="C573" s="44"/>
      <c r="D573" s="271" t="str">
        <f>Asset8</f>
        <v>Equity Raising Costs</v>
      </c>
      <c r="E573" s="9"/>
      <c r="F573" s="9"/>
      <c r="G573" s="207">
        <f>'Adjustment for previous period'!G599</f>
        <v>0</v>
      </c>
      <c r="H573" s="35"/>
      <c r="I573" s="35"/>
      <c r="J573" s="35"/>
      <c r="K573" s="35"/>
      <c r="L573" s="35"/>
      <c r="M573" s="35"/>
      <c r="N573" s="29"/>
      <c r="O573" s="29"/>
      <c r="P573" s="29"/>
      <c r="Q573" s="29"/>
      <c r="R573" s="29"/>
      <c r="S573" s="104"/>
      <c r="T573" s="104"/>
      <c r="U573" s="104"/>
      <c r="V573" s="104"/>
      <c r="W573" s="104"/>
      <c r="X573" s="104"/>
      <c r="Y573" s="104"/>
      <c r="Z573" s="104"/>
      <c r="AA573" s="23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4"/>
      <c r="BE573" s="104"/>
      <c r="BF573" s="104"/>
      <c r="BG573" s="104"/>
      <c r="BH573" s="104"/>
      <c r="BI573" s="104"/>
      <c r="BJ573" s="104"/>
      <c r="BK573" s="12"/>
      <c r="BL573" s="12"/>
    </row>
    <row r="574" spans="1:64" hidden="1" outlineLevel="1">
      <c r="A574" s="9"/>
      <c r="B574" s="9"/>
      <c r="C574" s="44"/>
      <c r="D574" s="271">
        <f>Asset9</f>
        <v>0</v>
      </c>
      <c r="E574" s="9"/>
      <c r="F574" s="9"/>
      <c r="G574" s="207">
        <f>'Adjustment for previous period'!G600</f>
        <v>0</v>
      </c>
      <c r="H574" s="35"/>
      <c r="I574" s="35"/>
      <c r="J574" s="35"/>
      <c r="K574" s="35"/>
      <c r="L574" s="35"/>
      <c r="M574" s="35"/>
      <c r="N574" s="29"/>
      <c r="O574" s="29"/>
      <c r="P574" s="29"/>
      <c r="Q574" s="29"/>
      <c r="R574" s="29"/>
      <c r="S574" s="104"/>
      <c r="T574" s="104"/>
      <c r="U574" s="104"/>
      <c r="V574" s="104"/>
      <c r="W574" s="104"/>
      <c r="X574" s="104"/>
      <c r="Y574" s="104"/>
      <c r="Z574" s="104"/>
      <c r="AA574" s="23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4"/>
      <c r="BE574" s="104"/>
      <c r="BF574" s="104"/>
      <c r="BG574" s="104"/>
      <c r="BH574" s="104"/>
      <c r="BI574" s="104"/>
      <c r="BJ574" s="104"/>
      <c r="BK574" s="12"/>
      <c r="BL574" s="12"/>
    </row>
    <row r="575" spans="1:64" hidden="1" outlineLevel="1">
      <c r="A575" s="9"/>
      <c r="B575" s="9"/>
      <c r="C575" s="44"/>
      <c r="D575" s="271">
        <f>Asset10</f>
        <v>0</v>
      </c>
      <c r="E575" s="9"/>
      <c r="F575" s="9"/>
      <c r="G575" s="207">
        <f>'Adjustment for previous period'!G601</f>
        <v>0</v>
      </c>
      <c r="H575" s="35"/>
      <c r="I575" s="35"/>
      <c r="J575" s="35"/>
      <c r="K575" s="35"/>
      <c r="L575" s="35"/>
      <c r="M575" s="35"/>
      <c r="N575" s="29"/>
      <c r="O575" s="29"/>
      <c r="P575" s="29"/>
      <c r="Q575" s="29"/>
      <c r="R575" s="29"/>
      <c r="S575" s="104"/>
      <c r="T575" s="104"/>
      <c r="U575" s="104"/>
      <c r="V575" s="104"/>
      <c r="W575" s="104"/>
      <c r="X575" s="104"/>
      <c r="Y575" s="104"/>
      <c r="Z575" s="104"/>
      <c r="AA575" s="23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4"/>
      <c r="BE575" s="104"/>
      <c r="BF575" s="104"/>
      <c r="BG575" s="104"/>
      <c r="BH575" s="104"/>
      <c r="BI575" s="104"/>
      <c r="BJ575" s="104"/>
      <c r="BK575" s="12"/>
      <c r="BL575" s="12"/>
    </row>
    <row r="576" spans="1:64" hidden="1" outlineLevel="1">
      <c r="A576" s="9"/>
      <c r="B576" s="9"/>
      <c r="C576" s="44"/>
      <c r="D576" s="271">
        <f>Asset11</f>
        <v>0</v>
      </c>
      <c r="E576" s="9"/>
      <c r="F576" s="9"/>
      <c r="G576" s="207">
        <f>'Adjustment for previous period'!G602</f>
        <v>0</v>
      </c>
      <c r="H576" s="35"/>
      <c r="I576" s="35"/>
      <c r="J576" s="35"/>
      <c r="K576" s="35"/>
      <c r="L576" s="35"/>
      <c r="M576" s="35"/>
      <c r="N576" s="29"/>
      <c r="O576" s="29"/>
      <c r="P576" s="29"/>
      <c r="Q576" s="29"/>
      <c r="R576" s="29"/>
      <c r="S576" s="104"/>
      <c r="T576" s="104"/>
      <c r="U576" s="104"/>
      <c r="V576" s="104"/>
      <c r="W576" s="104"/>
      <c r="X576" s="104"/>
      <c r="Y576" s="104"/>
      <c r="Z576" s="104"/>
      <c r="AA576" s="23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4"/>
      <c r="BE576" s="104"/>
      <c r="BF576" s="104"/>
      <c r="BG576" s="104"/>
      <c r="BH576" s="104"/>
      <c r="BI576" s="104"/>
      <c r="BJ576" s="104"/>
      <c r="BK576" s="12"/>
      <c r="BL576" s="12"/>
    </row>
    <row r="577" spans="1:64" hidden="1" outlineLevel="1">
      <c r="A577" s="9"/>
      <c r="B577" s="9"/>
      <c r="C577" s="44"/>
      <c r="D577" s="271">
        <f>Asset12</f>
        <v>0</v>
      </c>
      <c r="E577" s="9"/>
      <c r="F577" s="9"/>
      <c r="G577" s="207">
        <f>'Adjustment for previous period'!G603</f>
        <v>0</v>
      </c>
      <c r="H577" s="35"/>
      <c r="I577" s="35"/>
      <c r="J577" s="35"/>
      <c r="K577" s="35"/>
      <c r="L577" s="35"/>
      <c r="M577" s="35"/>
      <c r="N577" s="29"/>
      <c r="O577" s="29"/>
      <c r="P577" s="29"/>
      <c r="Q577" s="29"/>
      <c r="R577" s="29"/>
      <c r="S577" s="104"/>
      <c r="T577" s="104"/>
      <c r="U577" s="104"/>
      <c r="V577" s="104"/>
      <c r="W577" s="104"/>
      <c r="X577" s="104"/>
      <c r="Y577" s="104"/>
      <c r="Z577" s="104"/>
      <c r="AA577" s="23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4"/>
      <c r="BE577" s="104"/>
      <c r="BF577" s="104"/>
      <c r="BG577" s="104"/>
      <c r="BH577" s="104"/>
      <c r="BI577" s="104"/>
      <c r="BJ577" s="104"/>
      <c r="BK577" s="12"/>
      <c r="BL577" s="12"/>
    </row>
    <row r="578" spans="1:64" hidden="1" outlineLevel="1">
      <c r="A578" s="9"/>
      <c r="B578" s="9"/>
      <c r="C578" s="44"/>
      <c r="D578" s="271">
        <f>Asset13</f>
        <v>0</v>
      </c>
      <c r="E578" s="9"/>
      <c r="F578" s="9"/>
      <c r="G578" s="207">
        <f>'Adjustment for previous period'!G604</f>
        <v>0</v>
      </c>
      <c r="H578" s="35"/>
      <c r="I578" s="35"/>
      <c r="J578" s="35"/>
      <c r="K578" s="35"/>
      <c r="L578" s="35"/>
      <c r="M578" s="35"/>
      <c r="N578" s="29"/>
      <c r="O578" s="29"/>
      <c r="P578" s="29"/>
      <c r="Q578" s="29"/>
      <c r="R578" s="29"/>
      <c r="S578" s="104"/>
      <c r="T578" s="104"/>
      <c r="U578" s="104"/>
      <c r="V578" s="104"/>
      <c r="W578" s="104"/>
      <c r="X578" s="104"/>
      <c r="Y578" s="104"/>
      <c r="Z578" s="104"/>
      <c r="AA578" s="23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4"/>
      <c r="BE578" s="104"/>
      <c r="BF578" s="104"/>
      <c r="BG578" s="104"/>
      <c r="BH578" s="104"/>
      <c r="BI578" s="104"/>
      <c r="BJ578" s="104"/>
      <c r="BK578" s="12"/>
      <c r="BL578" s="12"/>
    </row>
    <row r="579" spans="1:64" hidden="1" outlineLevel="1">
      <c r="A579" s="9"/>
      <c r="B579" s="9"/>
      <c r="C579" s="44"/>
      <c r="D579" s="271">
        <f>Asset14</f>
        <v>0</v>
      </c>
      <c r="E579" s="9"/>
      <c r="F579" s="9"/>
      <c r="G579" s="207">
        <f>'Adjustment for previous period'!G605</f>
        <v>0</v>
      </c>
      <c r="H579" s="35"/>
      <c r="I579" s="35"/>
      <c r="J579" s="35"/>
      <c r="K579" s="35"/>
      <c r="L579" s="35"/>
      <c r="M579" s="35"/>
      <c r="N579" s="29"/>
      <c r="O579" s="29"/>
      <c r="P579" s="29"/>
      <c r="Q579" s="29"/>
      <c r="R579" s="29"/>
      <c r="S579" s="104"/>
      <c r="T579" s="104"/>
      <c r="U579" s="104"/>
      <c r="V579" s="104"/>
      <c r="W579" s="104"/>
      <c r="X579" s="104"/>
      <c r="Y579" s="104"/>
      <c r="Z579" s="104"/>
      <c r="AA579" s="23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4"/>
      <c r="BE579" s="104"/>
      <c r="BF579" s="104"/>
      <c r="BG579" s="104"/>
      <c r="BH579" s="104"/>
      <c r="BI579" s="104"/>
      <c r="BJ579" s="104"/>
      <c r="BK579" s="12"/>
      <c r="BL579" s="12"/>
    </row>
    <row r="580" spans="1:64" hidden="1" outlineLevel="1">
      <c r="A580" s="9"/>
      <c r="B580" s="9"/>
      <c r="C580" s="44"/>
      <c r="D580" s="271">
        <f>Asset15</f>
        <v>0</v>
      </c>
      <c r="E580" s="9"/>
      <c r="F580" s="9"/>
      <c r="G580" s="207">
        <f>'Adjustment for previous period'!G606</f>
        <v>0</v>
      </c>
      <c r="H580" s="35"/>
      <c r="I580" s="35"/>
      <c r="J580" s="35"/>
      <c r="K580" s="35"/>
      <c r="L580" s="35"/>
      <c r="M580" s="35"/>
      <c r="N580" s="29"/>
      <c r="O580" s="29"/>
      <c r="P580" s="29"/>
      <c r="Q580" s="29"/>
      <c r="R580" s="29"/>
      <c r="S580" s="104"/>
      <c r="T580" s="104"/>
      <c r="U580" s="104"/>
      <c r="V580" s="104"/>
      <c r="W580" s="104"/>
      <c r="X580" s="104"/>
      <c r="Y580" s="104"/>
      <c r="Z580" s="104"/>
      <c r="AA580" s="23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4"/>
      <c r="BE580" s="104"/>
      <c r="BF580" s="104"/>
      <c r="BG580" s="104"/>
      <c r="BH580" s="104"/>
      <c r="BI580" s="104"/>
      <c r="BJ580" s="104"/>
      <c r="BK580" s="12"/>
      <c r="BL580" s="12"/>
    </row>
    <row r="581" spans="1:64" hidden="1" outlineLevel="1">
      <c r="A581" s="9"/>
      <c r="B581" s="9"/>
      <c r="C581" s="44"/>
      <c r="D581" s="271">
        <f>Asset16</f>
        <v>0</v>
      </c>
      <c r="E581" s="9"/>
      <c r="F581" s="9"/>
      <c r="G581" s="207">
        <f>'Adjustment for previous period'!G607</f>
        <v>0</v>
      </c>
      <c r="H581" s="35"/>
      <c r="I581" s="35"/>
      <c r="J581" s="35"/>
      <c r="K581" s="35"/>
      <c r="L581" s="35"/>
      <c r="M581" s="35"/>
      <c r="N581" s="29"/>
      <c r="O581" s="29"/>
      <c r="P581" s="29"/>
      <c r="Q581" s="29"/>
      <c r="R581" s="29"/>
      <c r="S581" s="104"/>
      <c r="T581" s="104"/>
      <c r="U581" s="104"/>
      <c r="V581" s="104"/>
      <c r="W581" s="104"/>
      <c r="X581" s="104"/>
      <c r="Y581" s="104"/>
      <c r="Z581" s="104"/>
      <c r="AA581" s="23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4"/>
      <c r="BE581" s="104"/>
      <c r="BF581" s="104"/>
      <c r="BG581" s="104"/>
      <c r="BH581" s="104"/>
      <c r="BI581" s="104"/>
      <c r="BJ581" s="104"/>
      <c r="BK581" s="12"/>
      <c r="BL581" s="12"/>
    </row>
    <row r="582" spans="1:64" hidden="1" outlineLevel="1">
      <c r="A582" s="9"/>
      <c r="B582" s="9"/>
      <c r="C582" s="44"/>
      <c r="D582" s="271">
        <f>Asset17</f>
        <v>0</v>
      </c>
      <c r="E582" s="9"/>
      <c r="F582" s="9"/>
      <c r="G582" s="207">
        <f>'Adjustment for previous period'!G608</f>
        <v>0</v>
      </c>
      <c r="H582" s="35"/>
      <c r="I582" s="35"/>
      <c r="J582" s="35"/>
      <c r="K582" s="35"/>
      <c r="L582" s="35"/>
      <c r="M582" s="35"/>
      <c r="N582" s="29"/>
      <c r="O582" s="29"/>
      <c r="P582" s="29"/>
      <c r="Q582" s="29"/>
      <c r="R582" s="29"/>
      <c r="S582" s="104"/>
      <c r="T582" s="104"/>
      <c r="U582" s="104"/>
      <c r="V582" s="104"/>
      <c r="W582" s="104"/>
      <c r="X582" s="104"/>
      <c r="Y582" s="104"/>
      <c r="Z582" s="104"/>
      <c r="AA582" s="23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4"/>
      <c r="BE582" s="104"/>
      <c r="BF582" s="104"/>
      <c r="BG582" s="104"/>
      <c r="BH582" s="104"/>
      <c r="BI582" s="104"/>
      <c r="BJ582" s="104"/>
      <c r="BK582" s="12"/>
      <c r="BL582" s="12"/>
    </row>
    <row r="583" spans="1:64" hidden="1" outlineLevel="1">
      <c r="A583" s="9"/>
      <c r="B583" s="9"/>
      <c r="C583" s="44"/>
      <c r="D583" s="271">
        <f>Asset18</f>
        <v>0</v>
      </c>
      <c r="E583" s="9"/>
      <c r="F583" s="9"/>
      <c r="G583" s="207">
        <f>'Adjustment for previous period'!G609</f>
        <v>0</v>
      </c>
      <c r="H583" s="35"/>
      <c r="I583" s="35"/>
      <c r="J583" s="35"/>
      <c r="K583" s="35"/>
      <c r="L583" s="35"/>
      <c r="M583" s="35"/>
      <c r="N583" s="29"/>
      <c r="O583" s="29"/>
      <c r="P583" s="29"/>
      <c r="Q583" s="29"/>
      <c r="R583" s="29"/>
      <c r="S583" s="104"/>
      <c r="T583" s="104"/>
      <c r="U583" s="104"/>
      <c r="V583" s="104"/>
      <c r="W583" s="104"/>
      <c r="X583" s="104"/>
      <c r="Y583" s="104"/>
      <c r="Z583" s="104"/>
      <c r="AA583" s="23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4"/>
      <c r="BE583" s="104"/>
      <c r="BF583" s="104"/>
      <c r="BG583" s="104"/>
      <c r="BH583" s="104"/>
      <c r="BI583" s="104"/>
      <c r="BJ583" s="104"/>
      <c r="BK583" s="12"/>
      <c r="BL583" s="12"/>
    </row>
    <row r="584" spans="1:64" hidden="1" outlineLevel="1">
      <c r="A584" s="9"/>
      <c r="B584" s="9"/>
      <c r="C584" s="44"/>
      <c r="D584" s="271">
        <f>Asset19</f>
        <v>0</v>
      </c>
      <c r="E584" s="9"/>
      <c r="F584" s="9"/>
      <c r="G584" s="207">
        <f>'Adjustment for previous period'!G610</f>
        <v>0</v>
      </c>
      <c r="H584" s="35"/>
      <c r="I584" s="35"/>
      <c r="J584" s="35"/>
      <c r="K584" s="35"/>
      <c r="L584" s="35"/>
      <c r="M584" s="35"/>
      <c r="N584" s="29"/>
      <c r="O584" s="29"/>
      <c r="P584" s="29"/>
      <c r="Q584" s="29"/>
      <c r="R584" s="29"/>
      <c r="S584" s="104"/>
      <c r="T584" s="104"/>
      <c r="U584" s="104"/>
      <c r="V584" s="104"/>
      <c r="W584" s="104"/>
      <c r="X584" s="104"/>
      <c r="Y584" s="104"/>
      <c r="Z584" s="104"/>
      <c r="AA584" s="23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4"/>
      <c r="BE584" s="104"/>
      <c r="BF584" s="104"/>
      <c r="BG584" s="104"/>
      <c r="BH584" s="104"/>
      <c r="BI584" s="104"/>
      <c r="BJ584" s="104"/>
      <c r="BK584" s="12"/>
      <c r="BL584" s="12"/>
    </row>
    <row r="585" spans="1:64" hidden="1" outlineLevel="1">
      <c r="A585" s="9"/>
      <c r="B585" s="9"/>
      <c r="C585" s="44"/>
      <c r="D585" s="271">
        <f>Asset20</f>
        <v>0</v>
      </c>
      <c r="E585" s="9"/>
      <c r="F585" s="9"/>
      <c r="G585" s="207">
        <f>'Adjustment for previous period'!G611</f>
        <v>0</v>
      </c>
      <c r="H585" s="35"/>
      <c r="I585" s="35"/>
      <c r="J585" s="35"/>
      <c r="K585" s="35"/>
      <c r="L585" s="35"/>
      <c r="M585" s="35"/>
      <c r="N585" s="29"/>
      <c r="O585" s="29"/>
      <c r="P585" s="29"/>
      <c r="Q585" s="29"/>
      <c r="R585" s="29"/>
      <c r="S585" s="104"/>
      <c r="T585" s="104"/>
      <c r="U585" s="104"/>
      <c r="V585" s="104"/>
      <c r="W585" s="104"/>
      <c r="X585" s="104"/>
      <c r="Y585" s="104"/>
      <c r="Z585" s="104"/>
      <c r="AA585" s="23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4"/>
      <c r="BE585" s="104"/>
      <c r="BF585" s="104"/>
      <c r="BG585" s="104"/>
      <c r="BH585" s="104"/>
      <c r="BI585" s="104"/>
      <c r="BJ585" s="104"/>
      <c r="BK585" s="12"/>
      <c r="BL585" s="12"/>
    </row>
    <row r="586" spans="1:64" hidden="1" outlineLevel="1">
      <c r="A586" s="9"/>
      <c r="B586" s="9"/>
      <c r="C586" s="44"/>
      <c r="D586" s="271">
        <f>Asset21</f>
        <v>0</v>
      </c>
      <c r="E586" s="9"/>
      <c r="F586" s="9"/>
      <c r="G586" s="207">
        <f>'Adjustment for previous period'!G612</f>
        <v>0</v>
      </c>
      <c r="H586" s="35"/>
      <c r="I586" s="35"/>
      <c r="J586" s="35"/>
      <c r="K586" s="35"/>
      <c r="L586" s="35"/>
      <c r="M586" s="35"/>
      <c r="N586" s="29"/>
      <c r="O586" s="29"/>
      <c r="P586" s="29"/>
      <c r="Q586" s="29"/>
      <c r="R586" s="29"/>
      <c r="S586" s="104"/>
      <c r="T586" s="104"/>
      <c r="U586" s="104"/>
      <c r="V586" s="104"/>
      <c r="W586" s="104"/>
      <c r="X586" s="104"/>
      <c r="Y586" s="104"/>
      <c r="Z586" s="104"/>
      <c r="AA586" s="23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4"/>
      <c r="BE586" s="104"/>
      <c r="BF586" s="104"/>
      <c r="BG586" s="104"/>
      <c r="BH586" s="104"/>
      <c r="BI586" s="104"/>
      <c r="BJ586" s="104"/>
      <c r="BK586" s="12"/>
      <c r="BL586" s="12"/>
    </row>
    <row r="587" spans="1:64" hidden="1" outlineLevel="1">
      <c r="A587" s="9"/>
      <c r="B587" s="9"/>
      <c r="C587" s="44"/>
      <c r="D587" s="271">
        <f>Asset22</f>
        <v>0</v>
      </c>
      <c r="E587" s="9"/>
      <c r="F587" s="9"/>
      <c r="G587" s="207">
        <f>'Adjustment for previous period'!G613</f>
        <v>0</v>
      </c>
      <c r="H587" s="35"/>
      <c r="I587" s="35"/>
      <c r="J587" s="35"/>
      <c r="K587" s="35"/>
      <c r="L587" s="35"/>
      <c r="M587" s="35"/>
      <c r="N587" s="29"/>
      <c r="O587" s="29"/>
      <c r="P587" s="29"/>
      <c r="Q587" s="29"/>
      <c r="R587" s="29"/>
      <c r="S587" s="104"/>
      <c r="T587" s="104"/>
      <c r="U587" s="104"/>
      <c r="V587" s="104"/>
      <c r="W587" s="104"/>
      <c r="X587" s="104"/>
      <c r="Y587" s="104"/>
      <c r="Z587" s="104"/>
      <c r="AA587" s="23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4"/>
      <c r="BE587" s="104"/>
      <c r="BF587" s="104"/>
      <c r="BG587" s="104"/>
      <c r="BH587" s="104"/>
      <c r="BI587" s="104"/>
      <c r="BJ587" s="104"/>
      <c r="BK587" s="12"/>
      <c r="BL587" s="12"/>
    </row>
    <row r="588" spans="1:64" hidden="1" outlineLevel="1">
      <c r="A588" s="9"/>
      <c r="B588" s="9"/>
      <c r="C588" s="44"/>
      <c r="D588" s="271">
        <f>Asset23</f>
        <v>0</v>
      </c>
      <c r="E588" s="9"/>
      <c r="F588" s="9"/>
      <c r="G588" s="207">
        <f>'Adjustment for previous period'!G614</f>
        <v>0</v>
      </c>
      <c r="H588" s="35"/>
      <c r="I588" s="35"/>
      <c r="J588" s="35"/>
      <c r="K588" s="35"/>
      <c r="L588" s="35"/>
      <c r="M588" s="35"/>
      <c r="N588" s="29"/>
      <c r="O588" s="29"/>
      <c r="P588" s="29"/>
      <c r="Q588" s="29"/>
      <c r="R588" s="29"/>
      <c r="S588" s="104"/>
      <c r="T588" s="104"/>
      <c r="U588" s="104"/>
      <c r="V588" s="104"/>
      <c r="W588" s="104"/>
      <c r="X588" s="104"/>
      <c r="Y588" s="104"/>
      <c r="Z588" s="104"/>
      <c r="AA588" s="23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4"/>
      <c r="BE588" s="104"/>
      <c r="BF588" s="104"/>
      <c r="BG588" s="104"/>
      <c r="BH588" s="104"/>
      <c r="BI588" s="104"/>
      <c r="BJ588" s="104"/>
      <c r="BK588" s="12"/>
      <c r="BL588" s="12"/>
    </row>
    <row r="589" spans="1:64" hidden="1" outlineLevel="1">
      <c r="A589" s="9"/>
      <c r="B589" s="9"/>
      <c r="C589" s="44"/>
      <c r="D589" s="271">
        <f>Asset24</f>
        <v>0</v>
      </c>
      <c r="E589" s="9"/>
      <c r="F589" s="9"/>
      <c r="G589" s="207">
        <f>'Adjustment for previous period'!G615</f>
        <v>0</v>
      </c>
      <c r="H589" s="35"/>
      <c r="I589" s="35"/>
      <c r="J589" s="35"/>
      <c r="K589" s="35"/>
      <c r="L589" s="35"/>
      <c r="M589" s="35"/>
      <c r="N589" s="29"/>
      <c r="O589" s="29"/>
      <c r="P589" s="29"/>
      <c r="Q589" s="29"/>
      <c r="R589" s="29"/>
      <c r="S589" s="104"/>
      <c r="T589" s="104"/>
      <c r="U589" s="104"/>
      <c r="V589" s="104"/>
      <c r="W589" s="104"/>
      <c r="X589" s="104"/>
      <c r="Y589" s="104"/>
      <c r="Z589" s="104"/>
      <c r="AA589" s="23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4"/>
      <c r="BE589" s="104"/>
      <c r="BF589" s="104"/>
      <c r="BG589" s="104"/>
      <c r="BH589" s="104"/>
      <c r="BI589" s="104"/>
      <c r="BJ589" s="104"/>
      <c r="BK589" s="12"/>
      <c r="BL589" s="12"/>
    </row>
    <row r="590" spans="1:64" hidden="1" outlineLevel="1">
      <c r="A590" s="9"/>
      <c r="B590" s="9"/>
      <c r="C590" s="44"/>
      <c r="D590" s="271">
        <f>Asset25</f>
        <v>0</v>
      </c>
      <c r="E590" s="9"/>
      <c r="F590" s="9"/>
      <c r="G590" s="207">
        <f>'Adjustment for previous period'!G616</f>
        <v>0</v>
      </c>
      <c r="H590" s="35"/>
      <c r="I590" s="35"/>
      <c r="J590" s="35"/>
      <c r="K590" s="35"/>
      <c r="L590" s="35"/>
      <c r="M590" s="35"/>
      <c r="N590" s="29"/>
      <c r="O590" s="29"/>
      <c r="P590" s="29"/>
      <c r="Q590" s="29"/>
      <c r="R590" s="29"/>
      <c r="S590" s="104"/>
      <c r="T590" s="104"/>
      <c r="U590" s="104"/>
      <c r="V590" s="104"/>
      <c r="W590" s="104"/>
      <c r="X590" s="104"/>
      <c r="Y590" s="104"/>
      <c r="Z590" s="104"/>
      <c r="AA590" s="23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4"/>
      <c r="BE590" s="104"/>
      <c r="BF590" s="104"/>
      <c r="BG590" s="104"/>
      <c r="BH590" s="104"/>
      <c r="BI590" s="104"/>
      <c r="BJ590" s="104"/>
      <c r="BK590" s="12"/>
      <c r="BL590" s="12"/>
    </row>
    <row r="591" spans="1:64" hidden="1" outlineLevel="1">
      <c r="A591" s="9"/>
      <c r="B591" s="9"/>
      <c r="C591" s="44"/>
      <c r="D591" s="271">
        <f>Asset26</f>
        <v>0</v>
      </c>
      <c r="E591" s="9"/>
      <c r="F591" s="9"/>
      <c r="G591" s="207">
        <f>'Adjustment for previous period'!G617</f>
        <v>0</v>
      </c>
      <c r="H591" s="35"/>
      <c r="I591" s="35"/>
      <c r="J591" s="35"/>
      <c r="K591" s="35"/>
      <c r="L591" s="35"/>
      <c r="M591" s="35"/>
      <c r="N591" s="29"/>
      <c r="O591" s="29"/>
      <c r="P591" s="29"/>
      <c r="Q591" s="29"/>
      <c r="R591" s="29"/>
      <c r="S591" s="104"/>
      <c r="T591" s="104"/>
      <c r="U591" s="104"/>
      <c r="V591" s="104"/>
      <c r="W591" s="104"/>
      <c r="X591" s="104"/>
      <c r="Y591" s="104"/>
      <c r="Z591" s="104"/>
      <c r="AA591" s="23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4"/>
      <c r="BE591" s="104"/>
      <c r="BF591" s="104"/>
      <c r="BG591" s="104"/>
      <c r="BH591" s="104"/>
      <c r="BI591" s="104"/>
      <c r="BJ591" s="104"/>
      <c r="BK591" s="12"/>
      <c r="BL591" s="12"/>
    </row>
    <row r="592" spans="1:64" hidden="1" outlineLevel="1">
      <c r="A592" s="9"/>
      <c r="B592" s="9"/>
      <c r="C592" s="44"/>
      <c r="D592" s="271">
        <f>Asset27</f>
        <v>0</v>
      </c>
      <c r="E592" s="9"/>
      <c r="F592" s="9"/>
      <c r="G592" s="207">
        <f>'Adjustment for previous period'!G618</f>
        <v>0</v>
      </c>
      <c r="H592" s="35"/>
      <c r="I592" s="35"/>
      <c r="J592" s="35"/>
      <c r="K592" s="35"/>
      <c r="L592" s="35"/>
      <c r="M592" s="35"/>
      <c r="N592" s="29"/>
      <c r="O592" s="29"/>
      <c r="P592" s="29"/>
      <c r="Q592" s="29"/>
      <c r="R592" s="29"/>
      <c r="S592" s="104"/>
      <c r="T592" s="104"/>
      <c r="U592" s="104"/>
      <c r="V592" s="104"/>
      <c r="W592" s="104"/>
      <c r="X592" s="104"/>
      <c r="Y592" s="104"/>
      <c r="Z592" s="104"/>
      <c r="AA592" s="23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4"/>
      <c r="BE592" s="104"/>
      <c r="BF592" s="104"/>
      <c r="BG592" s="104"/>
      <c r="BH592" s="104"/>
      <c r="BI592" s="104"/>
      <c r="BJ592" s="104"/>
      <c r="BK592" s="12"/>
      <c r="BL592" s="12"/>
    </row>
    <row r="593" spans="1:64" hidden="1" outlineLevel="1">
      <c r="A593" s="9"/>
      <c r="B593" s="9"/>
      <c r="C593" s="44"/>
      <c r="D593" s="271">
        <f>Asset28</f>
        <v>0</v>
      </c>
      <c r="E593" s="9"/>
      <c r="F593" s="9"/>
      <c r="G593" s="207">
        <f>'Adjustment for previous period'!G619</f>
        <v>0</v>
      </c>
      <c r="H593" s="35"/>
      <c r="I593" s="35"/>
      <c r="J593" s="35"/>
      <c r="K593" s="35"/>
      <c r="L593" s="35"/>
      <c r="M593" s="35"/>
      <c r="N593" s="29"/>
      <c r="O593" s="29"/>
      <c r="P593" s="29"/>
      <c r="Q593" s="29"/>
      <c r="R593" s="29"/>
      <c r="S593" s="104"/>
      <c r="T593" s="104"/>
      <c r="U593" s="104"/>
      <c r="V593" s="104"/>
      <c r="W593" s="104"/>
      <c r="X593" s="104"/>
      <c r="Y593" s="104"/>
      <c r="Z593" s="104"/>
      <c r="AA593" s="23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4"/>
      <c r="BE593" s="104"/>
      <c r="BF593" s="104"/>
      <c r="BG593" s="104"/>
      <c r="BH593" s="104"/>
      <c r="BI593" s="104"/>
      <c r="BJ593" s="104"/>
      <c r="BK593" s="12"/>
      <c r="BL593" s="12"/>
    </row>
    <row r="594" spans="1:64" hidden="1" outlineLevel="1">
      <c r="A594" s="9"/>
      <c r="B594" s="9"/>
      <c r="C594" s="44"/>
      <c r="D594" s="271">
        <f>Asset29</f>
        <v>0</v>
      </c>
      <c r="E594" s="9"/>
      <c r="F594" s="9"/>
      <c r="G594" s="207">
        <f>'Adjustment for previous period'!G620</f>
        <v>0</v>
      </c>
      <c r="H594" s="35"/>
      <c r="I594" s="35"/>
      <c r="J594" s="35"/>
      <c r="K594" s="35"/>
      <c r="L594" s="35"/>
      <c r="M594" s="35"/>
      <c r="N594" s="29"/>
      <c r="O594" s="29"/>
      <c r="P594" s="29"/>
      <c r="Q594" s="29"/>
      <c r="R594" s="29"/>
      <c r="S594" s="104"/>
      <c r="T594" s="104"/>
      <c r="U594" s="104"/>
      <c r="V594" s="104"/>
      <c r="W594" s="104"/>
      <c r="X594" s="104"/>
      <c r="Y594" s="104"/>
      <c r="Z594" s="104"/>
      <c r="AA594" s="23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4"/>
      <c r="BE594" s="104"/>
      <c r="BF594" s="104"/>
      <c r="BG594" s="104"/>
      <c r="BH594" s="104"/>
      <c r="BI594" s="104"/>
      <c r="BJ594" s="104"/>
      <c r="BK594" s="12"/>
      <c r="BL594" s="12"/>
    </row>
    <row r="595" spans="1:64" hidden="1" outlineLevel="1">
      <c r="A595" s="9"/>
      <c r="B595" s="9"/>
      <c r="C595" s="44"/>
      <c r="D595" s="271">
        <f>Asset30</f>
        <v>0</v>
      </c>
      <c r="E595" s="9"/>
      <c r="F595" s="9"/>
      <c r="G595" s="207">
        <f>'Adjustment for previous period'!G621</f>
        <v>0</v>
      </c>
      <c r="H595" s="35"/>
      <c r="I595" s="35"/>
      <c r="J595" s="35"/>
      <c r="K595" s="35"/>
      <c r="L595" s="35"/>
      <c r="M595" s="35"/>
      <c r="N595" s="29"/>
      <c r="O595" s="29"/>
      <c r="P595" s="29"/>
      <c r="Q595" s="29"/>
      <c r="R595" s="29"/>
      <c r="S595" s="104"/>
      <c r="T595" s="104"/>
      <c r="U595" s="104"/>
      <c r="V595" s="104"/>
      <c r="W595" s="104"/>
      <c r="X595" s="104"/>
      <c r="Y595" s="104"/>
      <c r="Z595" s="104"/>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4"/>
      <c r="BE595" s="104"/>
      <c r="BF595" s="104"/>
      <c r="BG595" s="104"/>
      <c r="BH595" s="104"/>
      <c r="BI595" s="104"/>
      <c r="BJ595" s="104"/>
      <c r="BK595" s="12"/>
      <c r="BL595" s="12"/>
    </row>
    <row r="596" spans="1:64" collapsed="1">
      <c r="A596" s="9"/>
      <c r="B596" s="9"/>
      <c r="C596" s="44"/>
      <c r="D596" s="117"/>
      <c r="E596" s="9"/>
      <c r="F596" s="9"/>
      <c r="G596" s="211"/>
      <c r="H596" s="35"/>
      <c r="I596" s="35"/>
      <c r="J596" s="35"/>
      <c r="K596" s="35"/>
      <c r="L596" s="35"/>
      <c r="M596" s="35"/>
      <c r="N596" s="29"/>
      <c r="O596" s="29"/>
      <c r="P596" s="29"/>
      <c r="Q596" s="29"/>
      <c r="R596" s="29"/>
      <c r="S596" s="104"/>
      <c r="T596" s="104"/>
      <c r="U596" s="104"/>
      <c r="V596" s="104"/>
      <c r="W596" s="104"/>
      <c r="X596" s="104"/>
      <c r="Y596" s="104"/>
      <c r="Z596" s="104"/>
      <c r="AA596" s="23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4"/>
      <c r="BE596" s="104"/>
      <c r="BF596" s="104"/>
      <c r="BG596" s="104"/>
      <c r="BH596" s="104"/>
      <c r="BI596" s="104"/>
      <c r="BJ596" s="104"/>
      <c r="BK596" s="12"/>
      <c r="BL596" s="12"/>
    </row>
    <row r="597" spans="1:64">
      <c r="A597" s="9"/>
      <c r="B597" s="9"/>
      <c r="C597" s="44" t="s">
        <v>38</v>
      </c>
      <c r="D597" s="117"/>
      <c r="E597" s="9"/>
      <c r="F597" s="9"/>
      <c r="G597" s="311">
        <f>SUM(G598:G627)</f>
        <v>15.015729169743596</v>
      </c>
      <c r="H597" s="35"/>
      <c r="I597" s="35"/>
      <c r="J597" s="35"/>
      <c r="K597" s="35"/>
      <c r="L597" s="35"/>
      <c r="M597" s="35"/>
      <c r="N597" s="29"/>
      <c r="O597" s="29"/>
      <c r="P597" s="29"/>
      <c r="Q597" s="29"/>
      <c r="R597" s="29"/>
      <c r="S597" s="104"/>
      <c r="T597" s="104"/>
      <c r="U597" s="104"/>
      <c r="V597" s="104"/>
      <c r="W597" s="104"/>
      <c r="X597" s="104"/>
      <c r="Y597" s="104"/>
      <c r="Z597" s="104"/>
      <c r="AA597" s="23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4"/>
      <c r="BE597" s="104"/>
      <c r="BF597" s="104"/>
      <c r="BG597" s="104"/>
      <c r="BH597" s="104"/>
      <c r="BI597" s="104"/>
      <c r="BJ597" s="104"/>
      <c r="BK597" s="12"/>
      <c r="BL597" s="12"/>
    </row>
    <row r="598" spans="1:64" hidden="1" outlineLevel="1">
      <c r="A598" s="9"/>
      <c r="B598" s="9"/>
      <c r="C598" s="9"/>
      <c r="D598" s="271" t="str">
        <f>Asset1</f>
        <v>Subtransmission</v>
      </c>
      <c r="E598" s="9"/>
      <c r="F598" s="9"/>
      <c r="G598" s="207">
        <f>'Adjustment for previous period'!G624</f>
        <v>-13.672105942844249</v>
      </c>
      <c r="H598" s="35"/>
      <c r="I598" s="35"/>
      <c r="J598" s="35"/>
      <c r="K598" s="35"/>
      <c r="L598" s="35"/>
      <c r="M598" s="35"/>
      <c r="N598" s="29"/>
      <c r="O598" s="29"/>
      <c r="P598" s="29"/>
      <c r="Q598" s="29"/>
      <c r="R598" s="29"/>
      <c r="S598" s="104"/>
      <c r="T598" s="104"/>
      <c r="U598" s="104"/>
      <c r="V598" s="104"/>
      <c r="W598" s="104"/>
      <c r="X598" s="104"/>
      <c r="Y598" s="104"/>
      <c r="Z598" s="104"/>
      <c r="AA598" s="23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4"/>
      <c r="BE598" s="104"/>
      <c r="BF598" s="104"/>
      <c r="BG598" s="104"/>
      <c r="BH598" s="104"/>
      <c r="BI598" s="104"/>
      <c r="BJ598" s="104"/>
      <c r="BK598" s="12"/>
      <c r="BL598" s="12"/>
    </row>
    <row r="599" spans="1:64" hidden="1" outlineLevel="1">
      <c r="A599" s="9"/>
      <c r="B599" s="9"/>
      <c r="C599" s="44"/>
      <c r="D599" s="271" t="str">
        <f>Asset2</f>
        <v>Distribution system assets</v>
      </c>
      <c r="E599" s="9"/>
      <c r="F599" s="9"/>
      <c r="G599" s="207">
        <f>'Adjustment for previous period'!G625</f>
        <v>17.363918175697677</v>
      </c>
      <c r="H599" s="35"/>
      <c r="I599" s="35"/>
      <c r="J599" s="35"/>
      <c r="K599" s="35"/>
      <c r="L599" s="35"/>
      <c r="M599" s="35"/>
      <c r="N599" s="29"/>
      <c r="O599" s="29"/>
      <c r="P599" s="29"/>
      <c r="Q599" s="29"/>
      <c r="R599" s="29"/>
      <c r="S599" s="104"/>
      <c r="T599" s="104"/>
      <c r="U599" s="104"/>
      <c r="V599" s="104"/>
      <c r="W599" s="104"/>
      <c r="X599" s="104"/>
      <c r="Y599" s="104"/>
      <c r="Z599" s="104"/>
      <c r="AA599" s="23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4"/>
      <c r="BE599" s="104"/>
      <c r="BF599" s="104"/>
      <c r="BG599" s="104"/>
      <c r="BH599" s="104"/>
      <c r="BI599" s="104"/>
      <c r="BJ599" s="104"/>
      <c r="BK599" s="12"/>
      <c r="BL599" s="12"/>
    </row>
    <row r="600" spans="1:64" hidden="1" outlineLevel="1">
      <c r="A600" s="9"/>
      <c r="B600" s="9"/>
      <c r="C600" s="44"/>
      <c r="D600" s="271" t="str">
        <f>Asset3</f>
        <v>Standard metering</v>
      </c>
      <c r="E600" s="9"/>
      <c r="F600" s="9"/>
      <c r="G600" s="207">
        <f>'Adjustment for previous period'!G626</f>
        <v>5.2553909454792151</v>
      </c>
      <c r="H600" s="35"/>
      <c r="I600" s="35"/>
      <c r="J600" s="35"/>
      <c r="K600" s="35"/>
      <c r="L600" s="35"/>
      <c r="M600" s="35"/>
      <c r="N600" s="29"/>
      <c r="O600" s="29"/>
      <c r="P600" s="29"/>
      <c r="Q600" s="29"/>
      <c r="R600" s="29"/>
      <c r="S600" s="104"/>
      <c r="T600" s="104"/>
      <c r="U600" s="104"/>
      <c r="V600" s="104"/>
      <c r="W600" s="104"/>
      <c r="X600" s="104"/>
      <c r="Y600" s="104"/>
      <c r="Z600" s="104"/>
      <c r="AA600" s="23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4"/>
      <c r="BE600" s="104"/>
      <c r="BF600" s="104"/>
      <c r="BG600" s="104"/>
      <c r="BH600" s="104"/>
      <c r="BI600" s="104"/>
      <c r="BJ600" s="104"/>
      <c r="BK600" s="12"/>
      <c r="BL600" s="12"/>
    </row>
    <row r="601" spans="1:64" hidden="1" outlineLevel="1">
      <c r="A601" s="9"/>
      <c r="B601" s="9"/>
      <c r="C601" s="44"/>
      <c r="D601" s="271" t="str">
        <f>Asset4</f>
        <v>Public lighting</v>
      </c>
      <c r="E601" s="9"/>
      <c r="F601" s="9"/>
      <c r="G601" s="207">
        <f>'Adjustment for previous period'!G627</f>
        <v>0</v>
      </c>
      <c r="H601" s="35"/>
      <c r="I601" s="35"/>
      <c r="J601" s="35"/>
      <c r="K601" s="35"/>
      <c r="L601" s="35"/>
      <c r="M601" s="35"/>
      <c r="N601" s="29"/>
      <c r="O601" s="29"/>
      <c r="P601" s="29"/>
      <c r="Q601" s="29"/>
      <c r="R601" s="29"/>
      <c r="S601" s="104"/>
      <c r="T601" s="104"/>
      <c r="U601" s="104"/>
      <c r="V601" s="104"/>
      <c r="W601" s="104"/>
      <c r="X601" s="104"/>
      <c r="Y601" s="104"/>
      <c r="Z601" s="104"/>
      <c r="AA601" s="23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4"/>
      <c r="BE601" s="104"/>
      <c r="BF601" s="104"/>
      <c r="BG601" s="104"/>
      <c r="BH601" s="104"/>
      <c r="BI601" s="104"/>
      <c r="BJ601" s="104"/>
      <c r="BK601" s="12"/>
      <c r="BL601" s="12"/>
    </row>
    <row r="602" spans="1:64" hidden="1" outlineLevel="1">
      <c r="A602" s="9"/>
      <c r="B602" s="9"/>
      <c r="C602" s="44"/>
      <c r="D602" s="271" t="str">
        <f>Asset5</f>
        <v>SCADA/Network control</v>
      </c>
      <c r="E602" s="9"/>
      <c r="F602" s="9"/>
      <c r="G602" s="207">
        <f>'Adjustment for previous period'!G628</f>
        <v>-0.42581112592047277</v>
      </c>
      <c r="H602" s="35"/>
      <c r="I602" s="35"/>
      <c r="J602" s="35"/>
      <c r="K602" s="35"/>
      <c r="L602" s="35"/>
      <c r="M602" s="35"/>
      <c r="N602" s="29"/>
      <c r="O602" s="29"/>
      <c r="P602" s="29"/>
      <c r="Q602" s="29"/>
      <c r="R602" s="29"/>
      <c r="S602" s="104"/>
      <c r="T602" s="104"/>
      <c r="U602" s="104"/>
      <c r="V602" s="104"/>
      <c r="W602" s="104"/>
      <c r="X602" s="104"/>
      <c r="Y602" s="104"/>
      <c r="Z602" s="104"/>
      <c r="AA602" s="23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4"/>
      <c r="BE602" s="104"/>
      <c r="BF602" s="104"/>
      <c r="BG602" s="104"/>
      <c r="BH602" s="104"/>
      <c r="BI602" s="104"/>
      <c r="BJ602" s="104"/>
      <c r="BK602" s="12"/>
      <c r="BL602" s="12"/>
    </row>
    <row r="603" spans="1:64" hidden="1" outlineLevel="1">
      <c r="A603" s="9"/>
      <c r="B603" s="9"/>
      <c r="C603" s="44"/>
      <c r="D603" s="271" t="str">
        <f>Asset6</f>
        <v>Non-network general assets - IT</v>
      </c>
      <c r="E603" s="9"/>
      <c r="F603" s="9"/>
      <c r="G603" s="207">
        <f>'Adjustment for previous period'!G629</f>
        <v>4.9952742156455265</v>
      </c>
      <c r="H603" s="35"/>
      <c r="I603" s="35"/>
      <c r="J603" s="35"/>
      <c r="K603" s="35"/>
      <c r="L603" s="35"/>
      <c r="M603" s="35"/>
      <c r="N603" s="29"/>
      <c r="O603" s="29"/>
      <c r="P603" s="29"/>
      <c r="Q603" s="29"/>
      <c r="R603" s="29"/>
      <c r="S603" s="104"/>
      <c r="T603" s="104"/>
      <c r="U603" s="104"/>
      <c r="V603" s="104"/>
      <c r="W603" s="104"/>
      <c r="X603" s="104"/>
      <c r="Y603" s="104"/>
      <c r="Z603" s="104"/>
      <c r="AA603" s="23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4"/>
      <c r="BE603" s="104"/>
      <c r="BF603" s="104"/>
      <c r="BG603" s="104"/>
      <c r="BH603" s="104"/>
      <c r="BI603" s="104"/>
      <c r="BJ603" s="104"/>
      <c r="BK603" s="12"/>
      <c r="BL603" s="12"/>
    </row>
    <row r="604" spans="1:64" hidden="1" outlineLevel="1">
      <c r="A604" s="9"/>
      <c r="B604" s="9"/>
      <c r="C604" s="44"/>
      <c r="D604" s="271" t="str">
        <f>Asset7</f>
        <v>Non-network general assets - Other</v>
      </c>
      <c r="E604" s="9"/>
      <c r="F604" s="9"/>
      <c r="G604" s="207">
        <f>'Adjustment for previous period'!G630</f>
        <v>1.499062901685899</v>
      </c>
      <c r="H604" s="35"/>
      <c r="I604" s="35"/>
      <c r="J604" s="35"/>
      <c r="K604" s="35"/>
      <c r="L604" s="35"/>
      <c r="M604" s="35"/>
      <c r="N604" s="29"/>
      <c r="O604" s="29"/>
      <c r="P604" s="29"/>
      <c r="Q604" s="29"/>
      <c r="R604" s="29"/>
      <c r="S604" s="104"/>
      <c r="T604" s="104"/>
      <c r="U604" s="104"/>
      <c r="V604" s="104"/>
      <c r="W604" s="104"/>
      <c r="X604" s="104"/>
      <c r="Y604" s="104"/>
      <c r="Z604" s="104"/>
      <c r="AA604" s="23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4"/>
      <c r="BE604" s="104"/>
      <c r="BF604" s="104"/>
      <c r="BG604" s="104"/>
      <c r="BH604" s="104"/>
      <c r="BI604" s="104"/>
      <c r="BJ604" s="104"/>
      <c r="BK604" s="12"/>
      <c r="BL604" s="12"/>
    </row>
    <row r="605" spans="1:64" hidden="1" outlineLevel="1">
      <c r="A605" s="9"/>
      <c r="B605" s="9"/>
      <c r="C605" s="44"/>
      <c r="D605" s="271" t="str">
        <f>Asset8</f>
        <v>Equity Raising Costs</v>
      </c>
      <c r="E605" s="9"/>
      <c r="F605" s="9"/>
      <c r="G605" s="207">
        <f>'Adjustment for previous period'!G631</f>
        <v>0</v>
      </c>
      <c r="H605" s="35"/>
      <c r="I605" s="35"/>
      <c r="J605" s="35"/>
      <c r="K605" s="35"/>
      <c r="L605" s="35"/>
      <c r="M605" s="35"/>
      <c r="N605" s="29"/>
      <c r="O605" s="29"/>
      <c r="P605" s="29"/>
      <c r="Q605" s="29"/>
      <c r="R605" s="29"/>
      <c r="S605" s="104"/>
      <c r="T605" s="104"/>
      <c r="U605" s="104"/>
      <c r="V605" s="104"/>
      <c r="W605" s="104"/>
      <c r="X605" s="104"/>
      <c r="Y605" s="104"/>
      <c r="Z605" s="104"/>
      <c r="AA605" s="23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4"/>
      <c r="BE605" s="104"/>
      <c r="BF605" s="104"/>
      <c r="BG605" s="104"/>
      <c r="BH605" s="104"/>
      <c r="BI605" s="104"/>
      <c r="BJ605" s="104"/>
      <c r="BK605" s="12"/>
      <c r="BL605" s="12"/>
    </row>
    <row r="606" spans="1:64" hidden="1" outlineLevel="1">
      <c r="A606" s="9"/>
      <c r="B606" s="9"/>
      <c r="C606" s="44"/>
      <c r="D606" s="271">
        <f>Asset9</f>
        <v>0</v>
      </c>
      <c r="E606" s="9"/>
      <c r="F606" s="9"/>
      <c r="G606" s="207">
        <f>'Adjustment for previous period'!G632</f>
        <v>0</v>
      </c>
      <c r="H606" s="35"/>
      <c r="I606" s="35"/>
      <c r="J606" s="35"/>
      <c r="K606" s="35"/>
      <c r="L606" s="35"/>
      <c r="M606" s="35"/>
      <c r="N606" s="29"/>
      <c r="O606" s="29"/>
      <c r="P606" s="29"/>
      <c r="Q606" s="29"/>
      <c r="R606" s="29"/>
      <c r="S606" s="104"/>
      <c r="T606" s="104"/>
      <c r="U606" s="104"/>
      <c r="V606" s="104"/>
      <c r="W606" s="104"/>
      <c r="X606" s="104"/>
      <c r="Y606" s="104"/>
      <c r="Z606" s="104"/>
      <c r="AA606" s="23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4"/>
      <c r="BE606" s="104"/>
      <c r="BF606" s="104"/>
      <c r="BG606" s="104"/>
      <c r="BH606" s="104"/>
      <c r="BI606" s="104"/>
      <c r="BJ606" s="104"/>
      <c r="BK606" s="12"/>
      <c r="BL606" s="12"/>
    </row>
    <row r="607" spans="1:64" hidden="1" outlineLevel="1">
      <c r="A607" s="9"/>
      <c r="B607" s="9"/>
      <c r="C607" s="44"/>
      <c r="D607" s="271">
        <f>Asset10</f>
        <v>0</v>
      </c>
      <c r="E607" s="9"/>
      <c r="F607" s="9"/>
      <c r="G607" s="207">
        <f>'Adjustment for previous period'!G633</f>
        <v>0</v>
      </c>
      <c r="H607" s="35"/>
      <c r="I607" s="35"/>
      <c r="J607" s="35"/>
      <c r="K607" s="35"/>
      <c r="L607" s="35"/>
      <c r="M607" s="35"/>
      <c r="N607" s="29"/>
      <c r="O607" s="29"/>
      <c r="P607" s="29"/>
      <c r="Q607" s="29"/>
      <c r="R607" s="29"/>
      <c r="S607" s="104"/>
      <c r="T607" s="104"/>
      <c r="U607" s="104"/>
      <c r="V607" s="104"/>
      <c r="W607" s="104"/>
      <c r="X607" s="104"/>
      <c r="Y607" s="104"/>
      <c r="Z607" s="104"/>
      <c r="AA607" s="23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4"/>
      <c r="BE607" s="104"/>
      <c r="BF607" s="104"/>
      <c r="BG607" s="104"/>
      <c r="BH607" s="104"/>
      <c r="BI607" s="104"/>
      <c r="BJ607" s="104"/>
      <c r="BK607" s="12"/>
      <c r="BL607" s="12"/>
    </row>
    <row r="608" spans="1:64" hidden="1" outlineLevel="1">
      <c r="A608" s="9"/>
      <c r="B608" s="9"/>
      <c r="C608" s="44"/>
      <c r="D608" s="271">
        <f>Asset11</f>
        <v>0</v>
      </c>
      <c r="E608" s="9"/>
      <c r="F608" s="9"/>
      <c r="G608" s="207">
        <f>'Adjustment for previous period'!G634</f>
        <v>0</v>
      </c>
      <c r="H608" s="35"/>
      <c r="I608" s="35"/>
      <c r="J608" s="35"/>
      <c r="K608" s="35"/>
      <c r="L608" s="35"/>
      <c r="M608" s="35"/>
      <c r="N608" s="29"/>
      <c r="O608" s="29"/>
      <c r="P608" s="29"/>
      <c r="Q608" s="29"/>
      <c r="R608" s="29"/>
      <c r="S608" s="104"/>
      <c r="T608" s="104"/>
      <c r="U608" s="104"/>
      <c r="V608" s="104"/>
      <c r="W608" s="104"/>
      <c r="X608" s="104"/>
      <c r="Y608" s="104"/>
      <c r="Z608" s="104"/>
      <c r="AA608" s="23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4"/>
      <c r="BE608" s="104"/>
      <c r="BF608" s="104"/>
      <c r="BG608" s="104"/>
      <c r="BH608" s="104"/>
      <c r="BI608" s="104"/>
      <c r="BJ608" s="104"/>
      <c r="BK608" s="12"/>
      <c r="BL608" s="12"/>
    </row>
    <row r="609" spans="1:64" hidden="1" outlineLevel="1">
      <c r="A609" s="9"/>
      <c r="B609" s="9"/>
      <c r="C609" s="44"/>
      <c r="D609" s="271">
        <f>Asset12</f>
        <v>0</v>
      </c>
      <c r="E609" s="9"/>
      <c r="F609" s="9"/>
      <c r="G609" s="207">
        <f>'Adjustment for previous period'!G635</f>
        <v>0</v>
      </c>
      <c r="H609" s="35"/>
      <c r="I609" s="35"/>
      <c r="J609" s="35"/>
      <c r="K609" s="35"/>
      <c r="L609" s="35"/>
      <c r="M609" s="35"/>
      <c r="N609" s="29"/>
      <c r="O609" s="29"/>
      <c r="P609" s="29"/>
      <c r="Q609" s="29"/>
      <c r="R609" s="29"/>
      <c r="S609" s="104"/>
      <c r="T609" s="104"/>
      <c r="U609" s="104"/>
      <c r="V609" s="104"/>
      <c r="W609" s="104"/>
      <c r="X609" s="104"/>
      <c r="Y609" s="104"/>
      <c r="Z609" s="104"/>
      <c r="AA609" s="23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4"/>
      <c r="BE609" s="104"/>
      <c r="BF609" s="104"/>
      <c r="BG609" s="104"/>
      <c r="BH609" s="104"/>
      <c r="BI609" s="104"/>
      <c r="BJ609" s="104"/>
      <c r="BK609" s="12"/>
      <c r="BL609" s="12"/>
    </row>
    <row r="610" spans="1:64" hidden="1" outlineLevel="1">
      <c r="A610" s="9"/>
      <c r="B610" s="9"/>
      <c r="C610" s="44"/>
      <c r="D610" s="271">
        <f>Asset13</f>
        <v>0</v>
      </c>
      <c r="E610" s="9"/>
      <c r="F610" s="9"/>
      <c r="G610" s="207">
        <f>'Adjustment for previous period'!G636</f>
        <v>0</v>
      </c>
      <c r="H610" s="35"/>
      <c r="I610" s="35"/>
      <c r="J610" s="35"/>
      <c r="K610" s="35"/>
      <c r="L610" s="35"/>
      <c r="M610" s="35"/>
      <c r="N610" s="29"/>
      <c r="O610" s="29"/>
      <c r="P610" s="29"/>
      <c r="Q610" s="29"/>
      <c r="R610" s="29"/>
      <c r="S610" s="104"/>
      <c r="T610" s="104"/>
      <c r="U610" s="104"/>
      <c r="V610" s="104"/>
      <c r="W610" s="104"/>
      <c r="X610" s="104"/>
      <c r="Y610" s="104"/>
      <c r="Z610" s="104"/>
      <c r="AA610" s="23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4"/>
      <c r="BE610" s="104"/>
      <c r="BF610" s="104"/>
      <c r="BG610" s="104"/>
      <c r="BH610" s="104"/>
      <c r="BI610" s="104"/>
      <c r="BJ610" s="104"/>
      <c r="BK610" s="12"/>
      <c r="BL610" s="12"/>
    </row>
    <row r="611" spans="1:64" hidden="1" outlineLevel="1">
      <c r="A611" s="9"/>
      <c r="B611" s="9"/>
      <c r="C611" s="44"/>
      <c r="D611" s="271">
        <f>Asset14</f>
        <v>0</v>
      </c>
      <c r="E611" s="9"/>
      <c r="F611" s="9"/>
      <c r="G611" s="207">
        <f>'Adjustment for previous period'!G637</f>
        <v>0</v>
      </c>
      <c r="H611" s="35"/>
      <c r="I611" s="35"/>
      <c r="J611" s="35"/>
      <c r="K611" s="35"/>
      <c r="L611" s="35"/>
      <c r="M611" s="35"/>
      <c r="N611" s="29"/>
      <c r="O611" s="29"/>
      <c r="P611" s="29"/>
      <c r="Q611" s="29"/>
      <c r="R611" s="29"/>
      <c r="S611" s="104"/>
      <c r="T611" s="104"/>
      <c r="U611" s="104"/>
      <c r="V611" s="104"/>
      <c r="W611" s="104"/>
      <c r="X611" s="104"/>
      <c r="Y611" s="104"/>
      <c r="Z611" s="104"/>
      <c r="AA611" s="23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4"/>
      <c r="BE611" s="104"/>
      <c r="BF611" s="104"/>
      <c r="BG611" s="104"/>
      <c r="BH611" s="104"/>
      <c r="BI611" s="104"/>
      <c r="BJ611" s="104"/>
      <c r="BK611" s="12"/>
      <c r="BL611" s="12"/>
    </row>
    <row r="612" spans="1:64" hidden="1" outlineLevel="1">
      <c r="A612" s="9"/>
      <c r="B612" s="9"/>
      <c r="C612" s="44"/>
      <c r="D612" s="271">
        <f>Asset15</f>
        <v>0</v>
      </c>
      <c r="E612" s="9"/>
      <c r="F612" s="9"/>
      <c r="G612" s="207">
        <f>'Adjustment for previous period'!G638</f>
        <v>0</v>
      </c>
      <c r="H612" s="35"/>
      <c r="I612" s="35"/>
      <c r="J612" s="35"/>
      <c r="K612" s="35"/>
      <c r="L612" s="35"/>
      <c r="M612" s="35"/>
      <c r="N612" s="29"/>
      <c r="O612" s="29"/>
      <c r="P612" s="29"/>
      <c r="Q612" s="29"/>
      <c r="R612" s="29"/>
      <c r="S612" s="104"/>
      <c r="T612" s="104"/>
      <c r="U612" s="104"/>
      <c r="V612" s="104"/>
      <c r="W612" s="104"/>
      <c r="X612" s="104"/>
      <c r="Y612" s="104"/>
      <c r="Z612" s="104"/>
      <c r="AA612" s="23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4"/>
      <c r="BE612" s="104"/>
      <c r="BF612" s="104"/>
      <c r="BG612" s="104"/>
      <c r="BH612" s="104"/>
      <c r="BI612" s="104"/>
      <c r="BJ612" s="104"/>
      <c r="BK612" s="12"/>
      <c r="BL612" s="12"/>
    </row>
    <row r="613" spans="1:64" hidden="1" outlineLevel="1">
      <c r="A613" s="9"/>
      <c r="B613" s="9"/>
      <c r="C613" s="44"/>
      <c r="D613" s="271">
        <f>Asset16</f>
        <v>0</v>
      </c>
      <c r="E613" s="9"/>
      <c r="F613" s="9"/>
      <c r="G613" s="207">
        <f>'Adjustment for previous period'!G639</f>
        <v>0</v>
      </c>
      <c r="H613" s="35"/>
      <c r="I613" s="35"/>
      <c r="J613" s="35"/>
      <c r="K613" s="35"/>
      <c r="L613" s="35"/>
      <c r="M613" s="35"/>
      <c r="N613" s="29"/>
      <c r="O613" s="29"/>
      <c r="P613" s="29"/>
      <c r="Q613" s="29"/>
      <c r="R613" s="29"/>
      <c r="S613" s="104"/>
      <c r="T613" s="104"/>
      <c r="U613" s="104"/>
      <c r="V613" s="104"/>
      <c r="W613" s="104"/>
      <c r="X613" s="104"/>
      <c r="Y613" s="104"/>
      <c r="Z613" s="104"/>
      <c r="AA613" s="23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4"/>
      <c r="BE613" s="104"/>
      <c r="BF613" s="104"/>
      <c r="BG613" s="104"/>
      <c r="BH613" s="104"/>
      <c r="BI613" s="104"/>
      <c r="BJ613" s="104"/>
      <c r="BK613" s="12"/>
      <c r="BL613" s="12"/>
    </row>
    <row r="614" spans="1:64" hidden="1" outlineLevel="1">
      <c r="A614" s="9"/>
      <c r="B614" s="9"/>
      <c r="C614" s="44"/>
      <c r="D614" s="271">
        <f>Asset17</f>
        <v>0</v>
      </c>
      <c r="E614" s="9"/>
      <c r="F614" s="9"/>
      <c r="G614" s="207">
        <f>'Adjustment for previous period'!G640</f>
        <v>0</v>
      </c>
      <c r="H614" s="35"/>
      <c r="I614" s="35"/>
      <c r="J614" s="35"/>
      <c r="K614" s="35"/>
      <c r="L614" s="35"/>
      <c r="M614" s="35"/>
      <c r="N614" s="29"/>
      <c r="O614" s="29"/>
      <c r="P614" s="29"/>
      <c r="Q614" s="29"/>
      <c r="R614" s="29"/>
      <c r="S614" s="104"/>
      <c r="T614" s="104"/>
      <c r="U614" s="104"/>
      <c r="V614" s="104"/>
      <c r="W614" s="104"/>
      <c r="X614" s="104"/>
      <c r="Y614" s="104"/>
      <c r="Z614" s="104"/>
      <c r="AA614" s="23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4"/>
      <c r="BE614" s="104"/>
      <c r="BF614" s="104"/>
      <c r="BG614" s="104"/>
      <c r="BH614" s="104"/>
      <c r="BI614" s="104"/>
      <c r="BJ614" s="104"/>
      <c r="BK614" s="12"/>
      <c r="BL614" s="12"/>
    </row>
    <row r="615" spans="1:64" hidden="1" outlineLevel="1">
      <c r="A615" s="9"/>
      <c r="B615" s="9"/>
      <c r="C615" s="44"/>
      <c r="D615" s="271">
        <f>Asset18</f>
        <v>0</v>
      </c>
      <c r="E615" s="9"/>
      <c r="F615" s="9"/>
      <c r="G615" s="207">
        <f>'Adjustment for previous period'!G641</f>
        <v>0</v>
      </c>
      <c r="H615" s="35"/>
      <c r="I615" s="35"/>
      <c r="J615" s="35"/>
      <c r="K615" s="35"/>
      <c r="L615" s="35"/>
      <c r="M615" s="35"/>
      <c r="N615" s="29"/>
      <c r="O615" s="29"/>
      <c r="P615" s="29"/>
      <c r="Q615" s="29"/>
      <c r="R615" s="29"/>
      <c r="S615" s="104"/>
      <c r="T615" s="104"/>
      <c r="U615" s="104"/>
      <c r="V615" s="104"/>
      <c r="W615" s="104"/>
      <c r="X615" s="104"/>
      <c r="Y615" s="104"/>
      <c r="Z615" s="104"/>
      <c r="AA615" s="23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4"/>
      <c r="BE615" s="104"/>
      <c r="BF615" s="104"/>
      <c r="BG615" s="104"/>
      <c r="BH615" s="104"/>
      <c r="BI615" s="104"/>
      <c r="BJ615" s="104"/>
      <c r="BK615" s="12"/>
      <c r="BL615" s="12"/>
    </row>
    <row r="616" spans="1:64" hidden="1" outlineLevel="1">
      <c r="A616" s="9"/>
      <c r="B616" s="9"/>
      <c r="C616" s="44"/>
      <c r="D616" s="271">
        <f>Asset19</f>
        <v>0</v>
      </c>
      <c r="E616" s="9"/>
      <c r="F616" s="9"/>
      <c r="G616" s="207">
        <f>'Adjustment for previous period'!G642</f>
        <v>0</v>
      </c>
      <c r="H616" s="35"/>
      <c r="I616" s="35"/>
      <c r="J616" s="35"/>
      <c r="K616" s="35"/>
      <c r="L616" s="35"/>
      <c r="M616" s="35"/>
      <c r="N616" s="29"/>
      <c r="O616" s="29"/>
      <c r="P616" s="29"/>
      <c r="Q616" s="29"/>
      <c r="R616" s="29"/>
      <c r="S616" s="104"/>
      <c r="T616" s="104"/>
      <c r="U616" s="104"/>
      <c r="V616" s="104"/>
      <c r="W616" s="104"/>
      <c r="X616" s="104"/>
      <c r="Y616" s="104"/>
      <c r="Z616" s="104"/>
      <c r="AA616" s="23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4"/>
      <c r="BE616" s="104"/>
      <c r="BF616" s="104"/>
      <c r="BG616" s="104"/>
      <c r="BH616" s="104"/>
      <c r="BI616" s="104"/>
      <c r="BJ616" s="104"/>
      <c r="BK616" s="12"/>
      <c r="BL616" s="12"/>
    </row>
    <row r="617" spans="1:64" hidden="1" outlineLevel="1">
      <c r="A617" s="9"/>
      <c r="B617" s="9"/>
      <c r="C617" s="44"/>
      <c r="D617" s="271">
        <f>Asset20</f>
        <v>0</v>
      </c>
      <c r="E617" s="9"/>
      <c r="F617" s="9"/>
      <c r="G617" s="207">
        <f>'Adjustment for previous period'!G643</f>
        <v>0</v>
      </c>
      <c r="H617" s="35"/>
      <c r="I617" s="35"/>
      <c r="J617" s="35"/>
      <c r="K617" s="35"/>
      <c r="L617" s="35"/>
      <c r="M617" s="35"/>
      <c r="N617" s="29"/>
      <c r="O617" s="29"/>
      <c r="P617" s="29"/>
      <c r="Q617" s="29"/>
      <c r="R617" s="29"/>
      <c r="S617" s="104"/>
      <c r="T617" s="104"/>
      <c r="U617" s="104"/>
      <c r="V617" s="104"/>
      <c r="W617" s="104"/>
      <c r="X617" s="104"/>
      <c r="Y617" s="104"/>
      <c r="Z617" s="104"/>
      <c r="AA617" s="23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4"/>
      <c r="BE617" s="104"/>
      <c r="BF617" s="104"/>
      <c r="BG617" s="104"/>
      <c r="BH617" s="104"/>
      <c r="BI617" s="104"/>
      <c r="BJ617" s="104"/>
      <c r="BK617" s="12"/>
      <c r="BL617" s="12"/>
    </row>
    <row r="618" spans="1:64" hidden="1" outlineLevel="1">
      <c r="A618" s="9"/>
      <c r="B618" s="9"/>
      <c r="C618" s="44"/>
      <c r="D618" s="271">
        <f>Asset21</f>
        <v>0</v>
      </c>
      <c r="E618" s="9"/>
      <c r="F618" s="9"/>
      <c r="G618" s="207">
        <f>'Adjustment for previous period'!G644</f>
        <v>0</v>
      </c>
      <c r="H618" s="35"/>
      <c r="I618" s="35"/>
      <c r="J618" s="35"/>
      <c r="K618" s="35"/>
      <c r="L618" s="35"/>
      <c r="M618" s="35"/>
      <c r="N618" s="29"/>
      <c r="O618" s="29"/>
      <c r="P618" s="29"/>
      <c r="Q618" s="29"/>
      <c r="R618" s="29"/>
      <c r="S618" s="104"/>
      <c r="T618" s="104"/>
      <c r="U618" s="104"/>
      <c r="V618" s="104"/>
      <c r="W618" s="104"/>
      <c r="X618" s="104"/>
      <c r="Y618" s="104"/>
      <c r="Z618" s="104"/>
      <c r="AA618" s="23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4"/>
      <c r="BE618" s="104"/>
      <c r="BF618" s="104"/>
      <c r="BG618" s="104"/>
      <c r="BH618" s="104"/>
      <c r="BI618" s="104"/>
      <c r="BJ618" s="104"/>
      <c r="BK618" s="12"/>
      <c r="BL618" s="12"/>
    </row>
    <row r="619" spans="1:64" hidden="1" outlineLevel="1">
      <c r="A619" s="9"/>
      <c r="B619" s="9"/>
      <c r="C619" s="44"/>
      <c r="D619" s="271">
        <f>Asset22</f>
        <v>0</v>
      </c>
      <c r="E619" s="9"/>
      <c r="F619" s="9"/>
      <c r="G619" s="207">
        <f>'Adjustment for previous period'!G645</f>
        <v>0</v>
      </c>
      <c r="H619" s="35"/>
      <c r="I619" s="35"/>
      <c r="J619" s="35"/>
      <c r="K619" s="35"/>
      <c r="L619" s="35"/>
      <c r="M619" s="35"/>
      <c r="N619" s="29"/>
      <c r="O619" s="29"/>
      <c r="P619" s="29"/>
      <c r="Q619" s="29"/>
      <c r="R619" s="29"/>
      <c r="S619" s="104"/>
      <c r="T619" s="104"/>
      <c r="U619" s="104"/>
      <c r="V619" s="104"/>
      <c r="W619" s="104"/>
      <c r="X619" s="104"/>
      <c r="Y619" s="104"/>
      <c r="Z619" s="104"/>
      <c r="AA619" s="23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4"/>
      <c r="BE619" s="104"/>
      <c r="BF619" s="104"/>
      <c r="BG619" s="104"/>
      <c r="BH619" s="104"/>
      <c r="BI619" s="104"/>
      <c r="BJ619" s="104"/>
      <c r="BK619" s="12"/>
      <c r="BL619" s="12"/>
    </row>
    <row r="620" spans="1:64" hidden="1" outlineLevel="1">
      <c r="A620" s="9"/>
      <c r="B620" s="9"/>
      <c r="C620" s="44"/>
      <c r="D620" s="271">
        <f>Asset23</f>
        <v>0</v>
      </c>
      <c r="E620" s="9"/>
      <c r="F620" s="9"/>
      <c r="G620" s="207">
        <f>'Adjustment for previous period'!G646</f>
        <v>0</v>
      </c>
      <c r="H620" s="35"/>
      <c r="I620" s="35"/>
      <c r="J620" s="35"/>
      <c r="K620" s="35"/>
      <c r="L620" s="35"/>
      <c r="M620" s="35"/>
      <c r="N620" s="29"/>
      <c r="O620" s="29"/>
      <c r="P620" s="29"/>
      <c r="Q620" s="29"/>
      <c r="R620" s="29"/>
      <c r="S620" s="104"/>
      <c r="T620" s="104"/>
      <c r="U620" s="104"/>
      <c r="V620" s="104"/>
      <c r="W620" s="104"/>
      <c r="X620" s="104"/>
      <c r="Y620" s="104"/>
      <c r="Z620" s="104"/>
      <c r="AA620" s="23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4"/>
      <c r="BE620" s="104"/>
      <c r="BF620" s="104"/>
      <c r="BG620" s="104"/>
      <c r="BH620" s="104"/>
      <c r="BI620" s="104"/>
      <c r="BJ620" s="104"/>
      <c r="BK620" s="12"/>
      <c r="BL620" s="12"/>
    </row>
    <row r="621" spans="1:64" hidden="1" outlineLevel="1">
      <c r="A621" s="9"/>
      <c r="B621" s="9"/>
      <c r="C621" s="44"/>
      <c r="D621" s="271">
        <f>Asset24</f>
        <v>0</v>
      </c>
      <c r="E621" s="9"/>
      <c r="F621" s="9"/>
      <c r="G621" s="207">
        <f>'Adjustment for previous period'!G647</f>
        <v>0</v>
      </c>
      <c r="H621" s="35"/>
      <c r="I621" s="35"/>
      <c r="J621" s="35"/>
      <c r="K621" s="35"/>
      <c r="L621" s="35"/>
      <c r="M621" s="35"/>
      <c r="N621" s="29"/>
      <c r="O621" s="29"/>
      <c r="P621" s="29"/>
      <c r="Q621" s="29"/>
      <c r="R621" s="29"/>
      <c r="S621" s="104"/>
      <c r="T621" s="104"/>
      <c r="U621" s="104"/>
      <c r="V621" s="104"/>
      <c r="W621" s="104"/>
      <c r="X621" s="104"/>
      <c r="Y621" s="104"/>
      <c r="Z621" s="104"/>
      <c r="AA621" s="23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4"/>
      <c r="BE621" s="104"/>
      <c r="BF621" s="104"/>
      <c r="BG621" s="104"/>
      <c r="BH621" s="104"/>
      <c r="BI621" s="104"/>
      <c r="BJ621" s="104"/>
      <c r="BK621" s="12"/>
      <c r="BL621" s="12"/>
    </row>
    <row r="622" spans="1:64" hidden="1" outlineLevel="1">
      <c r="A622" s="9"/>
      <c r="B622" s="9"/>
      <c r="C622" s="44"/>
      <c r="D622" s="271">
        <f>Asset25</f>
        <v>0</v>
      </c>
      <c r="E622" s="9"/>
      <c r="F622" s="9"/>
      <c r="G622" s="207">
        <f>'Adjustment for previous period'!G648</f>
        <v>0</v>
      </c>
      <c r="H622" s="35"/>
      <c r="I622" s="35"/>
      <c r="J622" s="35"/>
      <c r="K622" s="35"/>
      <c r="L622" s="35"/>
      <c r="M622" s="35"/>
      <c r="N622" s="29"/>
      <c r="O622" s="29"/>
      <c r="P622" s="29"/>
      <c r="Q622" s="29"/>
      <c r="R622" s="29"/>
      <c r="S622" s="104"/>
      <c r="T622" s="104"/>
      <c r="U622" s="104"/>
      <c r="V622" s="104"/>
      <c r="W622" s="104"/>
      <c r="X622" s="104"/>
      <c r="Y622" s="104"/>
      <c r="Z622" s="104"/>
      <c r="AA622" s="23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4"/>
      <c r="BE622" s="104"/>
      <c r="BF622" s="104"/>
      <c r="BG622" s="104"/>
      <c r="BH622" s="104"/>
      <c r="BI622" s="104"/>
      <c r="BJ622" s="104"/>
      <c r="BK622" s="12"/>
      <c r="BL622" s="12"/>
    </row>
    <row r="623" spans="1:64" hidden="1" outlineLevel="1">
      <c r="A623" s="9"/>
      <c r="B623" s="9"/>
      <c r="C623" s="44"/>
      <c r="D623" s="271">
        <f>Asset26</f>
        <v>0</v>
      </c>
      <c r="E623" s="9"/>
      <c r="F623" s="9"/>
      <c r="G623" s="207">
        <f>'Adjustment for previous period'!G649</f>
        <v>0</v>
      </c>
      <c r="H623" s="35"/>
      <c r="I623" s="35"/>
      <c r="J623" s="35"/>
      <c r="K623" s="35"/>
      <c r="L623" s="35"/>
      <c r="M623" s="35"/>
      <c r="N623" s="29"/>
      <c r="O623" s="29"/>
      <c r="P623" s="29"/>
      <c r="Q623" s="29"/>
      <c r="R623" s="29"/>
      <c r="S623" s="104"/>
      <c r="T623" s="104"/>
      <c r="U623" s="104"/>
      <c r="V623" s="104"/>
      <c r="W623" s="104"/>
      <c r="X623" s="104"/>
      <c r="Y623" s="104"/>
      <c r="Z623" s="104"/>
      <c r="AA623" s="23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4"/>
      <c r="BE623" s="104"/>
      <c r="BF623" s="104"/>
      <c r="BG623" s="104"/>
      <c r="BH623" s="104"/>
      <c r="BI623" s="104"/>
      <c r="BJ623" s="104"/>
      <c r="BK623" s="12"/>
      <c r="BL623" s="12"/>
    </row>
    <row r="624" spans="1:64" hidden="1" outlineLevel="1">
      <c r="A624" s="9"/>
      <c r="B624" s="9"/>
      <c r="C624" s="44"/>
      <c r="D624" s="271">
        <f>Asset27</f>
        <v>0</v>
      </c>
      <c r="E624" s="9"/>
      <c r="F624" s="9"/>
      <c r="G624" s="207">
        <f>'Adjustment for previous period'!G650</f>
        <v>0</v>
      </c>
      <c r="H624" s="35"/>
      <c r="I624" s="35"/>
      <c r="J624" s="35"/>
      <c r="K624" s="35"/>
      <c r="L624" s="35"/>
      <c r="M624" s="35"/>
      <c r="N624" s="29"/>
      <c r="O624" s="29"/>
      <c r="P624" s="29"/>
      <c r="Q624" s="29"/>
      <c r="R624" s="29"/>
      <c r="S624" s="104"/>
      <c r="T624" s="104"/>
      <c r="U624" s="104"/>
      <c r="V624" s="104"/>
      <c r="W624" s="104"/>
      <c r="X624" s="104"/>
      <c r="Y624" s="104"/>
      <c r="Z624" s="104"/>
      <c r="AA624" s="23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4"/>
      <c r="BE624" s="104"/>
      <c r="BF624" s="104"/>
      <c r="BG624" s="104"/>
      <c r="BH624" s="104"/>
      <c r="BI624" s="104"/>
      <c r="BJ624" s="104"/>
      <c r="BK624" s="12"/>
      <c r="BL624" s="12"/>
    </row>
    <row r="625" spans="1:64" hidden="1" outlineLevel="1">
      <c r="A625" s="9"/>
      <c r="B625" s="9"/>
      <c r="C625" s="44"/>
      <c r="D625" s="271">
        <f>Asset28</f>
        <v>0</v>
      </c>
      <c r="E625" s="9"/>
      <c r="F625" s="9"/>
      <c r="G625" s="207">
        <f>'Adjustment for previous period'!G651</f>
        <v>0</v>
      </c>
      <c r="H625" s="35"/>
      <c r="I625" s="35"/>
      <c r="J625" s="35"/>
      <c r="K625" s="35"/>
      <c r="L625" s="35"/>
      <c r="M625" s="35"/>
      <c r="N625" s="29"/>
      <c r="O625" s="29"/>
      <c r="P625" s="29"/>
      <c r="Q625" s="29"/>
      <c r="R625" s="29"/>
      <c r="S625" s="104"/>
      <c r="T625" s="104"/>
      <c r="U625" s="104"/>
      <c r="V625" s="104"/>
      <c r="W625" s="104"/>
      <c r="X625" s="104"/>
      <c r="Y625" s="104"/>
      <c r="Z625" s="104"/>
      <c r="AA625" s="23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4"/>
      <c r="BE625" s="104"/>
      <c r="BF625" s="104"/>
      <c r="BG625" s="104"/>
      <c r="BH625" s="104"/>
      <c r="BI625" s="104"/>
      <c r="BJ625" s="104"/>
      <c r="BK625" s="12"/>
      <c r="BL625" s="12"/>
    </row>
    <row r="626" spans="1:64" hidden="1" outlineLevel="1">
      <c r="A626" s="9"/>
      <c r="B626" s="9"/>
      <c r="C626" s="44"/>
      <c r="D626" s="271">
        <f>Asset29</f>
        <v>0</v>
      </c>
      <c r="E626" s="9"/>
      <c r="F626" s="9"/>
      <c r="G626" s="207">
        <f>'Adjustment for previous period'!G652</f>
        <v>0</v>
      </c>
      <c r="H626" s="35"/>
      <c r="I626" s="35"/>
      <c r="J626" s="35"/>
      <c r="K626" s="35"/>
      <c r="L626" s="35"/>
      <c r="M626" s="35"/>
      <c r="N626" s="29"/>
      <c r="O626" s="29"/>
      <c r="P626" s="29"/>
      <c r="Q626" s="29"/>
      <c r="R626" s="29"/>
      <c r="S626" s="104"/>
      <c r="T626" s="104"/>
      <c r="U626" s="104"/>
      <c r="V626" s="104"/>
      <c r="W626" s="104"/>
      <c r="X626" s="104"/>
      <c r="Y626" s="104"/>
      <c r="Z626" s="104"/>
      <c r="AA626" s="23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4"/>
      <c r="BE626" s="104"/>
      <c r="BF626" s="104"/>
      <c r="BG626" s="104"/>
      <c r="BH626" s="104"/>
      <c r="BI626" s="104"/>
      <c r="BJ626" s="104"/>
      <c r="BK626" s="12"/>
      <c r="BL626" s="12"/>
    </row>
    <row r="627" spans="1:64" hidden="1" outlineLevel="1">
      <c r="A627" s="9"/>
      <c r="B627" s="9"/>
      <c r="C627" s="44"/>
      <c r="D627" s="271">
        <f>Asset30</f>
        <v>0</v>
      </c>
      <c r="E627" s="9"/>
      <c r="F627" s="9"/>
      <c r="G627" s="207">
        <f>'Adjustment for previous period'!G653</f>
        <v>0</v>
      </c>
      <c r="H627" s="35"/>
      <c r="I627" s="35"/>
      <c r="J627" s="35"/>
      <c r="K627" s="35"/>
      <c r="L627" s="35"/>
      <c r="M627" s="35"/>
      <c r="N627" s="29"/>
      <c r="O627" s="29"/>
      <c r="P627" s="29"/>
      <c r="Q627" s="29"/>
      <c r="R627" s="29"/>
      <c r="S627" s="104"/>
      <c r="T627" s="104"/>
      <c r="U627" s="104"/>
      <c r="V627" s="104"/>
      <c r="W627" s="104"/>
      <c r="X627" s="104"/>
      <c r="Y627" s="104"/>
      <c r="Z627" s="104"/>
      <c r="AA627" s="23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4"/>
      <c r="BE627" s="104"/>
      <c r="BF627" s="104"/>
      <c r="BG627" s="104"/>
      <c r="BH627" s="104"/>
      <c r="BI627" s="104"/>
      <c r="BJ627" s="104"/>
      <c r="BK627" s="12"/>
      <c r="BL627" s="12"/>
    </row>
    <row r="628" spans="1:64" collapsed="1">
      <c r="A628" s="9"/>
      <c r="B628" s="9"/>
      <c r="C628" s="44"/>
      <c r="D628" s="117"/>
      <c r="E628" s="9"/>
      <c r="F628" s="9"/>
      <c r="G628" s="211"/>
      <c r="H628" s="35"/>
      <c r="I628" s="35"/>
      <c r="J628" s="35"/>
      <c r="K628" s="35"/>
      <c r="L628" s="35"/>
      <c r="M628" s="35"/>
      <c r="N628" s="29"/>
      <c r="O628" s="29"/>
      <c r="P628" s="29"/>
      <c r="Q628" s="29"/>
      <c r="R628" s="29"/>
      <c r="S628" s="104"/>
      <c r="T628" s="104"/>
      <c r="U628" s="104"/>
      <c r="V628" s="104"/>
      <c r="W628" s="104"/>
      <c r="X628" s="104"/>
      <c r="Y628" s="104"/>
      <c r="Z628" s="104"/>
      <c r="AA628" s="23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4"/>
      <c r="BE628" s="104"/>
      <c r="BF628" s="104"/>
      <c r="BG628" s="104"/>
      <c r="BH628" s="104"/>
      <c r="BI628" s="104"/>
      <c r="BJ628" s="104"/>
      <c r="BK628" s="12"/>
      <c r="BL628" s="12"/>
    </row>
    <row r="629" spans="1:64">
      <c r="A629" s="9"/>
      <c r="B629" s="9"/>
      <c r="C629" s="44" t="s">
        <v>35</v>
      </c>
      <c r="D629" s="131"/>
      <c r="E629" s="9"/>
      <c r="F629" s="9"/>
      <c r="G629" s="311">
        <f>SUM(G630:G659)</f>
        <v>0</v>
      </c>
      <c r="H629" s="115"/>
      <c r="I629" s="115"/>
      <c r="J629" s="115"/>
      <c r="K629" s="115"/>
      <c r="L629" s="115"/>
      <c r="M629" s="115"/>
      <c r="N629" s="29"/>
      <c r="O629" s="29"/>
      <c r="P629" s="29"/>
      <c r="Q629" s="29"/>
      <c r="R629" s="29"/>
      <c r="S629" s="104"/>
      <c r="T629" s="104"/>
      <c r="U629" s="104"/>
      <c r="V629" s="104"/>
      <c r="W629" s="104"/>
      <c r="X629" s="104"/>
      <c r="Y629" s="104"/>
      <c r="Z629" s="104"/>
      <c r="AA629" s="23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4"/>
      <c r="BE629" s="104"/>
      <c r="BF629" s="104"/>
      <c r="BG629" s="104"/>
      <c r="BH629" s="104"/>
      <c r="BI629" s="104"/>
      <c r="BJ629" s="104"/>
      <c r="BK629" s="12"/>
      <c r="BL629" s="12"/>
    </row>
    <row r="630" spans="1:64" hidden="1" outlineLevel="1">
      <c r="A630" s="9"/>
      <c r="B630" s="9"/>
      <c r="C630" s="44"/>
      <c r="D630" s="271" t="str">
        <f>Asset1</f>
        <v>Subtransmission</v>
      </c>
      <c r="E630" s="9"/>
      <c r="F630" s="9"/>
      <c r="G630" s="207">
        <f>'Adjustment for previous period'!G656</f>
        <v>0</v>
      </c>
      <c r="H630" s="115"/>
      <c r="I630" s="115"/>
      <c r="J630" s="115"/>
      <c r="K630" s="115"/>
      <c r="L630" s="115"/>
      <c r="M630" s="115"/>
      <c r="N630" s="29"/>
      <c r="O630" s="29"/>
      <c r="P630" s="29"/>
      <c r="Q630" s="29"/>
      <c r="R630" s="29"/>
      <c r="S630" s="104"/>
      <c r="T630" s="104"/>
      <c r="U630" s="104"/>
      <c r="V630" s="104"/>
      <c r="W630" s="104"/>
      <c r="X630" s="104"/>
      <c r="Y630" s="104"/>
      <c r="Z630" s="104"/>
      <c r="AA630" s="23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4"/>
      <c r="BE630" s="104"/>
      <c r="BF630" s="104"/>
      <c r="BG630" s="104"/>
      <c r="BH630" s="104"/>
      <c r="BI630" s="104"/>
      <c r="BJ630" s="104"/>
      <c r="BK630" s="12"/>
      <c r="BL630" s="12"/>
    </row>
    <row r="631" spans="1:64" hidden="1" outlineLevel="1">
      <c r="A631" s="9"/>
      <c r="B631" s="9"/>
      <c r="C631" s="44"/>
      <c r="D631" s="271" t="str">
        <f>Asset2</f>
        <v>Distribution system assets</v>
      </c>
      <c r="E631" s="9"/>
      <c r="F631" s="9"/>
      <c r="G631" s="207">
        <f>'Adjustment for previous period'!G657</f>
        <v>0</v>
      </c>
      <c r="H631" s="115"/>
      <c r="I631" s="115"/>
      <c r="J631" s="115"/>
      <c r="K631" s="115"/>
      <c r="L631" s="115"/>
      <c r="M631" s="115"/>
      <c r="N631" s="29"/>
      <c r="O631" s="29"/>
      <c r="P631" s="29"/>
      <c r="Q631" s="29"/>
      <c r="R631" s="29"/>
      <c r="S631" s="104"/>
      <c r="T631" s="104"/>
      <c r="U631" s="104"/>
      <c r="V631" s="104"/>
      <c r="W631" s="104"/>
      <c r="X631" s="104"/>
      <c r="Y631" s="104"/>
      <c r="Z631" s="104"/>
      <c r="AA631" s="231"/>
      <c r="AB631" s="231"/>
      <c r="AC631" s="231"/>
      <c r="AD631" s="231"/>
      <c r="AE631" s="231"/>
      <c r="AF631" s="231"/>
      <c r="AG631" s="231"/>
      <c r="AH631" s="231"/>
      <c r="AI631" s="231"/>
      <c r="AJ631" s="231"/>
      <c r="AK631" s="231"/>
      <c r="AL631" s="231"/>
      <c r="AM631" s="231"/>
      <c r="AN631" s="231"/>
      <c r="AO631" s="231"/>
      <c r="AP631" s="231"/>
      <c r="AQ631" s="231"/>
      <c r="AR631" s="231"/>
      <c r="AS631" s="231"/>
      <c r="AT631" s="231"/>
      <c r="AU631" s="231"/>
      <c r="AV631" s="231"/>
      <c r="AW631" s="231"/>
      <c r="AX631" s="231"/>
      <c r="AY631" s="231"/>
      <c r="AZ631" s="231"/>
      <c r="BA631" s="231"/>
      <c r="BB631" s="231"/>
      <c r="BC631" s="231"/>
      <c r="BD631" s="104"/>
      <c r="BE631" s="104"/>
      <c r="BF631" s="104"/>
      <c r="BG631" s="104"/>
      <c r="BH631" s="104"/>
      <c r="BI631" s="104"/>
      <c r="BJ631" s="104"/>
      <c r="BK631" s="12"/>
      <c r="BL631" s="12"/>
    </row>
    <row r="632" spans="1:64" hidden="1" outlineLevel="1">
      <c r="A632" s="9"/>
      <c r="B632" s="9"/>
      <c r="C632" s="44"/>
      <c r="D632" s="271" t="str">
        <f>Asset3</f>
        <v>Standard metering</v>
      </c>
      <c r="E632" s="9"/>
      <c r="F632" s="9"/>
      <c r="G632" s="207">
        <f>'Adjustment for previous period'!G658</f>
        <v>0</v>
      </c>
      <c r="H632" s="115"/>
      <c r="I632" s="115"/>
      <c r="J632" s="115"/>
      <c r="K632" s="115"/>
      <c r="L632" s="115"/>
      <c r="M632" s="115"/>
      <c r="N632" s="29"/>
      <c r="O632" s="29"/>
      <c r="P632" s="29"/>
      <c r="Q632" s="29"/>
      <c r="R632" s="29"/>
      <c r="S632" s="104"/>
      <c r="T632" s="104"/>
      <c r="U632" s="104"/>
      <c r="V632" s="104"/>
      <c r="W632" s="104"/>
      <c r="X632" s="104"/>
      <c r="Y632" s="104"/>
      <c r="Z632" s="104"/>
      <c r="AA632" s="231"/>
      <c r="AB632" s="231"/>
      <c r="AC632" s="231"/>
      <c r="AD632" s="231"/>
      <c r="AE632" s="231"/>
      <c r="AF632" s="231"/>
      <c r="AG632" s="231"/>
      <c r="AH632" s="231"/>
      <c r="AI632" s="231"/>
      <c r="AJ632" s="231"/>
      <c r="AK632" s="231"/>
      <c r="AL632" s="231"/>
      <c r="AM632" s="231"/>
      <c r="AN632" s="231"/>
      <c r="AO632" s="231"/>
      <c r="AP632" s="231"/>
      <c r="AQ632" s="231"/>
      <c r="AR632" s="231"/>
      <c r="AS632" s="231"/>
      <c r="AT632" s="231"/>
      <c r="AU632" s="231"/>
      <c r="AV632" s="231"/>
      <c r="AW632" s="231"/>
      <c r="AX632" s="231"/>
      <c r="AY632" s="231"/>
      <c r="AZ632" s="231"/>
      <c r="BA632" s="231"/>
      <c r="BB632" s="231"/>
      <c r="BC632" s="231"/>
      <c r="BD632" s="104"/>
      <c r="BE632" s="104"/>
      <c r="BF632" s="104"/>
      <c r="BG632" s="104"/>
      <c r="BH632" s="104"/>
      <c r="BI632" s="104"/>
      <c r="BJ632" s="104"/>
      <c r="BK632" s="12"/>
      <c r="BL632" s="12"/>
    </row>
    <row r="633" spans="1:64" hidden="1" outlineLevel="1">
      <c r="A633" s="9"/>
      <c r="B633" s="9"/>
      <c r="C633" s="44"/>
      <c r="D633" s="271" t="str">
        <f>Asset4</f>
        <v>Public lighting</v>
      </c>
      <c r="E633" s="9"/>
      <c r="F633" s="9"/>
      <c r="G633" s="207">
        <f>'Adjustment for previous period'!G659</f>
        <v>0</v>
      </c>
      <c r="H633" s="115"/>
      <c r="I633" s="115"/>
      <c r="J633" s="115"/>
      <c r="K633" s="115"/>
      <c r="L633" s="115"/>
      <c r="M633" s="115"/>
      <c r="N633" s="29"/>
      <c r="O633" s="29"/>
      <c r="P633" s="29"/>
      <c r="Q633" s="29"/>
      <c r="R633" s="29"/>
      <c r="S633" s="104"/>
      <c r="T633" s="104"/>
      <c r="U633" s="104"/>
      <c r="V633" s="104"/>
      <c r="W633" s="104"/>
      <c r="X633" s="104"/>
      <c r="Y633" s="104"/>
      <c r="Z633" s="104"/>
      <c r="AA633" s="231"/>
      <c r="AB633" s="231"/>
      <c r="AC633" s="231"/>
      <c r="AD633" s="231"/>
      <c r="AE633" s="231"/>
      <c r="AF633" s="231"/>
      <c r="AG633" s="231"/>
      <c r="AH633" s="231"/>
      <c r="AI633" s="231"/>
      <c r="AJ633" s="231"/>
      <c r="AK633" s="231"/>
      <c r="AL633" s="231"/>
      <c r="AM633" s="231"/>
      <c r="AN633" s="231"/>
      <c r="AO633" s="231"/>
      <c r="AP633" s="231"/>
      <c r="AQ633" s="231"/>
      <c r="AR633" s="231"/>
      <c r="AS633" s="231"/>
      <c r="AT633" s="231"/>
      <c r="AU633" s="231"/>
      <c r="AV633" s="231"/>
      <c r="AW633" s="231"/>
      <c r="AX633" s="231"/>
      <c r="AY633" s="231"/>
      <c r="AZ633" s="231"/>
      <c r="BA633" s="231"/>
      <c r="BB633" s="231"/>
      <c r="BC633" s="231"/>
      <c r="BD633" s="104"/>
      <c r="BE633" s="104"/>
      <c r="BF633" s="104"/>
      <c r="BG633" s="104"/>
      <c r="BH633" s="104"/>
      <c r="BI633" s="104"/>
      <c r="BJ633" s="104"/>
      <c r="BK633" s="12"/>
      <c r="BL633" s="12"/>
    </row>
    <row r="634" spans="1:64" hidden="1" outlineLevel="1">
      <c r="A634" s="9"/>
      <c r="B634" s="9"/>
      <c r="C634" s="44"/>
      <c r="D634" s="271" t="str">
        <f>Asset5</f>
        <v>SCADA/Network control</v>
      </c>
      <c r="E634" s="9"/>
      <c r="F634" s="9"/>
      <c r="G634" s="207">
        <f>'Adjustment for previous period'!G660</f>
        <v>0</v>
      </c>
      <c r="H634" s="115"/>
      <c r="I634" s="115"/>
      <c r="J634" s="115"/>
      <c r="K634" s="115"/>
      <c r="L634" s="115"/>
      <c r="M634" s="115"/>
      <c r="N634" s="29"/>
      <c r="O634" s="29"/>
      <c r="P634" s="29"/>
      <c r="Q634" s="29"/>
      <c r="R634" s="29"/>
      <c r="S634" s="104"/>
      <c r="T634" s="104"/>
      <c r="U634" s="104"/>
      <c r="V634" s="104"/>
      <c r="W634" s="104"/>
      <c r="X634" s="104"/>
      <c r="Y634" s="104"/>
      <c r="Z634" s="104"/>
      <c r="AA634" s="231"/>
      <c r="AB634" s="231"/>
      <c r="AC634" s="231"/>
      <c r="AD634" s="231"/>
      <c r="AE634" s="231"/>
      <c r="AF634" s="231"/>
      <c r="AG634" s="231"/>
      <c r="AH634" s="231"/>
      <c r="AI634" s="231"/>
      <c r="AJ634" s="231"/>
      <c r="AK634" s="231"/>
      <c r="AL634" s="231"/>
      <c r="AM634" s="231"/>
      <c r="AN634" s="231"/>
      <c r="AO634" s="231"/>
      <c r="AP634" s="231"/>
      <c r="AQ634" s="231"/>
      <c r="AR634" s="231"/>
      <c r="AS634" s="231"/>
      <c r="AT634" s="231"/>
      <c r="AU634" s="231"/>
      <c r="AV634" s="231"/>
      <c r="AW634" s="231"/>
      <c r="AX634" s="231"/>
      <c r="AY634" s="231"/>
      <c r="AZ634" s="231"/>
      <c r="BA634" s="231"/>
      <c r="BB634" s="231"/>
      <c r="BC634" s="231"/>
      <c r="BD634" s="104"/>
      <c r="BE634" s="104"/>
      <c r="BF634" s="104"/>
      <c r="BG634" s="104"/>
      <c r="BH634" s="104"/>
      <c r="BI634" s="104"/>
      <c r="BJ634" s="104"/>
      <c r="BK634" s="12"/>
      <c r="BL634" s="12"/>
    </row>
    <row r="635" spans="1:64" hidden="1" outlineLevel="1">
      <c r="A635" s="9"/>
      <c r="B635" s="9"/>
      <c r="C635" s="44"/>
      <c r="D635" s="271" t="str">
        <f>Asset6</f>
        <v>Non-network general assets - IT</v>
      </c>
      <c r="E635" s="9"/>
      <c r="F635" s="9"/>
      <c r="G635" s="207">
        <f>'Adjustment for previous period'!G661</f>
        <v>0</v>
      </c>
      <c r="H635" s="115"/>
      <c r="I635" s="115"/>
      <c r="J635" s="115"/>
      <c r="K635" s="115"/>
      <c r="L635" s="115"/>
      <c r="M635" s="115"/>
      <c r="N635" s="29"/>
      <c r="O635" s="29"/>
      <c r="P635" s="29"/>
      <c r="Q635" s="29"/>
      <c r="R635" s="29"/>
      <c r="S635" s="104"/>
      <c r="T635" s="104"/>
      <c r="U635" s="104"/>
      <c r="V635" s="104"/>
      <c r="W635" s="104"/>
      <c r="X635" s="104"/>
      <c r="Y635" s="104"/>
      <c r="Z635" s="104"/>
      <c r="AA635" s="231"/>
      <c r="AB635" s="231"/>
      <c r="AC635" s="231"/>
      <c r="AD635" s="231"/>
      <c r="AE635" s="231"/>
      <c r="AF635" s="231"/>
      <c r="AG635" s="231"/>
      <c r="AH635" s="231"/>
      <c r="AI635" s="231"/>
      <c r="AJ635" s="231"/>
      <c r="AK635" s="231"/>
      <c r="AL635" s="231"/>
      <c r="AM635" s="231"/>
      <c r="AN635" s="231"/>
      <c r="AO635" s="231"/>
      <c r="AP635" s="231"/>
      <c r="AQ635" s="231"/>
      <c r="AR635" s="231"/>
      <c r="AS635" s="231"/>
      <c r="AT635" s="231"/>
      <c r="AU635" s="231"/>
      <c r="AV635" s="231"/>
      <c r="AW635" s="231"/>
      <c r="AX635" s="231"/>
      <c r="AY635" s="231"/>
      <c r="AZ635" s="231"/>
      <c r="BA635" s="231"/>
      <c r="BB635" s="231"/>
      <c r="BC635" s="231"/>
      <c r="BD635" s="104"/>
      <c r="BE635" s="104"/>
      <c r="BF635" s="104"/>
      <c r="BG635" s="104"/>
      <c r="BH635" s="104"/>
      <c r="BI635" s="104"/>
      <c r="BJ635" s="104"/>
      <c r="BK635" s="12"/>
      <c r="BL635" s="12"/>
    </row>
    <row r="636" spans="1:64" hidden="1" outlineLevel="1">
      <c r="A636" s="9"/>
      <c r="B636" s="9"/>
      <c r="C636" s="44"/>
      <c r="D636" s="271" t="str">
        <f>Asset7</f>
        <v>Non-network general assets - Other</v>
      </c>
      <c r="E636" s="9"/>
      <c r="F636" s="9"/>
      <c r="G636" s="207">
        <f>'Adjustment for previous period'!G662</f>
        <v>0</v>
      </c>
      <c r="H636" s="115"/>
      <c r="I636" s="115"/>
      <c r="J636" s="115"/>
      <c r="K636" s="115"/>
      <c r="L636" s="115"/>
      <c r="M636" s="115"/>
      <c r="N636" s="29"/>
      <c r="O636" s="29"/>
      <c r="P636" s="29"/>
      <c r="Q636" s="29"/>
      <c r="R636" s="29"/>
      <c r="S636" s="104"/>
      <c r="T636" s="104"/>
      <c r="U636" s="104"/>
      <c r="V636" s="104"/>
      <c r="W636" s="104"/>
      <c r="X636" s="104"/>
      <c r="Y636" s="104"/>
      <c r="Z636" s="104"/>
      <c r="AA636" s="231"/>
      <c r="AB636" s="231"/>
      <c r="AC636" s="231"/>
      <c r="AD636" s="231"/>
      <c r="AE636" s="231"/>
      <c r="AF636" s="231"/>
      <c r="AG636" s="231"/>
      <c r="AH636" s="231"/>
      <c r="AI636" s="231"/>
      <c r="AJ636" s="231"/>
      <c r="AK636" s="231"/>
      <c r="AL636" s="231"/>
      <c r="AM636" s="231"/>
      <c r="AN636" s="231"/>
      <c r="AO636" s="231"/>
      <c r="AP636" s="231"/>
      <c r="AQ636" s="231"/>
      <c r="AR636" s="231"/>
      <c r="AS636" s="231"/>
      <c r="AT636" s="231"/>
      <c r="AU636" s="231"/>
      <c r="AV636" s="231"/>
      <c r="AW636" s="231"/>
      <c r="AX636" s="231"/>
      <c r="AY636" s="231"/>
      <c r="AZ636" s="231"/>
      <c r="BA636" s="231"/>
      <c r="BB636" s="231"/>
      <c r="BC636" s="231"/>
      <c r="BD636" s="104"/>
      <c r="BE636" s="104"/>
      <c r="BF636" s="104"/>
      <c r="BG636" s="104"/>
      <c r="BH636" s="104"/>
      <c r="BI636" s="104"/>
      <c r="BJ636" s="104"/>
      <c r="BK636" s="12"/>
      <c r="BL636" s="12"/>
    </row>
    <row r="637" spans="1:64" hidden="1" outlineLevel="1">
      <c r="A637" s="9"/>
      <c r="B637" s="9"/>
      <c r="C637" s="44"/>
      <c r="D637" s="271" t="str">
        <f>Asset8</f>
        <v>Equity Raising Costs</v>
      </c>
      <c r="E637" s="9"/>
      <c r="F637" s="9"/>
      <c r="G637" s="207">
        <f>'Adjustment for previous period'!G663</f>
        <v>0</v>
      </c>
      <c r="H637" s="115"/>
      <c r="I637" s="115"/>
      <c r="J637" s="115"/>
      <c r="K637" s="115"/>
      <c r="L637" s="115"/>
      <c r="M637" s="115"/>
      <c r="N637" s="29"/>
      <c r="O637" s="29"/>
      <c r="P637" s="29"/>
      <c r="Q637" s="29"/>
      <c r="R637" s="29"/>
      <c r="S637" s="104"/>
      <c r="T637" s="104"/>
      <c r="U637" s="104"/>
      <c r="V637" s="104"/>
      <c r="W637" s="104"/>
      <c r="X637" s="104"/>
      <c r="Y637" s="104"/>
      <c r="Z637" s="104"/>
      <c r="AA637" s="231"/>
      <c r="AB637" s="231"/>
      <c r="AC637" s="231"/>
      <c r="AD637" s="231"/>
      <c r="AE637" s="231"/>
      <c r="AF637" s="231"/>
      <c r="AG637" s="231"/>
      <c r="AH637" s="231"/>
      <c r="AI637" s="231"/>
      <c r="AJ637" s="231"/>
      <c r="AK637" s="231"/>
      <c r="AL637" s="231"/>
      <c r="AM637" s="231"/>
      <c r="AN637" s="231"/>
      <c r="AO637" s="231"/>
      <c r="AP637" s="231"/>
      <c r="AQ637" s="231"/>
      <c r="AR637" s="231"/>
      <c r="AS637" s="231"/>
      <c r="AT637" s="231"/>
      <c r="AU637" s="231"/>
      <c r="AV637" s="231"/>
      <c r="AW637" s="231"/>
      <c r="AX637" s="231"/>
      <c r="AY637" s="231"/>
      <c r="AZ637" s="231"/>
      <c r="BA637" s="231"/>
      <c r="BB637" s="231"/>
      <c r="BC637" s="231"/>
      <c r="BD637" s="104"/>
      <c r="BE637" s="104"/>
      <c r="BF637" s="104"/>
      <c r="BG637" s="104"/>
      <c r="BH637" s="104"/>
      <c r="BI637" s="104"/>
      <c r="BJ637" s="104"/>
      <c r="BK637" s="12"/>
      <c r="BL637" s="12"/>
    </row>
    <row r="638" spans="1:64" hidden="1" outlineLevel="1">
      <c r="A638" s="9"/>
      <c r="B638" s="9"/>
      <c r="C638" s="44"/>
      <c r="D638" s="271">
        <f>Asset9</f>
        <v>0</v>
      </c>
      <c r="E638" s="9"/>
      <c r="F638" s="9"/>
      <c r="G638" s="207">
        <f>'Adjustment for previous period'!G664</f>
        <v>0</v>
      </c>
      <c r="H638" s="115"/>
      <c r="I638" s="115"/>
      <c r="J638" s="115"/>
      <c r="K638" s="115"/>
      <c r="L638" s="115"/>
      <c r="M638" s="115"/>
      <c r="N638" s="29"/>
      <c r="O638" s="29"/>
      <c r="P638" s="29"/>
      <c r="Q638" s="29"/>
      <c r="R638" s="29"/>
      <c r="S638" s="104"/>
      <c r="T638" s="104"/>
      <c r="U638" s="104"/>
      <c r="V638" s="104"/>
      <c r="W638" s="104"/>
      <c r="X638" s="104"/>
      <c r="Y638" s="104"/>
      <c r="Z638" s="104"/>
      <c r="AA638" s="231"/>
      <c r="AB638" s="231"/>
      <c r="AC638" s="231"/>
      <c r="AD638" s="231"/>
      <c r="AE638" s="231"/>
      <c r="AF638" s="231"/>
      <c r="AG638" s="231"/>
      <c r="AH638" s="231"/>
      <c r="AI638" s="231"/>
      <c r="AJ638" s="231"/>
      <c r="AK638" s="231"/>
      <c r="AL638" s="231"/>
      <c r="AM638" s="231"/>
      <c r="AN638" s="231"/>
      <c r="AO638" s="231"/>
      <c r="AP638" s="231"/>
      <c r="AQ638" s="231"/>
      <c r="AR638" s="231"/>
      <c r="AS638" s="231"/>
      <c r="AT638" s="231"/>
      <c r="AU638" s="231"/>
      <c r="AV638" s="231"/>
      <c r="AW638" s="231"/>
      <c r="AX638" s="231"/>
      <c r="AY638" s="231"/>
      <c r="AZ638" s="231"/>
      <c r="BA638" s="231"/>
      <c r="BB638" s="231"/>
      <c r="BC638" s="231"/>
      <c r="BD638" s="104"/>
      <c r="BE638" s="104"/>
      <c r="BF638" s="104"/>
      <c r="BG638" s="104"/>
      <c r="BH638" s="104"/>
      <c r="BI638" s="104"/>
      <c r="BJ638" s="104"/>
      <c r="BK638" s="12"/>
      <c r="BL638" s="12"/>
    </row>
    <row r="639" spans="1:64" hidden="1" outlineLevel="1">
      <c r="A639" s="9"/>
      <c r="B639" s="9"/>
      <c r="C639" s="44"/>
      <c r="D639" s="271">
        <f>Asset10</f>
        <v>0</v>
      </c>
      <c r="E639" s="9"/>
      <c r="F639" s="9"/>
      <c r="G639" s="207">
        <f>'Adjustment for previous period'!G665</f>
        <v>0</v>
      </c>
      <c r="H639" s="115"/>
      <c r="I639" s="115"/>
      <c r="J639" s="115"/>
      <c r="K639" s="115"/>
      <c r="L639" s="115"/>
      <c r="M639" s="115"/>
      <c r="N639" s="29"/>
      <c r="O639" s="29"/>
      <c r="P639" s="29"/>
      <c r="Q639" s="29"/>
      <c r="R639" s="29"/>
      <c r="S639" s="104"/>
      <c r="T639" s="104"/>
      <c r="U639" s="104"/>
      <c r="V639" s="104"/>
      <c r="W639" s="104"/>
      <c r="X639" s="104"/>
      <c r="Y639" s="104"/>
      <c r="Z639" s="104"/>
      <c r="AA639" s="231"/>
      <c r="AB639" s="231"/>
      <c r="AC639" s="231"/>
      <c r="AD639" s="231"/>
      <c r="AE639" s="231"/>
      <c r="AF639" s="231"/>
      <c r="AG639" s="231"/>
      <c r="AH639" s="231"/>
      <c r="AI639" s="231"/>
      <c r="AJ639" s="231"/>
      <c r="AK639" s="231"/>
      <c r="AL639" s="231"/>
      <c r="AM639" s="231"/>
      <c r="AN639" s="231"/>
      <c r="AO639" s="231"/>
      <c r="AP639" s="231"/>
      <c r="AQ639" s="231"/>
      <c r="AR639" s="231"/>
      <c r="AS639" s="231"/>
      <c r="AT639" s="231"/>
      <c r="AU639" s="231"/>
      <c r="AV639" s="231"/>
      <c r="AW639" s="231"/>
      <c r="AX639" s="231"/>
      <c r="AY639" s="231"/>
      <c r="AZ639" s="231"/>
      <c r="BA639" s="231"/>
      <c r="BB639" s="231"/>
      <c r="BC639" s="231"/>
      <c r="BD639" s="104"/>
      <c r="BE639" s="104"/>
      <c r="BF639" s="104"/>
      <c r="BG639" s="104"/>
      <c r="BH639" s="104"/>
      <c r="BI639" s="104"/>
      <c r="BJ639" s="104"/>
      <c r="BK639" s="12"/>
      <c r="BL639" s="12"/>
    </row>
    <row r="640" spans="1:64" hidden="1" outlineLevel="1">
      <c r="A640" s="9"/>
      <c r="B640" s="9"/>
      <c r="C640" s="44"/>
      <c r="D640" s="271">
        <f>Asset11</f>
        <v>0</v>
      </c>
      <c r="E640" s="9"/>
      <c r="F640" s="9"/>
      <c r="G640" s="207">
        <f>'Adjustment for previous period'!G666</f>
        <v>0</v>
      </c>
      <c r="H640" s="115"/>
      <c r="I640" s="115"/>
      <c r="J640" s="115"/>
      <c r="K640" s="115"/>
      <c r="L640" s="115"/>
      <c r="M640" s="115"/>
      <c r="N640" s="29"/>
      <c r="O640" s="29"/>
      <c r="P640" s="29"/>
      <c r="Q640" s="29"/>
      <c r="R640" s="29"/>
      <c r="S640" s="104"/>
      <c r="T640" s="104"/>
      <c r="U640" s="104"/>
      <c r="V640" s="104"/>
      <c r="W640" s="104"/>
      <c r="X640" s="104"/>
      <c r="Y640" s="104"/>
      <c r="Z640" s="104"/>
      <c r="AA640" s="231"/>
      <c r="AB640" s="231"/>
      <c r="AC640" s="231"/>
      <c r="AD640" s="231"/>
      <c r="AE640" s="231"/>
      <c r="AF640" s="231"/>
      <c r="AG640" s="231"/>
      <c r="AH640" s="231"/>
      <c r="AI640" s="231"/>
      <c r="AJ640" s="231"/>
      <c r="AK640" s="231"/>
      <c r="AL640" s="231"/>
      <c r="AM640" s="231"/>
      <c r="AN640" s="231"/>
      <c r="AO640" s="231"/>
      <c r="AP640" s="231"/>
      <c r="AQ640" s="231"/>
      <c r="AR640" s="231"/>
      <c r="AS640" s="231"/>
      <c r="AT640" s="231"/>
      <c r="AU640" s="231"/>
      <c r="AV640" s="231"/>
      <c r="AW640" s="231"/>
      <c r="AX640" s="231"/>
      <c r="AY640" s="231"/>
      <c r="AZ640" s="231"/>
      <c r="BA640" s="231"/>
      <c r="BB640" s="231"/>
      <c r="BC640" s="231"/>
      <c r="BD640" s="104"/>
      <c r="BE640" s="104"/>
      <c r="BF640" s="104"/>
      <c r="BG640" s="104"/>
      <c r="BH640" s="104"/>
      <c r="BI640" s="104"/>
      <c r="BJ640" s="104"/>
      <c r="BK640" s="12"/>
      <c r="BL640" s="12"/>
    </row>
    <row r="641" spans="1:64" hidden="1" outlineLevel="1">
      <c r="A641" s="9"/>
      <c r="B641" s="9"/>
      <c r="C641" s="44"/>
      <c r="D641" s="271">
        <f>Asset12</f>
        <v>0</v>
      </c>
      <c r="E641" s="9"/>
      <c r="F641" s="9"/>
      <c r="G641" s="207">
        <f>'Adjustment for previous period'!G667</f>
        <v>0</v>
      </c>
      <c r="H641" s="115"/>
      <c r="I641" s="115"/>
      <c r="J641" s="115"/>
      <c r="K641" s="115"/>
      <c r="L641" s="115"/>
      <c r="M641" s="115"/>
      <c r="N641" s="29"/>
      <c r="O641" s="29"/>
      <c r="P641" s="29"/>
      <c r="Q641" s="29"/>
      <c r="R641" s="29"/>
      <c r="S641" s="104"/>
      <c r="T641" s="104"/>
      <c r="U641" s="104"/>
      <c r="V641" s="104"/>
      <c r="W641" s="104"/>
      <c r="X641" s="104"/>
      <c r="Y641" s="104"/>
      <c r="Z641" s="104"/>
      <c r="AA641" s="231"/>
      <c r="AB641" s="231"/>
      <c r="AC641" s="231"/>
      <c r="AD641" s="231"/>
      <c r="AE641" s="231"/>
      <c r="AF641" s="231"/>
      <c r="AG641" s="231"/>
      <c r="AH641" s="231"/>
      <c r="AI641" s="231"/>
      <c r="AJ641" s="231"/>
      <c r="AK641" s="231"/>
      <c r="AL641" s="231"/>
      <c r="AM641" s="231"/>
      <c r="AN641" s="231"/>
      <c r="AO641" s="231"/>
      <c r="AP641" s="231"/>
      <c r="AQ641" s="231"/>
      <c r="AR641" s="231"/>
      <c r="AS641" s="231"/>
      <c r="AT641" s="231"/>
      <c r="AU641" s="231"/>
      <c r="AV641" s="231"/>
      <c r="AW641" s="231"/>
      <c r="AX641" s="231"/>
      <c r="AY641" s="231"/>
      <c r="AZ641" s="231"/>
      <c r="BA641" s="231"/>
      <c r="BB641" s="231"/>
      <c r="BC641" s="231"/>
      <c r="BD641" s="104"/>
      <c r="BE641" s="104"/>
      <c r="BF641" s="104"/>
      <c r="BG641" s="104"/>
      <c r="BH641" s="104"/>
      <c r="BI641" s="104"/>
      <c r="BJ641" s="104"/>
      <c r="BK641" s="12"/>
      <c r="BL641" s="12"/>
    </row>
    <row r="642" spans="1:64" hidden="1" outlineLevel="1">
      <c r="A642" s="9"/>
      <c r="B642" s="9"/>
      <c r="C642" s="44"/>
      <c r="D642" s="271">
        <f>Asset13</f>
        <v>0</v>
      </c>
      <c r="E642" s="9"/>
      <c r="F642" s="9"/>
      <c r="G642" s="207">
        <f>'Adjustment for previous period'!G668</f>
        <v>0</v>
      </c>
      <c r="H642" s="115"/>
      <c r="I642" s="115"/>
      <c r="J642" s="115"/>
      <c r="K642" s="115"/>
      <c r="L642" s="115"/>
      <c r="M642" s="115"/>
      <c r="N642" s="29"/>
      <c r="O642" s="29"/>
      <c r="P642" s="29"/>
      <c r="Q642" s="29"/>
      <c r="R642" s="29"/>
      <c r="S642" s="104"/>
      <c r="T642" s="104"/>
      <c r="U642" s="104"/>
      <c r="V642" s="104"/>
      <c r="W642" s="104"/>
      <c r="X642" s="104"/>
      <c r="Y642" s="104"/>
      <c r="Z642" s="104"/>
      <c r="AA642" s="231"/>
      <c r="AB642" s="231"/>
      <c r="AC642" s="231"/>
      <c r="AD642" s="231"/>
      <c r="AE642" s="231"/>
      <c r="AF642" s="231"/>
      <c r="AG642" s="231"/>
      <c r="AH642" s="231"/>
      <c r="AI642" s="231"/>
      <c r="AJ642" s="231"/>
      <c r="AK642" s="231"/>
      <c r="AL642" s="231"/>
      <c r="AM642" s="231"/>
      <c r="AN642" s="231"/>
      <c r="AO642" s="231"/>
      <c r="AP642" s="231"/>
      <c r="AQ642" s="231"/>
      <c r="AR642" s="231"/>
      <c r="AS642" s="231"/>
      <c r="AT642" s="231"/>
      <c r="AU642" s="231"/>
      <c r="AV642" s="231"/>
      <c r="AW642" s="231"/>
      <c r="AX642" s="231"/>
      <c r="AY642" s="231"/>
      <c r="AZ642" s="231"/>
      <c r="BA642" s="231"/>
      <c r="BB642" s="231"/>
      <c r="BC642" s="231"/>
      <c r="BD642" s="104"/>
      <c r="BE642" s="104"/>
      <c r="BF642" s="104"/>
      <c r="BG642" s="104"/>
      <c r="BH642" s="104"/>
      <c r="BI642" s="104"/>
      <c r="BJ642" s="104"/>
      <c r="BK642" s="12"/>
      <c r="BL642" s="12"/>
    </row>
    <row r="643" spans="1:64" hidden="1" outlineLevel="1">
      <c r="A643" s="9"/>
      <c r="B643" s="9"/>
      <c r="C643" s="44"/>
      <c r="D643" s="271">
        <f>Asset14</f>
        <v>0</v>
      </c>
      <c r="E643" s="9"/>
      <c r="F643" s="9"/>
      <c r="G643" s="207">
        <f>'Adjustment for previous period'!G669</f>
        <v>0</v>
      </c>
      <c r="H643" s="115"/>
      <c r="I643" s="115"/>
      <c r="J643" s="115"/>
      <c r="K643" s="115"/>
      <c r="L643" s="115"/>
      <c r="M643" s="115"/>
      <c r="N643" s="29"/>
      <c r="O643" s="29"/>
      <c r="P643" s="29"/>
      <c r="Q643" s="29"/>
      <c r="R643" s="29"/>
      <c r="S643" s="104"/>
      <c r="T643" s="104"/>
      <c r="U643" s="104"/>
      <c r="V643" s="104"/>
      <c r="W643" s="104"/>
      <c r="X643" s="104"/>
      <c r="Y643" s="104"/>
      <c r="Z643" s="104"/>
      <c r="AA643" s="231"/>
      <c r="AB643" s="231"/>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104"/>
      <c r="BE643" s="104"/>
      <c r="BF643" s="104"/>
      <c r="BG643" s="104"/>
      <c r="BH643" s="104"/>
      <c r="BI643" s="104"/>
      <c r="BJ643" s="104"/>
      <c r="BK643" s="12"/>
      <c r="BL643" s="12"/>
    </row>
    <row r="644" spans="1:64" hidden="1" outlineLevel="1">
      <c r="A644" s="9"/>
      <c r="B644" s="9"/>
      <c r="C644" s="44"/>
      <c r="D644" s="271">
        <f>Asset15</f>
        <v>0</v>
      </c>
      <c r="E644" s="9"/>
      <c r="F644" s="9"/>
      <c r="G644" s="207">
        <f>'Adjustment for previous period'!G670</f>
        <v>0</v>
      </c>
      <c r="H644" s="115"/>
      <c r="I644" s="115"/>
      <c r="J644" s="115"/>
      <c r="K644" s="115"/>
      <c r="L644" s="115"/>
      <c r="M644" s="115"/>
      <c r="N644" s="29"/>
      <c r="O644" s="29"/>
      <c r="P644" s="29"/>
      <c r="Q644" s="29"/>
      <c r="R644" s="29"/>
      <c r="S644" s="104"/>
      <c r="T644" s="104"/>
      <c r="U644" s="104"/>
      <c r="V644" s="104"/>
      <c r="W644" s="104"/>
      <c r="X644" s="104"/>
      <c r="Y644" s="104"/>
      <c r="Z644" s="104"/>
      <c r="AA644" s="231"/>
      <c r="AB644" s="231"/>
      <c r="AC644" s="231"/>
      <c r="AD644" s="231"/>
      <c r="AE644" s="231"/>
      <c r="AF644" s="231"/>
      <c r="AG644" s="231"/>
      <c r="AH644" s="231"/>
      <c r="AI644" s="231"/>
      <c r="AJ644" s="231"/>
      <c r="AK644" s="231"/>
      <c r="AL644" s="231"/>
      <c r="AM644" s="231"/>
      <c r="AN644" s="231"/>
      <c r="AO644" s="231"/>
      <c r="AP644" s="231"/>
      <c r="AQ644" s="231"/>
      <c r="AR644" s="231"/>
      <c r="AS644" s="231"/>
      <c r="AT644" s="231"/>
      <c r="AU644" s="231"/>
      <c r="AV644" s="231"/>
      <c r="AW644" s="231"/>
      <c r="AX644" s="231"/>
      <c r="AY644" s="231"/>
      <c r="AZ644" s="231"/>
      <c r="BA644" s="231"/>
      <c r="BB644" s="231"/>
      <c r="BC644" s="231"/>
      <c r="BD644" s="104"/>
      <c r="BE644" s="104"/>
      <c r="BF644" s="104"/>
      <c r="BG644" s="104"/>
      <c r="BH644" s="104"/>
      <c r="BI644" s="104"/>
      <c r="BJ644" s="104"/>
      <c r="BK644" s="12"/>
      <c r="BL644" s="12"/>
    </row>
    <row r="645" spans="1:64" hidden="1" outlineLevel="1">
      <c r="A645" s="9"/>
      <c r="B645" s="9"/>
      <c r="C645" s="44"/>
      <c r="D645" s="271">
        <f>Asset16</f>
        <v>0</v>
      </c>
      <c r="E645" s="9"/>
      <c r="F645" s="9"/>
      <c r="G645" s="207">
        <f>'Adjustment for previous period'!G671</f>
        <v>0</v>
      </c>
      <c r="H645" s="115"/>
      <c r="I645" s="115"/>
      <c r="J645" s="115"/>
      <c r="K645" s="115"/>
      <c r="L645" s="115"/>
      <c r="M645" s="115"/>
      <c r="N645" s="29"/>
      <c r="O645" s="29"/>
      <c r="P645" s="29"/>
      <c r="Q645" s="29"/>
      <c r="R645" s="29"/>
      <c r="S645" s="104"/>
      <c r="T645" s="104"/>
      <c r="U645" s="104"/>
      <c r="V645" s="104"/>
      <c r="W645" s="104"/>
      <c r="X645" s="104"/>
      <c r="Y645" s="104"/>
      <c r="Z645" s="104"/>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104"/>
      <c r="BE645" s="104"/>
      <c r="BF645" s="104"/>
      <c r="BG645" s="104"/>
      <c r="BH645" s="104"/>
      <c r="BI645" s="104"/>
      <c r="BJ645" s="104"/>
      <c r="BK645" s="12"/>
      <c r="BL645" s="12"/>
    </row>
    <row r="646" spans="1:64" hidden="1" outlineLevel="1">
      <c r="A646" s="9"/>
      <c r="B646" s="9"/>
      <c r="C646" s="44"/>
      <c r="D646" s="271">
        <f>Asset17</f>
        <v>0</v>
      </c>
      <c r="E646" s="9"/>
      <c r="F646" s="9"/>
      <c r="G646" s="207">
        <f>'Adjustment for previous period'!G672</f>
        <v>0</v>
      </c>
      <c r="H646" s="115"/>
      <c r="I646" s="115"/>
      <c r="J646" s="115"/>
      <c r="K646" s="115"/>
      <c r="L646" s="115"/>
      <c r="M646" s="115"/>
      <c r="N646" s="29"/>
      <c r="O646" s="29"/>
      <c r="P646" s="29"/>
      <c r="Q646" s="29"/>
      <c r="R646" s="29"/>
      <c r="S646" s="104"/>
      <c r="T646" s="104"/>
      <c r="U646" s="104"/>
      <c r="V646" s="104"/>
      <c r="W646" s="104"/>
      <c r="X646" s="104"/>
      <c r="Y646" s="104"/>
      <c r="Z646" s="104"/>
      <c r="AA646" s="231"/>
      <c r="AB646" s="231"/>
      <c r="AC646" s="231"/>
      <c r="AD646" s="231"/>
      <c r="AE646" s="231"/>
      <c r="AF646" s="231"/>
      <c r="AG646" s="231"/>
      <c r="AH646" s="231"/>
      <c r="AI646" s="231"/>
      <c r="AJ646" s="231"/>
      <c r="AK646" s="231"/>
      <c r="AL646" s="231"/>
      <c r="AM646" s="231"/>
      <c r="AN646" s="231"/>
      <c r="AO646" s="231"/>
      <c r="AP646" s="231"/>
      <c r="AQ646" s="231"/>
      <c r="AR646" s="231"/>
      <c r="AS646" s="231"/>
      <c r="AT646" s="231"/>
      <c r="AU646" s="231"/>
      <c r="AV646" s="231"/>
      <c r="AW646" s="231"/>
      <c r="AX646" s="231"/>
      <c r="AY646" s="231"/>
      <c r="AZ646" s="231"/>
      <c r="BA646" s="231"/>
      <c r="BB646" s="231"/>
      <c r="BC646" s="231"/>
      <c r="BD646" s="104"/>
      <c r="BE646" s="104"/>
      <c r="BF646" s="104"/>
      <c r="BG646" s="104"/>
      <c r="BH646" s="104"/>
      <c r="BI646" s="104"/>
      <c r="BJ646" s="104"/>
      <c r="BK646" s="12"/>
      <c r="BL646" s="12"/>
    </row>
    <row r="647" spans="1:64" hidden="1" outlineLevel="1">
      <c r="A647" s="9"/>
      <c r="B647" s="9"/>
      <c r="C647" s="44"/>
      <c r="D647" s="271">
        <f>Asset18</f>
        <v>0</v>
      </c>
      <c r="E647" s="9"/>
      <c r="F647" s="9"/>
      <c r="G647" s="207">
        <f>'Adjustment for previous period'!G673</f>
        <v>0</v>
      </c>
      <c r="H647" s="115"/>
      <c r="I647" s="115"/>
      <c r="J647" s="115"/>
      <c r="K647" s="115"/>
      <c r="L647" s="115"/>
      <c r="M647" s="115"/>
      <c r="N647" s="29"/>
      <c r="O647" s="29"/>
      <c r="P647" s="29"/>
      <c r="Q647" s="29"/>
      <c r="R647" s="29"/>
      <c r="S647" s="104"/>
      <c r="T647" s="104"/>
      <c r="U647" s="104"/>
      <c r="V647" s="104"/>
      <c r="W647" s="104"/>
      <c r="X647" s="104"/>
      <c r="Y647" s="104"/>
      <c r="Z647" s="104"/>
      <c r="AA647" s="231"/>
      <c r="AB647" s="231"/>
      <c r="AC647" s="231"/>
      <c r="AD647" s="231"/>
      <c r="AE647" s="231"/>
      <c r="AF647" s="231"/>
      <c r="AG647" s="231"/>
      <c r="AH647" s="231"/>
      <c r="AI647" s="231"/>
      <c r="AJ647" s="231"/>
      <c r="AK647" s="231"/>
      <c r="AL647" s="231"/>
      <c r="AM647" s="231"/>
      <c r="AN647" s="231"/>
      <c r="AO647" s="231"/>
      <c r="AP647" s="231"/>
      <c r="AQ647" s="231"/>
      <c r="AR647" s="231"/>
      <c r="AS647" s="231"/>
      <c r="AT647" s="231"/>
      <c r="AU647" s="231"/>
      <c r="AV647" s="231"/>
      <c r="AW647" s="231"/>
      <c r="AX647" s="231"/>
      <c r="AY647" s="231"/>
      <c r="AZ647" s="231"/>
      <c r="BA647" s="231"/>
      <c r="BB647" s="231"/>
      <c r="BC647" s="231"/>
      <c r="BD647" s="104"/>
      <c r="BE647" s="104"/>
      <c r="BF647" s="104"/>
      <c r="BG647" s="104"/>
      <c r="BH647" s="104"/>
      <c r="BI647" s="104"/>
      <c r="BJ647" s="104"/>
      <c r="BK647" s="12"/>
      <c r="BL647" s="12"/>
    </row>
    <row r="648" spans="1:64" hidden="1" outlineLevel="1">
      <c r="A648" s="9"/>
      <c r="B648" s="9"/>
      <c r="C648" s="44"/>
      <c r="D648" s="271">
        <f>Asset19</f>
        <v>0</v>
      </c>
      <c r="E648" s="9"/>
      <c r="F648" s="9"/>
      <c r="G648" s="207">
        <f>'Adjustment for previous period'!G674</f>
        <v>0</v>
      </c>
      <c r="H648" s="115"/>
      <c r="I648" s="115"/>
      <c r="J648" s="115"/>
      <c r="K648" s="115"/>
      <c r="L648" s="115"/>
      <c r="M648" s="115"/>
      <c r="N648" s="29"/>
      <c r="O648" s="29"/>
      <c r="P648" s="29"/>
      <c r="Q648" s="29"/>
      <c r="R648" s="29"/>
      <c r="S648" s="104"/>
      <c r="T648" s="104"/>
      <c r="U648" s="104"/>
      <c r="V648" s="104"/>
      <c r="W648" s="104"/>
      <c r="X648" s="104"/>
      <c r="Y648" s="104"/>
      <c r="Z648" s="104"/>
      <c r="AA648" s="231"/>
      <c r="AB648" s="231"/>
      <c r="AC648" s="231"/>
      <c r="AD648" s="231"/>
      <c r="AE648" s="231"/>
      <c r="AF648" s="231"/>
      <c r="AG648" s="231"/>
      <c r="AH648" s="231"/>
      <c r="AI648" s="231"/>
      <c r="AJ648" s="231"/>
      <c r="AK648" s="231"/>
      <c r="AL648" s="231"/>
      <c r="AM648" s="231"/>
      <c r="AN648" s="231"/>
      <c r="AO648" s="231"/>
      <c r="AP648" s="231"/>
      <c r="AQ648" s="231"/>
      <c r="AR648" s="231"/>
      <c r="AS648" s="231"/>
      <c r="AT648" s="231"/>
      <c r="AU648" s="231"/>
      <c r="AV648" s="231"/>
      <c r="AW648" s="231"/>
      <c r="AX648" s="231"/>
      <c r="AY648" s="231"/>
      <c r="AZ648" s="231"/>
      <c r="BA648" s="231"/>
      <c r="BB648" s="231"/>
      <c r="BC648" s="231"/>
      <c r="BD648" s="104"/>
      <c r="BE648" s="104"/>
      <c r="BF648" s="104"/>
      <c r="BG648" s="104"/>
      <c r="BH648" s="104"/>
      <c r="BI648" s="104"/>
      <c r="BJ648" s="104"/>
      <c r="BK648" s="12"/>
      <c r="BL648" s="12"/>
    </row>
    <row r="649" spans="1:64" hidden="1" outlineLevel="1">
      <c r="A649" s="9"/>
      <c r="B649" s="9"/>
      <c r="C649" s="44"/>
      <c r="D649" s="271">
        <f>Asset20</f>
        <v>0</v>
      </c>
      <c r="E649" s="9"/>
      <c r="F649" s="9"/>
      <c r="G649" s="207">
        <f>'Adjustment for previous period'!G675</f>
        <v>0</v>
      </c>
      <c r="H649" s="115"/>
      <c r="I649" s="115"/>
      <c r="J649" s="115"/>
      <c r="K649" s="115"/>
      <c r="L649" s="115"/>
      <c r="M649" s="115"/>
      <c r="N649" s="29"/>
      <c r="O649" s="29"/>
      <c r="P649" s="29"/>
      <c r="Q649" s="29"/>
      <c r="R649" s="29"/>
      <c r="S649" s="104"/>
      <c r="T649" s="104"/>
      <c r="U649" s="104"/>
      <c r="V649" s="104"/>
      <c r="W649" s="104"/>
      <c r="X649" s="104"/>
      <c r="Y649" s="104"/>
      <c r="Z649" s="104"/>
      <c r="AA649" s="231"/>
      <c r="AB649" s="231"/>
      <c r="AC649" s="231"/>
      <c r="AD649" s="231"/>
      <c r="AE649" s="231"/>
      <c r="AF649" s="231"/>
      <c r="AG649" s="231"/>
      <c r="AH649" s="231"/>
      <c r="AI649" s="231"/>
      <c r="AJ649" s="231"/>
      <c r="AK649" s="231"/>
      <c r="AL649" s="231"/>
      <c r="AM649" s="231"/>
      <c r="AN649" s="231"/>
      <c r="AO649" s="231"/>
      <c r="AP649" s="231"/>
      <c r="AQ649" s="231"/>
      <c r="AR649" s="231"/>
      <c r="AS649" s="231"/>
      <c r="AT649" s="231"/>
      <c r="AU649" s="231"/>
      <c r="AV649" s="231"/>
      <c r="AW649" s="231"/>
      <c r="AX649" s="231"/>
      <c r="AY649" s="231"/>
      <c r="AZ649" s="231"/>
      <c r="BA649" s="231"/>
      <c r="BB649" s="231"/>
      <c r="BC649" s="231"/>
      <c r="BD649" s="104"/>
      <c r="BE649" s="104"/>
      <c r="BF649" s="104"/>
      <c r="BG649" s="104"/>
      <c r="BH649" s="104"/>
      <c r="BI649" s="104"/>
      <c r="BJ649" s="104"/>
      <c r="BK649" s="12"/>
      <c r="BL649" s="12"/>
    </row>
    <row r="650" spans="1:64" hidden="1" outlineLevel="1">
      <c r="A650" s="9"/>
      <c r="B650" s="9"/>
      <c r="C650" s="44"/>
      <c r="D650" s="271">
        <f>Asset21</f>
        <v>0</v>
      </c>
      <c r="E650" s="9"/>
      <c r="F650" s="9"/>
      <c r="G650" s="207">
        <f>'Adjustment for previous period'!G676</f>
        <v>0</v>
      </c>
      <c r="H650" s="115"/>
      <c r="I650" s="115"/>
      <c r="J650" s="115"/>
      <c r="K650" s="115"/>
      <c r="L650" s="115"/>
      <c r="M650" s="115"/>
      <c r="N650" s="29"/>
      <c r="O650" s="29"/>
      <c r="P650" s="29"/>
      <c r="Q650" s="29"/>
      <c r="R650" s="29"/>
      <c r="S650" s="104"/>
      <c r="T650" s="104"/>
      <c r="U650" s="104"/>
      <c r="V650" s="104"/>
      <c r="W650" s="104"/>
      <c r="X650" s="104"/>
      <c r="Y650" s="104"/>
      <c r="Z650" s="104"/>
      <c r="AA650" s="231"/>
      <c r="AB650" s="231"/>
      <c r="AC650" s="231"/>
      <c r="AD650" s="231"/>
      <c r="AE650" s="231"/>
      <c r="AF650" s="231"/>
      <c r="AG650" s="231"/>
      <c r="AH650" s="231"/>
      <c r="AI650" s="231"/>
      <c r="AJ650" s="231"/>
      <c r="AK650" s="231"/>
      <c r="AL650" s="231"/>
      <c r="AM650" s="231"/>
      <c r="AN650" s="231"/>
      <c r="AO650" s="231"/>
      <c r="AP650" s="231"/>
      <c r="AQ650" s="231"/>
      <c r="AR650" s="231"/>
      <c r="AS650" s="231"/>
      <c r="AT650" s="231"/>
      <c r="AU650" s="231"/>
      <c r="AV650" s="231"/>
      <c r="AW650" s="231"/>
      <c r="AX650" s="231"/>
      <c r="AY650" s="231"/>
      <c r="AZ650" s="231"/>
      <c r="BA650" s="231"/>
      <c r="BB650" s="231"/>
      <c r="BC650" s="231"/>
      <c r="BD650" s="104"/>
      <c r="BE650" s="104"/>
      <c r="BF650" s="104"/>
      <c r="BG650" s="104"/>
      <c r="BH650" s="104"/>
      <c r="BI650" s="104"/>
      <c r="BJ650" s="104"/>
      <c r="BK650" s="12"/>
      <c r="BL650" s="12"/>
    </row>
    <row r="651" spans="1:64" hidden="1" outlineLevel="1">
      <c r="A651" s="9"/>
      <c r="B651" s="9"/>
      <c r="C651" s="44"/>
      <c r="D651" s="271">
        <f>Asset22</f>
        <v>0</v>
      </c>
      <c r="E651" s="9"/>
      <c r="F651" s="9"/>
      <c r="G651" s="207">
        <f>'Adjustment for previous period'!G677</f>
        <v>0</v>
      </c>
      <c r="H651" s="115"/>
      <c r="I651" s="115"/>
      <c r="J651" s="115"/>
      <c r="K651" s="115"/>
      <c r="L651" s="115"/>
      <c r="M651" s="115"/>
      <c r="N651" s="29"/>
      <c r="O651" s="29"/>
      <c r="P651" s="29"/>
      <c r="Q651" s="29"/>
      <c r="R651" s="29"/>
      <c r="S651" s="104"/>
      <c r="T651" s="104"/>
      <c r="U651" s="104"/>
      <c r="V651" s="104"/>
      <c r="W651" s="104"/>
      <c r="X651" s="104"/>
      <c r="Y651" s="104"/>
      <c r="Z651" s="104"/>
      <c r="AA651" s="231"/>
      <c r="AB651" s="231"/>
      <c r="AC651" s="231"/>
      <c r="AD651" s="231"/>
      <c r="AE651" s="231"/>
      <c r="AF651" s="231"/>
      <c r="AG651" s="231"/>
      <c r="AH651" s="231"/>
      <c r="AI651" s="231"/>
      <c r="AJ651" s="231"/>
      <c r="AK651" s="231"/>
      <c r="AL651" s="231"/>
      <c r="AM651" s="231"/>
      <c r="AN651" s="231"/>
      <c r="AO651" s="231"/>
      <c r="AP651" s="231"/>
      <c r="AQ651" s="231"/>
      <c r="AR651" s="231"/>
      <c r="AS651" s="231"/>
      <c r="AT651" s="231"/>
      <c r="AU651" s="231"/>
      <c r="AV651" s="231"/>
      <c r="AW651" s="231"/>
      <c r="AX651" s="231"/>
      <c r="AY651" s="231"/>
      <c r="AZ651" s="231"/>
      <c r="BA651" s="231"/>
      <c r="BB651" s="231"/>
      <c r="BC651" s="231"/>
      <c r="BD651" s="104"/>
      <c r="BE651" s="104"/>
      <c r="BF651" s="104"/>
      <c r="BG651" s="104"/>
      <c r="BH651" s="104"/>
      <c r="BI651" s="104"/>
      <c r="BJ651" s="104"/>
      <c r="BK651" s="12"/>
      <c r="BL651" s="12"/>
    </row>
    <row r="652" spans="1:64" hidden="1" outlineLevel="1">
      <c r="A652" s="9"/>
      <c r="B652" s="9"/>
      <c r="C652" s="44"/>
      <c r="D652" s="271">
        <f>Asset23</f>
        <v>0</v>
      </c>
      <c r="E652" s="9"/>
      <c r="F652" s="9"/>
      <c r="G652" s="207">
        <f>'Adjustment for previous period'!G678</f>
        <v>0</v>
      </c>
      <c r="H652" s="115"/>
      <c r="I652" s="115"/>
      <c r="J652" s="115"/>
      <c r="K652" s="115"/>
      <c r="L652" s="115"/>
      <c r="M652" s="115"/>
      <c r="N652" s="29"/>
      <c r="O652" s="29"/>
      <c r="P652" s="29"/>
      <c r="Q652" s="29"/>
      <c r="R652" s="29"/>
      <c r="S652" s="104"/>
      <c r="T652" s="104"/>
      <c r="U652" s="104"/>
      <c r="V652" s="104"/>
      <c r="W652" s="104"/>
      <c r="X652" s="104"/>
      <c r="Y652" s="104"/>
      <c r="Z652" s="104"/>
      <c r="AA652" s="231"/>
      <c r="AB652" s="231"/>
      <c r="AC652" s="231"/>
      <c r="AD652" s="231"/>
      <c r="AE652" s="231"/>
      <c r="AF652" s="231"/>
      <c r="AG652" s="231"/>
      <c r="AH652" s="231"/>
      <c r="AI652" s="231"/>
      <c r="AJ652" s="231"/>
      <c r="AK652" s="231"/>
      <c r="AL652" s="231"/>
      <c r="AM652" s="231"/>
      <c r="AN652" s="231"/>
      <c r="AO652" s="231"/>
      <c r="AP652" s="231"/>
      <c r="AQ652" s="231"/>
      <c r="AR652" s="231"/>
      <c r="AS652" s="231"/>
      <c r="AT652" s="231"/>
      <c r="AU652" s="231"/>
      <c r="AV652" s="231"/>
      <c r="AW652" s="231"/>
      <c r="AX652" s="231"/>
      <c r="AY652" s="231"/>
      <c r="AZ652" s="231"/>
      <c r="BA652" s="231"/>
      <c r="BB652" s="231"/>
      <c r="BC652" s="231"/>
      <c r="BD652" s="104"/>
      <c r="BE652" s="104"/>
      <c r="BF652" s="104"/>
      <c r="BG652" s="104"/>
      <c r="BH652" s="104"/>
      <c r="BI652" s="104"/>
      <c r="BJ652" s="104"/>
      <c r="BK652" s="12"/>
      <c r="BL652" s="12"/>
    </row>
    <row r="653" spans="1:64" hidden="1" outlineLevel="1">
      <c r="A653" s="9"/>
      <c r="B653" s="9"/>
      <c r="C653" s="44"/>
      <c r="D653" s="271">
        <f>Asset24</f>
        <v>0</v>
      </c>
      <c r="E653" s="9"/>
      <c r="F653" s="9"/>
      <c r="G653" s="207">
        <f>'Adjustment for previous period'!G679</f>
        <v>0</v>
      </c>
      <c r="H653" s="115"/>
      <c r="I653" s="115"/>
      <c r="J653" s="115"/>
      <c r="K653" s="115"/>
      <c r="L653" s="115"/>
      <c r="M653" s="115"/>
      <c r="N653" s="29"/>
      <c r="O653" s="29"/>
      <c r="P653" s="29"/>
      <c r="Q653" s="29"/>
      <c r="R653" s="29"/>
      <c r="S653" s="104"/>
      <c r="T653" s="104"/>
      <c r="U653" s="104"/>
      <c r="V653" s="104"/>
      <c r="W653" s="104"/>
      <c r="X653" s="104"/>
      <c r="Y653" s="104"/>
      <c r="Z653" s="104"/>
      <c r="AA653" s="231"/>
      <c r="AB653" s="231"/>
      <c r="AC653" s="231"/>
      <c r="AD653" s="231"/>
      <c r="AE653" s="231"/>
      <c r="AF653" s="231"/>
      <c r="AG653" s="231"/>
      <c r="AH653" s="231"/>
      <c r="AI653" s="231"/>
      <c r="AJ653" s="231"/>
      <c r="AK653" s="231"/>
      <c r="AL653" s="231"/>
      <c r="AM653" s="231"/>
      <c r="AN653" s="231"/>
      <c r="AO653" s="231"/>
      <c r="AP653" s="231"/>
      <c r="AQ653" s="231"/>
      <c r="AR653" s="231"/>
      <c r="AS653" s="231"/>
      <c r="AT653" s="231"/>
      <c r="AU653" s="231"/>
      <c r="AV653" s="231"/>
      <c r="AW653" s="231"/>
      <c r="AX653" s="231"/>
      <c r="AY653" s="231"/>
      <c r="AZ653" s="231"/>
      <c r="BA653" s="231"/>
      <c r="BB653" s="231"/>
      <c r="BC653" s="231"/>
      <c r="BD653" s="104"/>
      <c r="BE653" s="104"/>
      <c r="BF653" s="104"/>
      <c r="BG653" s="104"/>
      <c r="BH653" s="104"/>
      <c r="BI653" s="104"/>
      <c r="BJ653" s="104"/>
      <c r="BK653" s="12"/>
      <c r="BL653" s="12"/>
    </row>
    <row r="654" spans="1:64" hidden="1" outlineLevel="1">
      <c r="A654" s="9"/>
      <c r="B654" s="9"/>
      <c r="C654" s="44"/>
      <c r="D654" s="271">
        <f>Asset25</f>
        <v>0</v>
      </c>
      <c r="E654" s="9"/>
      <c r="F654" s="9"/>
      <c r="G654" s="207">
        <f>'Adjustment for previous period'!G680</f>
        <v>0</v>
      </c>
      <c r="H654" s="115"/>
      <c r="I654" s="115"/>
      <c r="J654" s="115"/>
      <c r="K654" s="115"/>
      <c r="L654" s="115"/>
      <c r="M654" s="115"/>
      <c r="N654" s="29"/>
      <c r="O654" s="29"/>
      <c r="P654" s="29"/>
      <c r="Q654" s="29"/>
      <c r="R654" s="29"/>
      <c r="S654" s="104"/>
      <c r="T654" s="104"/>
      <c r="U654" s="104"/>
      <c r="V654" s="104"/>
      <c r="W654" s="104"/>
      <c r="X654" s="104"/>
      <c r="Y654" s="104"/>
      <c r="Z654" s="104"/>
      <c r="AA654" s="231"/>
      <c r="AB654" s="231"/>
      <c r="AC654" s="231"/>
      <c r="AD654" s="231"/>
      <c r="AE654" s="231"/>
      <c r="AF654" s="231"/>
      <c r="AG654" s="231"/>
      <c r="AH654" s="231"/>
      <c r="AI654" s="231"/>
      <c r="AJ654" s="231"/>
      <c r="AK654" s="231"/>
      <c r="AL654" s="231"/>
      <c r="AM654" s="231"/>
      <c r="AN654" s="231"/>
      <c r="AO654" s="231"/>
      <c r="AP654" s="231"/>
      <c r="AQ654" s="231"/>
      <c r="AR654" s="231"/>
      <c r="AS654" s="231"/>
      <c r="AT654" s="231"/>
      <c r="AU654" s="231"/>
      <c r="AV654" s="231"/>
      <c r="AW654" s="231"/>
      <c r="AX654" s="231"/>
      <c r="AY654" s="231"/>
      <c r="AZ654" s="231"/>
      <c r="BA654" s="231"/>
      <c r="BB654" s="231"/>
      <c r="BC654" s="231"/>
      <c r="BD654" s="104"/>
      <c r="BE654" s="104"/>
      <c r="BF654" s="104"/>
      <c r="BG654" s="104"/>
      <c r="BH654" s="104"/>
      <c r="BI654" s="104"/>
      <c r="BJ654" s="104"/>
      <c r="BK654" s="12"/>
      <c r="BL654" s="12"/>
    </row>
    <row r="655" spans="1:64" hidden="1" outlineLevel="1">
      <c r="A655" s="9"/>
      <c r="B655" s="9"/>
      <c r="C655" s="44"/>
      <c r="D655" s="271">
        <f>Asset26</f>
        <v>0</v>
      </c>
      <c r="E655" s="9"/>
      <c r="F655" s="9"/>
      <c r="G655" s="207">
        <f>'Adjustment for previous period'!G681</f>
        <v>0</v>
      </c>
      <c r="H655" s="115"/>
      <c r="I655" s="115"/>
      <c r="J655" s="115"/>
      <c r="K655" s="115"/>
      <c r="L655" s="115"/>
      <c r="M655" s="115"/>
      <c r="N655" s="29"/>
      <c r="O655" s="29"/>
      <c r="P655" s="29"/>
      <c r="Q655" s="29"/>
      <c r="R655" s="29"/>
      <c r="S655" s="104"/>
      <c r="T655" s="104"/>
      <c r="U655" s="104"/>
      <c r="V655" s="104"/>
      <c r="W655" s="104"/>
      <c r="X655" s="104"/>
      <c r="Y655" s="104"/>
      <c r="Z655" s="104"/>
      <c r="AA655" s="231"/>
      <c r="AB655" s="231"/>
      <c r="AC655" s="231"/>
      <c r="AD655" s="231"/>
      <c r="AE655" s="231"/>
      <c r="AF655" s="231"/>
      <c r="AG655" s="231"/>
      <c r="AH655" s="231"/>
      <c r="AI655" s="231"/>
      <c r="AJ655" s="231"/>
      <c r="AK655" s="231"/>
      <c r="AL655" s="231"/>
      <c r="AM655" s="231"/>
      <c r="AN655" s="231"/>
      <c r="AO655" s="231"/>
      <c r="AP655" s="231"/>
      <c r="AQ655" s="231"/>
      <c r="AR655" s="231"/>
      <c r="AS655" s="231"/>
      <c r="AT655" s="231"/>
      <c r="AU655" s="231"/>
      <c r="AV655" s="231"/>
      <c r="AW655" s="231"/>
      <c r="AX655" s="231"/>
      <c r="AY655" s="231"/>
      <c r="AZ655" s="231"/>
      <c r="BA655" s="231"/>
      <c r="BB655" s="231"/>
      <c r="BC655" s="231"/>
      <c r="BD655" s="104"/>
      <c r="BE655" s="104"/>
      <c r="BF655" s="104"/>
      <c r="BG655" s="104"/>
      <c r="BH655" s="104"/>
      <c r="BI655" s="104"/>
      <c r="BJ655" s="104"/>
      <c r="BK655" s="12"/>
      <c r="BL655" s="12"/>
    </row>
    <row r="656" spans="1:64" hidden="1" outlineLevel="1">
      <c r="A656" s="9"/>
      <c r="B656" s="9"/>
      <c r="C656" s="44"/>
      <c r="D656" s="271">
        <f>Asset27</f>
        <v>0</v>
      </c>
      <c r="E656" s="9"/>
      <c r="F656" s="9"/>
      <c r="G656" s="207">
        <f>'Adjustment for previous period'!G682</f>
        <v>0</v>
      </c>
      <c r="H656" s="115"/>
      <c r="I656" s="115"/>
      <c r="J656" s="115"/>
      <c r="K656" s="115"/>
      <c r="L656" s="115"/>
      <c r="M656" s="115"/>
      <c r="N656" s="29"/>
      <c r="O656" s="29"/>
      <c r="P656" s="29"/>
      <c r="Q656" s="29"/>
      <c r="R656" s="29"/>
      <c r="S656" s="104"/>
      <c r="T656" s="104"/>
      <c r="U656" s="104"/>
      <c r="V656" s="104"/>
      <c r="W656" s="104"/>
      <c r="X656" s="104"/>
      <c r="Y656" s="104"/>
      <c r="Z656" s="104"/>
      <c r="AA656" s="231"/>
      <c r="AB656" s="231"/>
      <c r="AC656" s="231"/>
      <c r="AD656" s="231"/>
      <c r="AE656" s="231"/>
      <c r="AF656" s="231"/>
      <c r="AG656" s="231"/>
      <c r="AH656" s="231"/>
      <c r="AI656" s="231"/>
      <c r="AJ656" s="231"/>
      <c r="AK656" s="231"/>
      <c r="AL656" s="231"/>
      <c r="AM656" s="231"/>
      <c r="AN656" s="231"/>
      <c r="AO656" s="231"/>
      <c r="AP656" s="231"/>
      <c r="AQ656" s="231"/>
      <c r="AR656" s="231"/>
      <c r="AS656" s="231"/>
      <c r="AT656" s="231"/>
      <c r="AU656" s="231"/>
      <c r="AV656" s="231"/>
      <c r="AW656" s="231"/>
      <c r="AX656" s="231"/>
      <c r="AY656" s="231"/>
      <c r="AZ656" s="231"/>
      <c r="BA656" s="231"/>
      <c r="BB656" s="231"/>
      <c r="BC656" s="231"/>
      <c r="BD656" s="104"/>
      <c r="BE656" s="104"/>
      <c r="BF656" s="104"/>
      <c r="BG656" s="104"/>
      <c r="BH656" s="104"/>
      <c r="BI656" s="104"/>
      <c r="BJ656" s="104"/>
      <c r="BK656" s="12"/>
      <c r="BL656" s="12"/>
    </row>
    <row r="657" spans="1:64" hidden="1" outlineLevel="1">
      <c r="A657" s="9"/>
      <c r="B657" s="9"/>
      <c r="C657" s="44"/>
      <c r="D657" s="271">
        <f>Asset28</f>
        <v>0</v>
      </c>
      <c r="E657" s="9"/>
      <c r="F657" s="9"/>
      <c r="G657" s="207">
        <f>'Adjustment for previous period'!G683</f>
        <v>0</v>
      </c>
      <c r="H657" s="115"/>
      <c r="I657" s="115"/>
      <c r="J657" s="115"/>
      <c r="K657" s="115"/>
      <c r="L657" s="115"/>
      <c r="M657" s="115"/>
      <c r="N657" s="29"/>
      <c r="O657" s="29"/>
      <c r="P657" s="29"/>
      <c r="Q657" s="29"/>
      <c r="R657" s="29"/>
      <c r="S657" s="104"/>
      <c r="T657" s="104"/>
      <c r="U657" s="104"/>
      <c r="V657" s="104"/>
      <c r="W657" s="104"/>
      <c r="X657" s="104"/>
      <c r="Y657" s="104"/>
      <c r="Z657" s="104"/>
      <c r="AA657" s="231"/>
      <c r="AB657" s="231"/>
      <c r="AC657" s="231"/>
      <c r="AD657" s="231"/>
      <c r="AE657" s="231"/>
      <c r="AF657" s="231"/>
      <c r="AG657" s="231"/>
      <c r="AH657" s="231"/>
      <c r="AI657" s="231"/>
      <c r="AJ657" s="231"/>
      <c r="AK657" s="231"/>
      <c r="AL657" s="231"/>
      <c r="AM657" s="231"/>
      <c r="AN657" s="231"/>
      <c r="AO657" s="231"/>
      <c r="AP657" s="231"/>
      <c r="AQ657" s="231"/>
      <c r="AR657" s="231"/>
      <c r="AS657" s="231"/>
      <c r="AT657" s="231"/>
      <c r="AU657" s="231"/>
      <c r="AV657" s="231"/>
      <c r="AW657" s="231"/>
      <c r="AX657" s="231"/>
      <c r="AY657" s="231"/>
      <c r="AZ657" s="231"/>
      <c r="BA657" s="231"/>
      <c r="BB657" s="231"/>
      <c r="BC657" s="231"/>
      <c r="BD657" s="104"/>
      <c r="BE657" s="104"/>
      <c r="BF657" s="104"/>
      <c r="BG657" s="104"/>
      <c r="BH657" s="104"/>
      <c r="BI657" s="104"/>
      <c r="BJ657" s="104"/>
      <c r="BK657" s="12"/>
      <c r="BL657" s="12"/>
    </row>
    <row r="658" spans="1:64" hidden="1" outlineLevel="1">
      <c r="A658" s="9"/>
      <c r="B658" s="9"/>
      <c r="C658" s="44"/>
      <c r="D658" s="271">
        <f>Asset29</f>
        <v>0</v>
      </c>
      <c r="E658" s="9"/>
      <c r="F658" s="9"/>
      <c r="G658" s="207">
        <f>'Adjustment for previous period'!G684</f>
        <v>0</v>
      </c>
      <c r="H658" s="115"/>
      <c r="I658" s="115"/>
      <c r="J658" s="115"/>
      <c r="K658" s="115"/>
      <c r="L658" s="115"/>
      <c r="M658" s="115"/>
      <c r="N658" s="29"/>
      <c r="O658" s="29"/>
      <c r="P658" s="29"/>
      <c r="Q658" s="29"/>
      <c r="R658" s="29"/>
      <c r="S658" s="104"/>
      <c r="T658" s="104"/>
      <c r="U658" s="104"/>
      <c r="V658" s="104"/>
      <c r="W658" s="104"/>
      <c r="X658" s="104"/>
      <c r="Y658" s="104"/>
      <c r="Z658" s="104"/>
      <c r="AA658" s="231"/>
      <c r="AB658" s="231"/>
      <c r="AC658" s="231"/>
      <c r="AD658" s="231"/>
      <c r="AE658" s="231"/>
      <c r="AF658" s="231"/>
      <c r="AG658" s="231"/>
      <c r="AH658" s="231"/>
      <c r="AI658" s="231"/>
      <c r="AJ658" s="231"/>
      <c r="AK658" s="231"/>
      <c r="AL658" s="231"/>
      <c r="AM658" s="231"/>
      <c r="AN658" s="231"/>
      <c r="AO658" s="231"/>
      <c r="AP658" s="231"/>
      <c r="AQ658" s="231"/>
      <c r="AR658" s="231"/>
      <c r="AS658" s="231"/>
      <c r="AT658" s="231"/>
      <c r="AU658" s="231"/>
      <c r="AV658" s="231"/>
      <c r="AW658" s="231"/>
      <c r="AX658" s="231"/>
      <c r="AY658" s="231"/>
      <c r="AZ658" s="231"/>
      <c r="BA658" s="231"/>
      <c r="BB658" s="231"/>
      <c r="BC658" s="231"/>
      <c r="BD658" s="104"/>
      <c r="BE658" s="104"/>
      <c r="BF658" s="104"/>
      <c r="BG658" s="104"/>
      <c r="BH658" s="104"/>
      <c r="BI658" s="104"/>
      <c r="BJ658" s="104"/>
      <c r="BK658" s="12"/>
      <c r="BL658" s="12"/>
    </row>
    <row r="659" spans="1:64" hidden="1" outlineLevel="1">
      <c r="A659" s="9"/>
      <c r="B659" s="9"/>
      <c r="C659" s="44"/>
      <c r="D659" s="271">
        <f>Asset30</f>
        <v>0</v>
      </c>
      <c r="E659" s="9"/>
      <c r="F659" s="9"/>
      <c r="G659" s="207">
        <f>'Adjustment for previous period'!G685</f>
        <v>0</v>
      </c>
      <c r="H659" s="115"/>
      <c r="I659" s="115"/>
      <c r="J659" s="115"/>
      <c r="K659" s="115"/>
      <c r="L659" s="115"/>
      <c r="M659" s="115"/>
      <c r="N659" s="29"/>
      <c r="O659" s="29"/>
      <c r="P659" s="29"/>
      <c r="Q659" s="29"/>
      <c r="R659" s="29"/>
      <c r="S659" s="104"/>
      <c r="T659" s="104"/>
      <c r="U659" s="104"/>
      <c r="V659" s="104"/>
      <c r="W659" s="104"/>
      <c r="X659" s="104"/>
      <c r="Y659" s="104"/>
      <c r="Z659" s="104"/>
      <c r="AA659" s="231"/>
      <c r="AB659" s="231"/>
      <c r="AC659" s="231"/>
      <c r="AD659" s="231"/>
      <c r="AE659" s="231"/>
      <c r="AF659" s="231"/>
      <c r="AG659" s="231"/>
      <c r="AH659" s="231"/>
      <c r="AI659" s="231"/>
      <c r="AJ659" s="231"/>
      <c r="AK659" s="231"/>
      <c r="AL659" s="231"/>
      <c r="AM659" s="231"/>
      <c r="AN659" s="231"/>
      <c r="AO659" s="231"/>
      <c r="AP659" s="231"/>
      <c r="AQ659" s="231"/>
      <c r="AR659" s="231"/>
      <c r="AS659" s="231"/>
      <c r="AT659" s="231"/>
      <c r="AU659" s="231"/>
      <c r="AV659" s="231"/>
      <c r="AW659" s="231"/>
      <c r="AX659" s="231"/>
      <c r="AY659" s="231"/>
      <c r="AZ659" s="231"/>
      <c r="BA659" s="231"/>
      <c r="BB659" s="231"/>
      <c r="BC659" s="231"/>
      <c r="BD659" s="104"/>
      <c r="BE659" s="104"/>
      <c r="BF659" s="104"/>
      <c r="BG659" s="104"/>
      <c r="BH659" s="104"/>
      <c r="BI659" s="104"/>
      <c r="BJ659" s="104"/>
      <c r="BK659" s="12"/>
      <c r="BL659" s="12"/>
    </row>
    <row r="660" spans="1:64" collapsed="1">
      <c r="A660" s="9"/>
      <c r="B660" s="9"/>
      <c r="C660" s="44"/>
      <c r="D660" s="131"/>
      <c r="E660" s="9"/>
      <c r="F660" s="9"/>
      <c r="G660" s="28"/>
      <c r="H660" s="115"/>
      <c r="I660" s="115"/>
      <c r="J660" s="115"/>
      <c r="K660" s="115"/>
      <c r="L660" s="115"/>
      <c r="M660" s="115"/>
      <c r="N660" s="29"/>
      <c r="O660" s="29"/>
      <c r="P660" s="29"/>
      <c r="Q660" s="29"/>
      <c r="R660" s="29"/>
      <c r="S660" s="104"/>
      <c r="T660" s="104"/>
      <c r="U660" s="104"/>
      <c r="V660" s="104"/>
      <c r="W660" s="104"/>
      <c r="X660" s="104"/>
      <c r="Y660" s="104"/>
      <c r="Z660" s="104"/>
      <c r="AA660" s="231"/>
      <c r="AB660" s="231"/>
      <c r="AC660" s="231"/>
      <c r="AD660" s="231"/>
      <c r="AE660" s="231"/>
      <c r="AF660" s="231"/>
      <c r="AG660" s="231"/>
      <c r="AH660" s="231"/>
      <c r="AI660" s="231"/>
      <c r="AJ660" s="231"/>
      <c r="AK660" s="231"/>
      <c r="AL660" s="231"/>
      <c r="AM660" s="231"/>
      <c r="AN660" s="231"/>
      <c r="AO660" s="231"/>
      <c r="AP660" s="231"/>
      <c r="AQ660" s="231"/>
      <c r="AR660" s="231"/>
      <c r="AS660" s="231"/>
      <c r="AT660" s="231"/>
      <c r="AU660" s="231"/>
      <c r="AV660" s="231"/>
      <c r="AW660" s="231"/>
      <c r="AX660" s="231"/>
      <c r="AY660" s="231"/>
      <c r="AZ660" s="231"/>
      <c r="BA660" s="231"/>
      <c r="BB660" s="231"/>
      <c r="BC660" s="231"/>
      <c r="BD660" s="104"/>
      <c r="BE660" s="104"/>
      <c r="BF660" s="104"/>
      <c r="BG660" s="104"/>
      <c r="BH660" s="104"/>
      <c r="BI660" s="104"/>
      <c r="BJ660" s="104"/>
      <c r="BK660" s="12"/>
      <c r="BL660" s="12"/>
    </row>
    <row r="661" spans="1:64">
      <c r="A661" s="9"/>
      <c r="B661" s="9"/>
      <c r="C661" s="472" t="s">
        <v>102</v>
      </c>
      <c r="D661" s="473"/>
      <c r="E661" s="474"/>
      <c r="F661" s="474"/>
      <c r="G661" s="475">
        <f>SUM(G662:G681)</f>
        <v>0</v>
      </c>
      <c r="H661" s="115"/>
      <c r="I661" s="115"/>
      <c r="J661" s="115"/>
      <c r="K661" s="115"/>
      <c r="L661" s="115"/>
      <c r="M661" s="115"/>
      <c r="N661" s="29"/>
      <c r="O661" s="29"/>
      <c r="P661" s="29"/>
      <c r="Q661" s="29"/>
      <c r="R661" s="29"/>
      <c r="S661" s="104"/>
      <c r="T661" s="104"/>
      <c r="U661" s="104"/>
      <c r="V661" s="104"/>
      <c r="W661" s="104"/>
      <c r="X661" s="104"/>
      <c r="Y661" s="104"/>
      <c r="Z661" s="104"/>
      <c r="AA661" s="104"/>
      <c r="AB661" s="231"/>
      <c r="AC661" s="231"/>
      <c r="AD661" s="231"/>
      <c r="AE661" s="231"/>
      <c r="AF661" s="231"/>
      <c r="AG661" s="231"/>
      <c r="AH661" s="231"/>
      <c r="AI661" s="231"/>
      <c r="AJ661" s="231"/>
      <c r="AK661" s="231"/>
      <c r="AL661" s="231"/>
      <c r="AM661" s="231"/>
      <c r="AN661" s="231"/>
      <c r="AO661" s="231"/>
      <c r="AP661" s="231"/>
      <c r="AQ661" s="231"/>
      <c r="AR661" s="231"/>
      <c r="AS661" s="231"/>
      <c r="AT661" s="231"/>
      <c r="AU661" s="231"/>
      <c r="AV661" s="231"/>
      <c r="AW661" s="231"/>
      <c r="AX661" s="231"/>
      <c r="AY661" s="231"/>
      <c r="AZ661" s="231"/>
      <c r="BA661" s="231"/>
      <c r="BB661" s="231"/>
      <c r="BC661" s="231"/>
      <c r="BD661" s="104"/>
      <c r="BE661" s="104"/>
      <c r="BF661" s="104"/>
      <c r="BG661" s="104"/>
      <c r="BH661" s="104"/>
      <c r="BI661" s="104"/>
      <c r="BJ661" s="104"/>
      <c r="BK661" s="12"/>
      <c r="BL661" s="12"/>
    </row>
    <row r="662" spans="1:64" hidden="1" outlineLevel="1">
      <c r="A662" s="9"/>
      <c r="B662" s="9"/>
      <c r="C662" s="44"/>
      <c r="D662" s="131" t="str">
        <f>Asset1</f>
        <v>Subtransmission</v>
      </c>
      <c r="E662" s="9"/>
      <c r="F662" s="9"/>
      <c r="G662" s="207">
        <f>Input!N7</f>
        <v>0</v>
      </c>
      <c r="H662" s="115"/>
      <c r="I662" s="115"/>
      <c r="J662" s="115"/>
      <c r="K662" s="115"/>
      <c r="L662" s="115"/>
      <c r="M662" s="115"/>
      <c r="N662" s="29"/>
      <c r="O662" s="29"/>
      <c r="P662" s="29"/>
      <c r="Q662" s="29"/>
      <c r="R662" s="29"/>
      <c r="S662" s="104"/>
      <c r="T662" s="104"/>
      <c r="U662" s="104"/>
      <c r="V662" s="104"/>
      <c r="W662" s="104"/>
      <c r="X662" s="104"/>
      <c r="Y662" s="104"/>
      <c r="Z662" s="104"/>
      <c r="AA662" s="104"/>
      <c r="AB662" s="231"/>
      <c r="AC662" s="231"/>
      <c r="AD662" s="231"/>
      <c r="AE662" s="231"/>
      <c r="AF662" s="231"/>
      <c r="AG662" s="231"/>
      <c r="AH662" s="231"/>
      <c r="AI662" s="231"/>
      <c r="AJ662" s="231"/>
      <c r="AK662" s="231"/>
      <c r="AL662" s="231"/>
      <c r="AM662" s="231"/>
      <c r="AN662" s="231"/>
      <c r="AO662" s="231"/>
      <c r="AP662" s="231"/>
      <c r="AQ662" s="231"/>
      <c r="AR662" s="231"/>
      <c r="AS662" s="231"/>
      <c r="AT662" s="231"/>
      <c r="AU662" s="231"/>
      <c r="AV662" s="231"/>
      <c r="AW662" s="231"/>
      <c r="AX662" s="231"/>
      <c r="AY662" s="231"/>
      <c r="AZ662" s="231"/>
      <c r="BA662" s="231"/>
      <c r="BB662" s="231"/>
      <c r="BC662" s="231"/>
      <c r="BD662" s="104"/>
      <c r="BE662" s="104"/>
      <c r="BF662" s="104"/>
      <c r="BG662" s="104"/>
      <c r="BH662" s="104"/>
      <c r="BI662" s="104"/>
      <c r="BJ662" s="104"/>
      <c r="BK662" s="12"/>
      <c r="BL662" s="12"/>
    </row>
    <row r="663" spans="1:64" hidden="1" outlineLevel="1">
      <c r="A663" s="9"/>
      <c r="B663" s="9"/>
      <c r="C663" s="44"/>
      <c r="D663" s="131" t="str">
        <f>Asset2</f>
        <v>Distribution system assets</v>
      </c>
      <c r="E663" s="9"/>
      <c r="F663" s="9"/>
      <c r="G663" s="207">
        <f>Input!N8</f>
        <v>0</v>
      </c>
      <c r="H663" s="115"/>
      <c r="I663" s="115"/>
      <c r="J663" s="115"/>
      <c r="K663" s="115"/>
      <c r="L663" s="115"/>
      <c r="M663" s="115"/>
      <c r="N663" s="29"/>
      <c r="O663" s="29"/>
      <c r="P663" s="29"/>
      <c r="Q663" s="29"/>
      <c r="R663" s="29"/>
      <c r="S663" s="104"/>
      <c r="T663" s="104"/>
      <c r="U663" s="104"/>
      <c r="V663" s="104"/>
      <c r="W663" s="104"/>
      <c r="X663" s="104"/>
      <c r="Y663" s="104"/>
      <c r="Z663" s="104"/>
      <c r="AA663" s="104"/>
      <c r="AB663" s="231"/>
      <c r="AC663" s="231"/>
      <c r="AD663" s="231"/>
      <c r="AE663" s="231"/>
      <c r="AF663" s="231"/>
      <c r="AG663" s="231"/>
      <c r="AH663" s="231"/>
      <c r="AI663" s="231"/>
      <c r="AJ663" s="231"/>
      <c r="AK663" s="231"/>
      <c r="AL663" s="231"/>
      <c r="AM663" s="231"/>
      <c r="AN663" s="231"/>
      <c r="AO663" s="231"/>
      <c r="AP663" s="231"/>
      <c r="AQ663" s="231"/>
      <c r="AR663" s="231"/>
      <c r="AS663" s="231"/>
      <c r="AT663" s="231"/>
      <c r="AU663" s="231"/>
      <c r="AV663" s="231"/>
      <c r="AW663" s="231"/>
      <c r="AX663" s="231"/>
      <c r="AY663" s="231"/>
      <c r="AZ663" s="231"/>
      <c r="BA663" s="231"/>
      <c r="BB663" s="231"/>
      <c r="BC663" s="231"/>
      <c r="BD663" s="104"/>
      <c r="BE663" s="104"/>
      <c r="BF663" s="104"/>
      <c r="BG663" s="104"/>
      <c r="BH663" s="104"/>
      <c r="BI663" s="104"/>
      <c r="BJ663" s="104"/>
      <c r="BK663" s="12"/>
      <c r="BL663" s="12"/>
    </row>
    <row r="664" spans="1:64" hidden="1" outlineLevel="1">
      <c r="A664" s="9"/>
      <c r="B664" s="9"/>
      <c r="C664" s="44"/>
      <c r="D664" s="131" t="str">
        <f>Asset3</f>
        <v>Standard metering</v>
      </c>
      <c r="E664" s="9"/>
      <c r="F664" s="9"/>
      <c r="G664" s="207">
        <f>Input!N9</f>
        <v>0</v>
      </c>
      <c r="H664" s="115"/>
      <c r="I664" s="115"/>
      <c r="J664" s="115"/>
      <c r="K664" s="115"/>
      <c r="L664" s="115"/>
      <c r="M664" s="115"/>
      <c r="N664" s="29"/>
      <c r="O664" s="29"/>
      <c r="P664" s="29"/>
      <c r="Q664" s="29"/>
      <c r="R664" s="29"/>
      <c r="S664" s="104"/>
      <c r="T664" s="104"/>
      <c r="U664" s="104"/>
      <c r="V664" s="104"/>
      <c r="W664" s="104"/>
      <c r="X664" s="104"/>
      <c r="Y664" s="104"/>
      <c r="Z664" s="104"/>
      <c r="AA664" s="104"/>
      <c r="AB664" s="231"/>
      <c r="AC664" s="231"/>
      <c r="AD664" s="231"/>
      <c r="AE664" s="231"/>
      <c r="AF664" s="231"/>
      <c r="AG664" s="231"/>
      <c r="AH664" s="231"/>
      <c r="AI664" s="231"/>
      <c r="AJ664" s="231"/>
      <c r="AK664" s="231"/>
      <c r="AL664" s="231"/>
      <c r="AM664" s="231"/>
      <c r="AN664" s="231"/>
      <c r="AO664" s="231"/>
      <c r="AP664" s="231"/>
      <c r="AQ664" s="231"/>
      <c r="AR664" s="231"/>
      <c r="AS664" s="231"/>
      <c r="AT664" s="231"/>
      <c r="AU664" s="231"/>
      <c r="AV664" s="231"/>
      <c r="AW664" s="231"/>
      <c r="AX664" s="231"/>
      <c r="AY664" s="231"/>
      <c r="AZ664" s="231"/>
      <c r="BA664" s="231"/>
      <c r="BB664" s="231"/>
      <c r="BC664" s="231"/>
      <c r="BD664" s="104"/>
      <c r="BE664" s="104"/>
      <c r="BF664" s="104"/>
      <c r="BG664" s="104"/>
      <c r="BH664" s="104"/>
      <c r="BI664" s="104"/>
      <c r="BJ664" s="104"/>
      <c r="BK664" s="12"/>
      <c r="BL664" s="12"/>
    </row>
    <row r="665" spans="1:64" hidden="1" outlineLevel="1">
      <c r="A665" s="9"/>
      <c r="B665" s="9"/>
      <c r="C665" s="44"/>
      <c r="D665" s="131" t="str">
        <f>Asset4</f>
        <v>Public lighting</v>
      </c>
      <c r="E665" s="9"/>
      <c r="F665" s="9"/>
      <c r="G665" s="207">
        <f>Input!N10</f>
        <v>0</v>
      </c>
      <c r="H665" s="115"/>
      <c r="I665" s="115"/>
      <c r="J665" s="115"/>
      <c r="K665" s="115"/>
      <c r="L665" s="115"/>
      <c r="M665" s="115"/>
      <c r="N665" s="29"/>
      <c r="O665" s="29"/>
      <c r="P665" s="29"/>
      <c r="Q665" s="29"/>
      <c r="R665" s="29"/>
      <c r="S665" s="104"/>
      <c r="T665" s="104"/>
      <c r="U665" s="104"/>
      <c r="V665" s="104"/>
      <c r="W665" s="104"/>
      <c r="X665" s="104"/>
      <c r="Y665" s="104"/>
      <c r="Z665" s="104"/>
      <c r="AA665" s="104"/>
      <c r="AB665" s="231"/>
      <c r="AC665" s="231"/>
      <c r="AD665" s="231"/>
      <c r="AE665" s="231"/>
      <c r="AF665" s="231"/>
      <c r="AG665" s="231"/>
      <c r="AH665" s="231"/>
      <c r="AI665" s="231"/>
      <c r="AJ665" s="231"/>
      <c r="AK665" s="231"/>
      <c r="AL665" s="231"/>
      <c r="AM665" s="231"/>
      <c r="AN665" s="231"/>
      <c r="AO665" s="231"/>
      <c r="AP665" s="231"/>
      <c r="AQ665" s="231"/>
      <c r="AR665" s="231"/>
      <c r="AS665" s="231"/>
      <c r="AT665" s="231"/>
      <c r="AU665" s="231"/>
      <c r="AV665" s="231"/>
      <c r="AW665" s="231"/>
      <c r="AX665" s="231"/>
      <c r="AY665" s="231"/>
      <c r="AZ665" s="231"/>
      <c r="BA665" s="231"/>
      <c r="BB665" s="231"/>
      <c r="BC665" s="231"/>
      <c r="BD665" s="104"/>
      <c r="BE665" s="104"/>
      <c r="BF665" s="104"/>
      <c r="BG665" s="104"/>
      <c r="BH665" s="104"/>
      <c r="BI665" s="104"/>
      <c r="BJ665" s="104"/>
      <c r="BK665" s="12"/>
      <c r="BL665" s="12"/>
    </row>
    <row r="666" spans="1:64" hidden="1" outlineLevel="1">
      <c r="A666" s="9"/>
      <c r="B666" s="9"/>
      <c r="C666" s="44"/>
      <c r="D666" s="131" t="str">
        <f>Asset5</f>
        <v>SCADA/Network control</v>
      </c>
      <c r="E666" s="9"/>
      <c r="F666" s="9"/>
      <c r="G666" s="207">
        <f>Input!N11</f>
        <v>0</v>
      </c>
      <c r="H666" s="115"/>
      <c r="I666" s="115"/>
      <c r="J666" s="115"/>
      <c r="K666" s="115"/>
      <c r="L666" s="115"/>
      <c r="M666" s="115"/>
      <c r="N666" s="29"/>
      <c r="O666" s="29"/>
      <c r="P666" s="29"/>
      <c r="Q666" s="29"/>
      <c r="R666" s="29"/>
      <c r="S666" s="104"/>
      <c r="T666" s="104"/>
      <c r="U666" s="104"/>
      <c r="V666" s="104"/>
      <c r="W666" s="104"/>
      <c r="X666" s="104"/>
      <c r="Y666" s="104"/>
      <c r="Z666" s="104"/>
      <c r="AA666" s="104"/>
      <c r="AB666" s="231"/>
      <c r="AC666" s="231"/>
      <c r="AD666" s="231"/>
      <c r="AE666" s="231"/>
      <c r="AF666" s="231"/>
      <c r="AG666" s="231"/>
      <c r="AH666" s="231"/>
      <c r="AI666" s="231"/>
      <c r="AJ666" s="231"/>
      <c r="AK666" s="231"/>
      <c r="AL666" s="231"/>
      <c r="AM666" s="231"/>
      <c r="AN666" s="231"/>
      <c r="AO666" s="231"/>
      <c r="AP666" s="231"/>
      <c r="AQ666" s="231"/>
      <c r="AR666" s="231"/>
      <c r="AS666" s="231"/>
      <c r="AT666" s="231"/>
      <c r="AU666" s="231"/>
      <c r="AV666" s="231"/>
      <c r="AW666" s="231"/>
      <c r="AX666" s="231"/>
      <c r="AY666" s="231"/>
      <c r="AZ666" s="231"/>
      <c r="BA666" s="231"/>
      <c r="BB666" s="231"/>
      <c r="BC666" s="231"/>
      <c r="BD666" s="104"/>
      <c r="BE666" s="104"/>
      <c r="BF666" s="104"/>
      <c r="BG666" s="104"/>
      <c r="BH666" s="104"/>
      <c r="BI666" s="104"/>
      <c r="BJ666" s="104"/>
      <c r="BK666" s="12"/>
      <c r="BL666" s="12"/>
    </row>
    <row r="667" spans="1:64" hidden="1" outlineLevel="1">
      <c r="A667" s="9"/>
      <c r="B667" s="9"/>
      <c r="C667" s="44"/>
      <c r="D667" s="131" t="str">
        <f>Asset6</f>
        <v>Non-network general assets - IT</v>
      </c>
      <c r="E667" s="9"/>
      <c r="F667" s="9"/>
      <c r="G667" s="207">
        <f>Input!N12</f>
        <v>0</v>
      </c>
      <c r="H667" s="115"/>
      <c r="I667" s="115"/>
      <c r="J667" s="115"/>
      <c r="K667" s="115"/>
      <c r="L667" s="115"/>
      <c r="M667" s="115"/>
      <c r="N667" s="29"/>
      <c r="O667" s="29"/>
      <c r="P667" s="29"/>
      <c r="Q667" s="29"/>
      <c r="R667" s="29"/>
      <c r="S667" s="104"/>
      <c r="T667" s="104"/>
      <c r="U667" s="104"/>
      <c r="V667" s="104"/>
      <c r="W667" s="104"/>
      <c r="X667" s="104"/>
      <c r="Y667" s="104"/>
      <c r="Z667" s="104"/>
      <c r="AA667" s="104"/>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4"/>
      <c r="BE667" s="104"/>
      <c r="BF667" s="104"/>
      <c r="BG667" s="104"/>
      <c r="BH667" s="104"/>
      <c r="BI667" s="104"/>
      <c r="BJ667" s="104"/>
      <c r="BK667" s="12"/>
      <c r="BL667" s="12"/>
    </row>
    <row r="668" spans="1:64" hidden="1" outlineLevel="1">
      <c r="A668" s="9"/>
      <c r="B668" s="9"/>
      <c r="C668" s="44"/>
      <c r="D668" s="131" t="str">
        <f>Asset7</f>
        <v>Non-network general assets - Other</v>
      </c>
      <c r="E668" s="9"/>
      <c r="F668" s="9"/>
      <c r="G668" s="207">
        <f>Input!N13</f>
        <v>0</v>
      </c>
      <c r="H668" s="115"/>
      <c r="I668" s="115"/>
      <c r="J668" s="115"/>
      <c r="K668" s="115"/>
      <c r="L668" s="115"/>
      <c r="M668" s="115"/>
      <c r="N668" s="29"/>
      <c r="O668" s="29"/>
      <c r="P668" s="29"/>
      <c r="Q668" s="29"/>
      <c r="R668" s="29"/>
      <c r="S668" s="104"/>
      <c r="T668" s="104"/>
      <c r="U668" s="104"/>
      <c r="V668" s="104"/>
      <c r="W668" s="104"/>
      <c r="X668" s="104"/>
      <c r="Y668" s="104"/>
      <c r="Z668" s="104"/>
      <c r="AA668" s="104"/>
      <c r="AB668" s="231"/>
      <c r="AC668" s="231"/>
      <c r="AD668" s="231"/>
      <c r="AE668" s="231"/>
      <c r="AF668" s="231"/>
      <c r="AG668" s="231"/>
      <c r="AH668" s="231"/>
      <c r="AI668" s="231"/>
      <c r="AJ668" s="231"/>
      <c r="AK668" s="231"/>
      <c r="AL668" s="231"/>
      <c r="AM668" s="231"/>
      <c r="AN668" s="231"/>
      <c r="AO668" s="231"/>
      <c r="AP668" s="231"/>
      <c r="AQ668" s="231"/>
      <c r="AR668" s="231"/>
      <c r="AS668" s="231"/>
      <c r="AT668" s="231"/>
      <c r="AU668" s="231"/>
      <c r="AV668" s="231"/>
      <c r="AW668" s="231"/>
      <c r="AX668" s="231"/>
      <c r="AY668" s="231"/>
      <c r="AZ668" s="231"/>
      <c r="BA668" s="231"/>
      <c r="BB668" s="231"/>
      <c r="BC668" s="231"/>
      <c r="BD668" s="104"/>
      <c r="BE668" s="104"/>
      <c r="BF668" s="104"/>
      <c r="BG668" s="104"/>
      <c r="BH668" s="104"/>
      <c r="BI668" s="104"/>
      <c r="BJ668" s="104"/>
      <c r="BK668" s="12"/>
      <c r="BL668" s="12"/>
    </row>
    <row r="669" spans="1:64" hidden="1" outlineLevel="1">
      <c r="A669" s="9"/>
      <c r="B669" s="9"/>
      <c r="C669" s="44"/>
      <c r="D669" s="131" t="str">
        <f>Asset8</f>
        <v>Equity Raising Costs</v>
      </c>
      <c r="E669" s="9"/>
      <c r="F669" s="9"/>
      <c r="G669" s="207">
        <f>Input!N14</f>
        <v>0</v>
      </c>
      <c r="H669" s="115"/>
      <c r="I669" s="115"/>
      <c r="J669" s="115"/>
      <c r="K669" s="115"/>
      <c r="L669" s="115"/>
      <c r="M669" s="115"/>
      <c r="N669" s="29"/>
      <c r="O669" s="29"/>
      <c r="P669" s="29"/>
      <c r="Q669" s="29"/>
      <c r="R669" s="29"/>
      <c r="S669" s="104"/>
      <c r="T669" s="104"/>
      <c r="U669" s="104"/>
      <c r="V669" s="104"/>
      <c r="W669" s="104"/>
      <c r="X669" s="104"/>
      <c r="Y669" s="104"/>
      <c r="Z669" s="104"/>
      <c r="AA669" s="104"/>
      <c r="AB669" s="231"/>
      <c r="AC669" s="231"/>
      <c r="AD669" s="231"/>
      <c r="AE669" s="231"/>
      <c r="AF669" s="231"/>
      <c r="AG669" s="231"/>
      <c r="AH669" s="231"/>
      <c r="AI669" s="231"/>
      <c r="AJ669" s="231"/>
      <c r="AK669" s="231"/>
      <c r="AL669" s="231"/>
      <c r="AM669" s="231"/>
      <c r="AN669" s="231"/>
      <c r="AO669" s="231"/>
      <c r="AP669" s="231"/>
      <c r="AQ669" s="231"/>
      <c r="AR669" s="231"/>
      <c r="AS669" s="231"/>
      <c r="AT669" s="231"/>
      <c r="AU669" s="231"/>
      <c r="AV669" s="231"/>
      <c r="AW669" s="231"/>
      <c r="AX669" s="231"/>
      <c r="AY669" s="231"/>
      <c r="AZ669" s="231"/>
      <c r="BA669" s="231"/>
      <c r="BB669" s="231"/>
      <c r="BC669" s="231"/>
      <c r="BD669" s="104"/>
      <c r="BE669" s="104"/>
      <c r="BF669" s="104"/>
      <c r="BG669" s="104"/>
      <c r="BH669" s="104"/>
      <c r="BI669" s="104"/>
      <c r="BJ669" s="104"/>
      <c r="BK669" s="12"/>
      <c r="BL669" s="12"/>
    </row>
    <row r="670" spans="1:64" hidden="1" outlineLevel="1">
      <c r="A670" s="9"/>
      <c r="B670" s="9"/>
      <c r="C670" s="44"/>
      <c r="D670" s="131">
        <f>Asset9</f>
        <v>0</v>
      </c>
      <c r="E670" s="9"/>
      <c r="F670" s="9"/>
      <c r="G670" s="207">
        <f>Input!N15</f>
        <v>0</v>
      </c>
      <c r="H670" s="115"/>
      <c r="I670" s="115"/>
      <c r="J670" s="115"/>
      <c r="K670" s="115"/>
      <c r="L670" s="115"/>
      <c r="M670" s="115"/>
      <c r="N670" s="29"/>
      <c r="O670" s="29"/>
      <c r="P670" s="29"/>
      <c r="Q670" s="29"/>
      <c r="R670" s="29"/>
      <c r="S670" s="104"/>
      <c r="T670" s="104"/>
      <c r="U670" s="104"/>
      <c r="V670" s="104"/>
      <c r="W670" s="104"/>
      <c r="X670" s="104"/>
      <c r="Y670" s="104"/>
      <c r="Z670" s="104"/>
      <c r="AA670" s="104"/>
      <c r="AB670" s="231"/>
      <c r="AC670" s="231"/>
      <c r="AD670" s="231"/>
      <c r="AE670" s="231"/>
      <c r="AF670" s="231"/>
      <c r="AG670" s="231"/>
      <c r="AH670" s="231"/>
      <c r="AI670" s="231"/>
      <c r="AJ670" s="231"/>
      <c r="AK670" s="231"/>
      <c r="AL670" s="231"/>
      <c r="AM670" s="231"/>
      <c r="AN670" s="231"/>
      <c r="AO670" s="231"/>
      <c r="AP670" s="231"/>
      <c r="AQ670" s="231"/>
      <c r="AR670" s="231"/>
      <c r="AS670" s="231"/>
      <c r="AT670" s="231"/>
      <c r="AU670" s="231"/>
      <c r="AV670" s="231"/>
      <c r="AW670" s="231"/>
      <c r="AX670" s="231"/>
      <c r="AY670" s="231"/>
      <c r="AZ670" s="231"/>
      <c r="BA670" s="231"/>
      <c r="BB670" s="231"/>
      <c r="BC670" s="231"/>
      <c r="BD670" s="104"/>
      <c r="BE670" s="104"/>
      <c r="BF670" s="104"/>
      <c r="BG670" s="104"/>
      <c r="BH670" s="104"/>
      <c r="BI670" s="104"/>
      <c r="BJ670" s="104"/>
      <c r="BK670" s="12"/>
      <c r="BL670" s="12"/>
    </row>
    <row r="671" spans="1:64" hidden="1" outlineLevel="1">
      <c r="A671" s="9"/>
      <c r="B671" s="9"/>
      <c r="C671" s="44"/>
      <c r="D671" s="131">
        <f>Asset10</f>
        <v>0</v>
      </c>
      <c r="E671" s="9"/>
      <c r="F671" s="9"/>
      <c r="G671" s="207">
        <f>Input!N16</f>
        <v>0</v>
      </c>
      <c r="H671" s="115"/>
      <c r="I671" s="115"/>
      <c r="J671" s="115"/>
      <c r="K671" s="115"/>
      <c r="L671" s="115"/>
      <c r="M671" s="115"/>
      <c r="N671" s="29"/>
      <c r="O671" s="29"/>
      <c r="P671" s="29"/>
      <c r="Q671" s="29"/>
      <c r="R671" s="29"/>
      <c r="S671" s="104"/>
      <c r="T671" s="104"/>
      <c r="U671" s="104"/>
      <c r="V671" s="104"/>
      <c r="W671" s="104"/>
      <c r="X671" s="104"/>
      <c r="Y671" s="104"/>
      <c r="Z671" s="104"/>
      <c r="AA671" s="104"/>
      <c r="AB671" s="231"/>
      <c r="AC671" s="231"/>
      <c r="AD671" s="231"/>
      <c r="AE671" s="231"/>
      <c r="AF671" s="231"/>
      <c r="AG671" s="231"/>
      <c r="AH671" s="231"/>
      <c r="AI671" s="231"/>
      <c r="AJ671" s="231"/>
      <c r="AK671" s="231"/>
      <c r="AL671" s="231"/>
      <c r="AM671" s="231"/>
      <c r="AN671" s="231"/>
      <c r="AO671" s="231"/>
      <c r="AP671" s="231"/>
      <c r="AQ671" s="231"/>
      <c r="AR671" s="231"/>
      <c r="AS671" s="231"/>
      <c r="AT671" s="231"/>
      <c r="AU671" s="231"/>
      <c r="AV671" s="231"/>
      <c r="AW671" s="231"/>
      <c r="AX671" s="231"/>
      <c r="AY671" s="231"/>
      <c r="AZ671" s="231"/>
      <c r="BA671" s="231"/>
      <c r="BB671" s="231"/>
      <c r="BC671" s="231"/>
      <c r="BD671" s="104"/>
      <c r="BE671" s="104"/>
      <c r="BF671" s="104"/>
      <c r="BG671" s="104"/>
      <c r="BH671" s="104"/>
      <c r="BI671" s="104"/>
      <c r="BJ671" s="104"/>
      <c r="BK671" s="12"/>
      <c r="BL671" s="12"/>
    </row>
    <row r="672" spans="1:64" hidden="1" outlineLevel="1">
      <c r="A672" s="9"/>
      <c r="B672" s="9"/>
      <c r="C672" s="44"/>
      <c r="D672" s="131">
        <f>Asset11</f>
        <v>0</v>
      </c>
      <c r="E672" s="9"/>
      <c r="F672" s="9"/>
      <c r="G672" s="207">
        <f>Input!N17</f>
        <v>0</v>
      </c>
      <c r="H672" s="115"/>
      <c r="I672" s="115"/>
      <c r="J672" s="115"/>
      <c r="K672" s="115"/>
      <c r="L672" s="115"/>
      <c r="M672" s="115"/>
      <c r="N672" s="29"/>
      <c r="O672" s="29"/>
      <c r="P672" s="29"/>
      <c r="Q672" s="29"/>
      <c r="R672" s="29"/>
      <c r="S672" s="104"/>
      <c r="T672" s="104"/>
      <c r="U672" s="104"/>
      <c r="V672" s="104"/>
      <c r="W672" s="104"/>
      <c r="X672" s="104"/>
      <c r="Y672" s="104"/>
      <c r="Z672" s="104"/>
      <c r="AA672" s="104"/>
      <c r="AB672" s="231"/>
      <c r="AC672" s="231"/>
      <c r="AD672" s="231"/>
      <c r="AE672" s="231"/>
      <c r="AF672" s="231"/>
      <c r="AG672" s="231"/>
      <c r="AH672" s="231"/>
      <c r="AI672" s="231"/>
      <c r="AJ672" s="231"/>
      <c r="AK672" s="231"/>
      <c r="AL672" s="231"/>
      <c r="AM672" s="231"/>
      <c r="AN672" s="231"/>
      <c r="AO672" s="231"/>
      <c r="AP672" s="231"/>
      <c r="AQ672" s="231"/>
      <c r="AR672" s="231"/>
      <c r="AS672" s="231"/>
      <c r="AT672" s="231"/>
      <c r="AU672" s="231"/>
      <c r="AV672" s="231"/>
      <c r="AW672" s="231"/>
      <c r="AX672" s="231"/>
      <c r="AY672" s="231"/>
      <c r="AZ672" s="231"/>
      <c r="BA672" s="231"/>
      <c r="BB672" s="231"/>
      <c r="BC672" s="231"/>
      <c r="BD672" s="104"/>
      <c r="BE672" s="104"/>
      <c r="BF672" s="104"/>
      <c r="BG672" s="104"/>
      <c r="BH672" s="104"/>
      <c r="BI672" s="104"/>
      <c r="BJ672" s="104"/>
      <c r="BK672" s="12"/>
      <c r="BL672" s="12"/>
    </row>
    <row r="673" spans="1:64" hidden="1" outlineLevel="1">
      <c r="A673" s="9"/>
      <c r="B673" s="9"/>
      <c r="C673" s="44"/>
      <c r="D673" s="131">
        <f>Asset12</f>
        <v>0</v>
      </c>
      <c r="E673" s="9"/>
      <c r="F673" s="9"/>
      <c r="G673" s="207">
        <f>Input!N18</f>
        <v>0</v>
      </c>
      <c r="H673" s="115"/>
      <c r="I673" s="115"/>
      <c r="J673" s="115"/>
      <c r="K673" s="115"/>
      <c r="L673" s="115"/>
      <c r="M673" s="115"/>
      <c r="N673" s="29"/>
      <c r="O673" s="29"/>
      <c r="P673" s="29"/>
      <c r="Q673" s="29"/>
      <c r="R673" s="29"/>
      <c r="S673" s="104"/>
      <c r="T673" s="104"/>
      <c r="U673" s="104"/>
      <c r="V673" s="104"/>
      <c r="W673" s="104"/>
      <c r="X673" s="104"/>
      <c r="Y673" s="104"/>
      <c r="Z673" s="104"/>
      <c r="AA673" s="104"/>
      <c r="AB673" s="231"/>
      <c r="AC673" s="231"/>
      <c r="AD673" s="231"/>
      <c r="AE673" s="231"/>
      <c r="AF673" s="231"/>
      <c r="AG673" s="231"/>
      <c r="AH673" s="231"/>
      <c r="AI673" s="231"/>
      <c r="AJ673" s="231"/>
      <c r="AK673" s="231"/>
      <c r="AL673" s="231"/>
      <c r="AM673" s="231"/>
      <c r="AN673" s="231"/>
      <c r="AO673" s="231"/>
      <c r="AP673" s="231"/>
      <c r="AQ673" s="231"/>
      <c r="AR673" s="231"/>
      <c r="AS673" s="231"/>
      <c r="AT673" s="231"/>
      <c r="AU673" s="231"/>
      <c r="AV673" s="231"/>
      <c r="AW673" s="231"/>
      <c r="AX673" s="231"/>
      <c r="AY673" s="231"/>
      <c r="AZ673" s="231"/>
      <c r="BA673" s="231"/>
      <c r="BB673" s="231"/>
      <c r="BC673" s="231"/>
      <c r="BD673" s="104"/>
      <c r="BE673" s="104"/>
      <c r="BF673" s="104"/>
      <c r="BG673" s="104"/>
      <c r="BH673" s="104"/>
      <c r="BI673" s="104"/>
      <c r="BJ673" s="104"/>
      <c r="BK673" s="12"/>
      <c r="BL673" s="12"/>
    </row>
    <row r="674" spans="1:64" hidden="1" outlineLevel="1">
      <c r="A674" s="9"/>
      <c r="B674" s="9"/>
      <c r="C674" s="44"/>
      <c r="D674" s="131">
        <f>Asset13</f>
        <v>0</v>
      </c>
      <c r="E674" s="9"/>
      <c r="F674" s="9"/>
      <c r="G674" s="207">
        <f>Input!N19</f>
        <v>0</v>
      </c>
      <c r="H674" s="115"/>
      <c r="I674" s="115"/>
      <c r="J674" s="115"/>
      <c r="K674" s="115"/>
      <c r="L674" s="115"/>
      <c r="M674" s="115"/>
      <c r="N674" s="29"/>
      <c r="O674" s="29"/>
      <c r="P674" s="29"/>
      <c r="Q674" s="29"/>
      <c r="R674" s="29"/>
      <c r="S674" s="104"/>
      <c r="T674" s="104"/>
      <c r="U674" s="104"/>
      <c r="V674" s="104"/>
      <c r="W674" s="104"/>
      <c r="X674" s="104"/>
      <c r="Y674" s="104"/>
      <c r="Z674" s="104"/>
      <c r="AA674" s="104"/>
      <c r="AB674" s="231"/>
      <c r="AC674" s="231"/>
      <c r="AD674" s="231"/>
      <c r="AE674" s="231"/>
      <c r="AF674" s="231"/>
      <c r="AG674" s="231"/>
      <c r="AH674" s="231"/>
      <c r="AI674" s="231"/>
      <c r="AJ674" s="231"/>
      <c r="AK674" s="231"/>
      <c r="AL674" s="231"/>
      <c r="AM674" s="231"/>
      <c r="AN674" s="231"/>
      <c r="AO674" s="231"/>
      <c r="AP674" s="231"/>
      <c r="AQ674" s="231"/>
      <c r="AR674" s="231"/>
      <c r="AS674" s="231"/>
      <c r="AT674" s="231"/>
      <c r="AU674" s="231"/>
      <c r="AV674" s="231"/>
      <c r="AW674" s="231"/>
      <c r="AX674" s="231"/>
      <c r="AY674" s="231"/>
      <c r="AZ674" s="231"/>
      <c r="BA674" s="231"/>
      <c r="BB674" s="231"/>
      <c r="BC674" s="231"/>
      <c r="BD674" s="104"/>
      <c r="BE674" s="104"/>
      <c r="BF674" s="104"/>
      <c r="BG674" s="104"/>
      <c r="BH674" s="104"/>
      <c r="BI674" s="104"/>
      <c r="BJ674" s="104"/>
      <c r="BK674" s="12"/>
      <c r="BL674" s="12"/>
    </row>
    <row r="675" spans="1:64" hidden="1" outlineLevel="1">
      <c r="A675" s="9"/>
      <c r="B675" s="9"/>
      <c r="C675" s="44"/>
      <c r="D675" s="131">
        <f>Asset14</f>
        <v>0</v>
      </c>
      <c r="E675" s="9"/>
      <c r="F675" s="9"/>
      <c r="G675" s="207">
        <f>Input!N20</f>
        <v>0</v>
      </c>
      <c r="H675" s="115"/>
      <c r="I675" s="115"/>
      <c r="J675" s="115"/>
      <c r="K675" s="115"/>
      <c r="L675" s="115"/>
      <c r="M675" s="115"/>
      <c r="N675" s="29"/>
      <c r="O675" s="29"/>
      <c r="P675" s="29"/>
      <c r="Q675" s="29"/>
      <c r="R675" s="29"/>
      <c r="S675" s="104"/>
      <c r="T675" s="104"/>
      <c r="U675" s="104"/>
      <c r="V675" s="104"/>
      <c r="W675" s="104"/>
      <c r="X675" s="104"/>
      <c r="Y675" s="104"/>
      <c r="Z675" s="104"/>
      <c r="AA675" s="104"/>
      <c r="AB675" s="231"/>
      <c r="AC675" s="231"/>
      <c r="AD675" s="231"/>
      <c r="AE675" s="231"/>
      <c r="AF675" s="231"/>
      <c r="AG675" s="231"/>
      <c r="AH675" s="231"/>
      <c r="AI675" s="231"/>
      <c r="AJ675" s="231"/>
      <c r="AK675" s="231"/>
      <c r="AL675" s="231"/>
      <c r="AM675" s="231"/>
      <c r="AN675" s="231"/>
      <c r="AO675" s="231"/>
      <c r="AP675" s="231"/>
      <c r="AQ675" s="231"/>
      <c r="AR675" s="231"/>
      <c r="AS675" s="231"/>
      <c r="AT675" s="231"/>
      <c r="AU675" s="231"/>
      <c r="AV675" s="231"/>
      <c r="AW675" s="231"/>
      <c r="AX675" s="231"/>
      <c r="AY675" s="231"/>
      <c r="AZ675" s="231"/>
      <c r="BA675" s="231"/>
      <c r="BB675" s="231"/>
      <c r="BC675" s="231"/>
      <c r="BD675" s="104"/>
      <c r="BE675" s="104"/>
      <c r="BF675" s="104"/>
      <c r="BG675" s="104"/>
      <c r="BH675" s="104"/>
      <c r="BI675" s="104"/>
      <c r="BJ675" s="104"/>
      <c r="BK675" s="12"/>
      <c r="BL675" s="12"/>
    </row>
    <row r="676" spans="1:64" hidden="1" outlineLevel="1">
      <c r="A676" s="9"/>
      <c r="B676" s="9"/>
      <c r="C676" s="44"/>
      <c r="D676" s="131">
        <f>Asset15</f>
        <v>0</v>
      </c>
      <c r="E676" s="9"/>
      <c r="F676" s="9"/>
      <c r="G676" s="207">
        <f>Input!N21</f>
        <v>0</v>
      </c>
      <c r="H676" s="115"/>
      <c r="I676" s="115"/>
      <c r="J676" s="115"/>
      <c r="K676" s="115"/>
      <c r="L676" s="115"/>
      <c r="M676" s="115"/>
      <c r="N676" s="29"/>
      <c r="O676" s="29"/>
      <c r="P676" s="29"/>
      <c r="Q676" s="29"/>
      <c r="R676" s="29"/>
      <c r="S676" s="104"/>
      <c r="T676" s="104"/>
      <c r="U676" s="104"/>
      <c r="V676" s="104"/>
      <c r="W676" s="104"/>
      <c r="X676" s="104"/>
      <c r="Y676" s="104"/>
      <c r="Z676" s="104"/>
      <c r="AA676" s="104"/>
      <c r="AB676" s="231"/>
      <c r="AC676" s="231"/>
      <c r="AD676" s="231"/>
      <c r="AE676" s="231"/>
      <c r="AF676" s="231"/>
      <c r="AG676" s="231"/>
      <c r="AH676" s="231"/>
      <c r="AI676" s="231"/>
      <c r="AJ676" s="231"/>
      <c r="AK676" s="231"/>
      <c r="AL676" s="231"/>
      <c r="AM676" s="231"/>
      <c r="AN676" s="231"/>
      <c r="AO676" s="231"/>
      <c r="AP676" s="231"/>
      <c r="AQ676" s="231"/>
      <c r="AR676" s="231"/>
      <c r="AS676" s="231"/>
      <c r="AT676" s="231"/>
      <c r="AU676" s="231"/>
      <c r="AV676" s="231"/>
      <c r="AW676" s="231"/>
      <c r="AX676" s="231"/>
      <c r="AY676" s="231"/>
      <c r="AZ676" s="231"/>
      <c r="BA676" s="231"/>
      <c r="BB676" s="231"/>
      <c r="BC676" s="231"/>
      <c r="BD676" s="104"/>
      <c r="BE676" s="104"/>
      <c r="BF676" s="104"/>
      <c r="BG676" s="104"/>
      <c r="BH676" s="104"/>
      <c r="BI676" s="104"/>
      <c r="BJ676" s="104"/>
      <c r="BK676" s="12"/>
      <c r="BL676" s="12"/>
    </row>
    <row r="677" spans="1:64" hidden="1" outlineLevel="1">
      <c r="A677" s="9"/>
      <c r="B677" s="9"/>
      <c r="C677" s="44"/>
      <c r="D677" s="131">
        <f>Asset16</f>
        <v>0</v>
      </c>
      <c r="E677" s="9"/>
      <c r="F677" s="9"/>
      <c r="G677" s="207">
        <f>Input!N22</f>
        <v>0</v>
      </c>
      <c r="H677" s="115"/>
      <c r="I677" s="115"/>
      <c r="J677" s="115"/>
      <c r="K677" s="115"/>
      <c r="L677" s="115"/>
      <c r="M677" s="115"/>
      <c r="N677" s="29"/>
      <c r="O677" s="29"/>
      <c r="P677" s="29"/>
      <c r="Q677" s="29"/>
      <c r="R677" s="29"/>
      <c r="S677" s="104"/>
      <c r="T677" s="104"/>
      <c r="U677" s="104"/>
      <c r="V677" s="104"/>
      <c r="W677" s="104"/>
      <c r="X677" s="104"/>
      <c r="Y677" s="104"/>
      <c r="Z677" s="104"/>
      <c r="AA677" s="104"/>
      <c r="AB677" s="231"/>
      <c r="AC677" s="231"/>
      <c r="AD677" s="231"/>
      <c r="AE677" s="231"/>
      <c r="AF677" s="231"/>
      <c r="AG677" s="231"/>
      <c r="AH677" s="231"/>
      <c r="AI677" s="231"/>
      <c r="AJ677" s="231"/>
      <c r="AK677" s="231"/>
      <c r="AL677" s="231"/>
      <c r="AM677" s="231"/>
      <c r="AN677" s="231"/>
      <c r="AO677" s="231"/>
      <c r="AP677" s="231"/>
      <c r="AQ677" s="231"/>
      <c r="AR677" s="231"/>
      <c r="AS677" s="231"/>
      <c r="AT677" s="231"/>
      <c r="AU677" s="231"/>
      <c r="AV677" s="231"/>
      <c r="AW677" s="231"/>
      <c r="AX677" s="231"/>
      <c r="AY677" s="231"/>
      <c r="AZ677" s="231"/>
      <c r="BA677" s="231"/>
      <c r="BB677" s="231"/>
      <c r="BC677" s="231"/>
      <c r="BD677" s="104"/>
      <c r="BE677" s="104"/>
      <c r="BF677" s="104"/>
      <c r="BG677" s="104"/>
      <c r="BH677" s="104"/>
      <c r="BI677" s="104"/>
      <c r="BJ677" s="104"/>
      <c r="BK677" s="12"/>
      <c r="BL677" s="12"/>
    </row>
    <row r="678" spans="1:64" hidden="1" outlineLevel="1">
      <c r="A678" s="9"/>
      <c r="B678" s="9"/>
      <c r="C678" s="44"/>
      <c r="D678" s="131">
        <f>Asset17</f>
        <v>0</v>
      </c>
      <c r="E678" s="9"/>
      <c r="F678" s="9"/>
      <c r="G678" s="207">
        <f>Input!N23</f>
        <v>0</v>
      </c>
      <c r="H678" s="115"/>
      <c r="I678" s="115"/>
      <c r="J678" s="115"/>
      <c r="K678" s="115"/>
      <c r="L678" s="115"/>
      <c r="M678" s="115"/>
      <c r="N678" s="29"/>
      <c r="O678" s="29"/>
      <c r="P678" s="29"/>
      <c r="Q678" s="29"/>
      <c r="R678" s="29"/>
      <c r="S678" s="104"/>
      <c r="T678" s="104"/>
      <c r="U678" s="104"/>
      <c r="V678" s="104"/>
      <c r="W678" s="104"/>
      <c r="X678" s="104"/>
      <c r="Y678" s="104"/>
      <c r="Z678" s="104"/>
      <c r="AA678" s="104"/>
      <c r="AB678" s="231"/>
      <c r="AC678" s="231"/>
      <c r="AD678" s="231"/>
      <c r="AE678" s="231"/>
      <c r="AF678" s="231"/>
      <c r="AG678" s="231"/>
      <c r="AH678" s="231"/>
      <c r="AI678" s="231"/>
      <c r="AJ678" s="231"/>
      <c r="AK678" s="231"/>
      <c r="AL678" s="231"/>
      <c r="AM678" s="231"/>
      <c r="AN678" s="231"/>
      <c r="AO678" s="231"/>
      <c r="AP678" s="231"/>
      <c r="AQ678" s="231"/>
      <c r="AR678" s="231"/>
      <c r="AS678" s="231"/>
      <c r="AT678" s="231"/>
      <c r="AU678" s="231"/>
      <c r="AV678" s="231"/>
      <c r="AW678" s="231"/>
      <c r="AX678" s="231"/>
      <c r="AY678" s="231"/>
      <c r="AZ678" s="231"/>
      <c r="BA678" s="231"/>
      <c r="BB678" s="231"/>
      <c r="BC678" s="231"/>
      <c r="BD678" s="104"/>
      <c r="BE678" s="104"/>
      <c r="BF678" s="104"/>
      <c r="BG678" s="104"/>
      <c r="BH678" s="104"/>
      <c r="BI678" s="104"/>
      <c r="BJ678" s="104"/>
      <c r="BK678" s="12"/>
      <c r="BL678" s="12"/>
    </row>
    <row r="679" spans="1:64" hidden="1" outlineLevel="1">
      <c r="A679" s="9"/>
      <c r="B679" s="9"/>
      <c r="C679" s="44"/>
      <c r="D679" s="131">
        <f>Asset18</f>
        <v>0</v>
      </c>
      <c r="E679" s="9"/>
      <c r="F679" s="9"/>
      <c r="G679" s="207">
        <f>Input!N24</f>
        <v>0</v>
      </c>
      <c r="H679" s="115"/>
      <c r="I679" s="115"/>
      <c r="J679" s="115"/>
      <c r="K679" s="115"/>
      <c r="L679" s="115"/>
      <c r="M679" s="115"/>
      <c r="N679" s="29"/>
      <c r="O679" s="29"/>
      <c r="P679" s="29"/>
      <c r="Q679" s="29"/>
      <c r="R679" s="29"/>
      <c r="S679" s="104"/>
      <c r="T679" s="104"/>
      <c r="U679" s="104"/>
      <c r="V679" s="104"/>
      <c r="W679" s="104"/>
      <c r="X679" s="104"/>
      <c r="Y679" s="104"/>
      <c r="Z679" s="104"/>
      <c r="AA679" s="104"/>
      <c r="AB679" s="231"/>
      <c r="AC679" s="231"/>
      <c r="AD679" s="231"/>
      <c r="AE679" s="231"/>
      <c r="AF679" s="231"/>
      <c r="AG679" s="231"/>
      <c r="AH679" s="231"/>
      <c r="AI679" s="231"/>
      <c r="AJ679" s="231"/>
      <c r="AK679" s="231"/>
      <c r="AL679" s="231"/>
      <c r="AM679" s="231"/>
      <c r="AN679" s="231"/>
      <c r="AO679" s="231"/>
      <c r="AP679" s="231"/>
      <c r="AQ679" s="231"/>
      <c r="AR679" s="231"/>
      <c r="AS679" s="231"/>
      <c r="AT679" s="231"/>
      <c r="AU679" s="231"/>
      <c r="AV679" s="231"/>
      <c r="AW679" s="231"/>
      <c r="AX679" s="231"/>
      <c r="AY679" s="231"/>
      <c r="AZ679" s="231"/>
      <c r="BA679" s="231"/>
      <c r="BB679" s="231"/>
      <c r="BC679" s="231"/>
      <c r="BD679" s="104"/>
      <c r="BE679" s="104"/>
      <c r="BF679" s="104"/>
      <c r="BG679" s="104"/>
      <c r="BH679" s="104"/>
      <c r="BI679" s="104"/>
      <c r="BJ679" s="104"/>
      <c r="BK679" s="12"/>
      <c r="BL679" s="12"/>
    </row>
    <row r="680" spans="1:64" hidden="1" outlineLevel="1">
      <c r="A680" s="9"/>
      <c r="B680" s="9"/>
      <c r="C680" s="44"/>
      <c r="D680" s="131">
        <f>Asset19</f>
        <v>0</v>
      </c>
      <c r="E680" s="9"/>
      <c r="F680" s="9"/>
      <c r="G680" s="207">
        <f>Input!N25</f>
        <v>0</v>
      </c>
      <c r="H680" s="115"/>
      <c r="I680" s="115"/>
      <c r="J680" s="115"/>
      <c r="K680" s="115"/>
      <c r="L680" s="115"/>
      <c r="M680" s="115"/>
      <c r="N680" s="29"/>
      <c r="O680" s="29"/>
      <c r="P680" s="29"/>
      <c r="Q680" s="29"/>
      <c r="R680" s="29"/>
      <c r="S680" s="104"/>
      <c r="T680" s="104"/>
      <c r="U680" s="104"/>
      <c r="V680" s="104"/>
      <c r="W680" s="104"/>
      <c r="X680" s="104"/>
      <c r="Y680" s="104"/>
      <c r="Z680" s="104"/>
      <c r="AA680" s="104"/>
      <c r="AB680" s="231"/>
      <c r="AC680" s="231"/>
      <c r="AD680" s="231"/>
      <c r="AE680" s="231"/>
      <c r="AF680" s="231"/>
      <c r="AG680" s="231"/>
      <c r="AH680" s="231"/>
      <c r="AI680" s="231"/>
      <c r="AJ680" s="231"/>
      <c r="AK680" s="231"/>
      <c r="AL680" s="231"/>
      <c r="AM680" s="231"/>
      <c r="AN680" s="231"/>
      <c r="AO680" s="231"/>
      <c r="AP680" s="231"/>
      <c r="AQ680" s="231"/>
      <c r="AR680" s="231"/>
      <c r="AS680" s="231"/>
      <c r="AT680" s="231"/>
      <c r="AU680" s="231"/>
      <c r="AV680" s="231"/>
      <c r="AW680" s="231"/>
      <c r="AX680" s="231"/>
      <c r="AY680" s="231"/>
      <c r="AZ680" s="231"/>
      <c r="BA680" s="231"/>
      <c r="BB680" s="231"/>
      <c r="BC680" s="231"/>
      <c r="BD680" s="104"/>
      <c r="BE680" s="104"/>
      <c r="BF680" s="104"/>
      <c r="BG680" s="104"/>
      <c r="BH680" s="104"/>
      <c r="BI680" s="104"/>
      <c r="BJ680" s="104"/>
      <c r="BK680" s="12"/>
      <c r="BL680" s="12"/>
    </row>
    <row r="681" spans="1:64" hidden="1" outlineLevel="1">
      <c r="A681" s="9"/>
      <c r="B681" s="9"/>
      <c r="C681" s="44"/>
      <c r="D681" s="131">
        <f>Asset20</f>
        <v>0</v>
      </c>
      <c r="E681" s="9"/>
      <c r="F681" s="9"/>
      <c r="G681" s="207">
        <f>Input!N26</f>
        <v>0</v>
      </c>
      <c r="H681" s="115"/>
      <c r="I681" s="115"/>
      <c r="J681" s="115"/>
      <c r="K681" s="115"/>
      <c r="L681" s="115"/>
      <c r="M681" s="115"/>
      <c r="N681" s="29"/>
      <c r="O681" s="29"/>
      <c r="P681" s="29"/>
      <c r="Q681" s="29"/>
      <c r="R681" s="29"/>
      <c r="S681" s="104"/>
      <c r="T681" s="104"/>
      <c r="U681" s="104"/>
      <c r="V681" s="104"/>
      <c r="W681" s="104"/>
      <c r="X681" s="104"/>
      <c r="Y681" s="104"/>
      <c r="Z681" s="104"/>
      <c r="AA681" s="104"/>
      <c r="AB681" s="231"/>
      <c r="AC681" s="231"/>
      <c r="AD681" s="231"/>
      <c r="AE681" s="231"/>
      <c r="AF681" s="231"/>
      <c r="AG681" s="231"/>
      <c r="AH681" s="231"/>
      <c r="AI681" s="231"/>
      <c r="AJ681" s="231"/>
      <c r="AK681" s="231"/>
      <c r="AL681" s="231"/>
      <c r="AM681" s="231"/>
      <c r="AN681" s="231"/>
      <c r="AO681" s="231"/>
      <c r="AP681" s="231"/>
      <c r="AQ681" s="231"/>
      <c r="AR681" s="231"/>
      <c r="AS681" s="231"/>
      <c r="AT681" s="231"/>
      <c r="AU681" s="231"/>
      <c r="AV681" s="231"/>
      <c r="AW681" s="231"/>
      <c r="AX681" s="231"/>
      <c r="AY681" s="231"/>
      <c r="AZ681" s="231"/>
      <c r="BA681" s="231"/>
      <c r="BB681" s="231"/>
      <c r="BC681" s="231"/>
      <c r="BD681" s="104"/>
      <c r="BE681" s="104"/>
      <c r="BF681" s="104"/>
      <c r="BG681" s="104"/>
      <c r="BH681" s="104"/>
      <c r="BI681" s="104"/>
      <c r="BJ681" s="104"/>
      <c r="BK681" s="12"/>
      <c r="BL681" s="12"/>
    </row>
    <row r="682" spans="1:64" hidden="1" outlineLevel="1">
      <c r="A682" s="9"/>
      <c r="B682" s="9"/>
      <c r="C682" s="44"/>
      <c r="D682" s="131">
        <f>Asset21</f>
        <v>0</v>
      </c>
      <c r="E682" s="9"/>
      <c r="F682" s="9"/>
      <c r="G682" s="207">
        <f>Input!N27</f>
        <v>0</v>
      </c>
      <c r="H682" s="115"/>
      <c r="I682" s="115"/>
      <c r="J682" s="115"/>
      <c r="K682" s="115"/>
      <c r="L682" s="115"/>
      <c r="M682" s="115"/>
      <c r="N682" s="29"/>
      <c r="O682" s="29"/>
      <c r="P682" s="29"/>
      <c r="Q682" s="29"/>
      <c r="R682" s="29"/>
      <c r="S682" s="104"/>
      <c r="T682" s="104"/>
      <c r="U682" s="104"/>
      <c r="V682" s="104"/>
      <c r="W682" s="104"/>
      <c r="X682" s="104"/>
      <c r="Y682" s="104"/>
      <c r="Z682" s="104"/>
      <c r="AA682" s="104"/>
      <c r="AB682" s="231"/>
      <c r="AC682" s="231"/>
      <c r="AD682" s="231"/>
      <c r="AE682" s="231"/>
      <c r="AF682" s="231"/>
      <c r="AG682" s="231"/>
      <c r="AH682" s="231"/>
      <c r="AI682" s="231"/>
      <c r="AJ682" s="231"/>
      <c r="AK682" s="231"/>
      <c r="AL682" s="231"/>
      <c r="AM682" s="231"/>
      <c r="AN682" s="231"/>
      <c r="AO682" s="231"/>
      <c r="AP682" s="231"/>
      <c r="AQ682" s="231"/>
      <c r="AR682" s="231"/>
      <c r="AS682" s="231"/>
      <c r="AT682" s="231"/>
      <c r="AU682" s="231"/>
      <c r="AV682" s="231"/>
      <c r="AW682" s="231"/>
      <c r="AX682" s="231"/>
      <c r="AY682" s="231"/>
      <c r="AZ682" s="231"/>
      <c r="BA682" s="231"/>
      <c r="BB682" s="231"/>
      <c r="BC682" s="231"/>
      <c r="BD682" s="104"/>
      <c r="BE682" s="104"/>
      <c r="BF682" s="104"/>
      <c r="BG682" s="104"/>
      <c r="BH682" s="104"/>
      <c r="BI682" s="104"/>
      <c r="BJ682" s="104"/>
      <c r="BK682" s="12"/>
      <c r="BL682" s="12"/>
    </row>
    <row r="683" spans="1:64" hidden="1" outlineLevel="1">
      <c r="A683" s="9"/>
      <c r="B683" s="9"/>
      <c r="C683" s="44"/>
      <c r="D683" s="131">
        <f>Asset22</f>
        <v>0</v>
      </c>
      <c r="E683" s="9"/>
      <c r="F683" s="9"/>
      <c r="G683" s="207">
        <f>Input!N28</f>
        <v>0</v>
      </c>
      <c r="H683" s="115"/>
      <c r="I683" s="115"/>
      <c r="J683" s="115"/>
      <c r="K683" s="115"/>
      <c r="L683" s="115"/>
      <c r="M683" s="115"/>
      <c r="N683" s="29"/>
      <c r="O683" s="29"/>
      <c r="P683" s="29"/>
      <c r="Q683" s="29"/>
      <c r="R683" s="29"/>
      <c r="S683" s="104"/>
      <c r="T683" s="104"/>
      <c r="U683" s="104"/>
      <c r="V683" s="104"/>
      <c r="W683" s="104"/>
      <c r="X683" s="104"/>
      <c r="Y683" s="104"/>
      <c r="Z683" s="104"/>
      <c r="AA683" s="104"/>
      <c r="AB683" s="231"/>
      <c r="AC683" s="231"/>
      <c r="AD683" s="231"/>
      <c r="AE683" s="231"/>
      <c r="AF683" s="231"/>
      <c r="AG683" s="231"/>
      <c r="AH683" s="231"/>
      <c r="AI683" s="231"/>
      <c r="AJ683" s="231"/>
      <c r="AK683" s="231"/>
      <c r="AL683" s="231"/>
      <c r="AM683" s="231"/>
      <c r="AN683" s="231"/>
      <c r="AO683" s="231"/>
      <c r="AP683" s="231"/>
      <c r="AQ683" s="231"/>
      <c r="AR683" s="231"/>
      <c r="AS683" s="231"/>
      <c r="AT683" s="231"/>
      <c r="AU683" s="231"/>
      <c r="AV683" s="231"/>
      <c r="AW683" s="231"/>
      <c r="AX683" s="231"/>
      <c r="AY683" s="231"/>
      <c r="AZ683" s="231"/>
      <c r="BA683" s="231"/>
      <c r="BB683" s="231"/>
      <c r="BC683" s="231"/>
      <c r="BD683" s="104"/>
      <c r="BE683" s="104"/>
      <c r="BF683" s="104"/>
      <c r="BG683" s="104"/>
      <c r="BH683" s="104"/>
      <c r="BI683" s="104"/>
      <c r="BJ683" s="104"/>
      <c r="BK683" s="12"/>
      <c r="BL683" s="12"/>
    </row>
    <row r="684" spans="1:64" hidden="1" outlineLevel="1">
      <c r="A684" s="9"/>
      <c r="B684" s="9"/>
      <c r="C684" s="44"/>
      <c r="D684" s="131">
        <f>Asset23</f>
        <v>0</v>
      </c>
      <c r="E684" s="9"/>
      <c r="F684" s="9"/>
      <c r="G684" s="207">
        <f>Input!N29</f>
        <v>0</v>
      </c>
      <c r="H684" s="115"/>
      <c r="I684" s="115"/>
      <c r="J684" s="115"/>
      <c r="K684" s="115"/>
      <c r="L684" s="115"/>
      <c r="M684" s="115"/>
      <c r="N684" s="29"/>
      <c r="O684" s="29"/>
      <c r="P684" s="29"/>
      <c r="Q684" s="29"/>
      <c r="R684" s="29"/>
      <c r="S684" s="104"/>
      <c r="T684" s="104"/>
      <c r="U684" s="104"/>
      <c r="V684" s="104"/>
      <c r="W684" s="104"/>
      <c r="X684" s="104"/>
      <c r="Y684" s="104"/>
      <c r="Z684" s="104"/>
      <c r="AA684" s="104"/>
      <c r="AB684" s="231"/>
      <c r="AC684" s="231"/>
      <c r="AD684" s="231"/>
      <c r="AE684" s="231"/>
      <c r="AF684" s="231"/>
      <c r="AG684" s="231"/>
      <c r="AH684" s="231"/>
      <c r="AI684" s="231"/>
      <c r="AJ684" s="231"/>
      <c r="AK684" s="231"/>
      <c r="AL684" s="231"/>
      <c r="AM684" s="231"/>
      <c r="AN684" s="231"/>
      <c r="AO684" s="231"/>
      <c r="AP684" s="231"/>
      <c r="AQ684" s="231"/>
      <c r="AR684" s="231"/>
      <c r="AS684" s="231"/>
      <c r="AT684" s="231"/>
      <c r="AU684" s="231"/>
      <c r="AV684" s="231"/>
      <c r="AW684" s="231"/>
      <c r="AX684" s="231"/>
      <c r="AY684" s="231"/>
      <c r="AZ684" s="231"/>
      <c r="BA684" s="231"/>
      <c r="BB684" s="231"/>
      <c r="BC684" s="231"/>
      <c r="BD684" s="104"/>
      <c r="BE684" s="104"/>
      <c r="BF684" s="104"/>
      <c r="BG684" s="104"/>
      <c r="BH684" s="104"/>
      <c r="BI684" s="104"/>
      <c r="BJ684" s="104"/>
      <c r="BK684" s="12"/>
      <c r="BL684" s="12"/>
    </row>
    <row r="685" spans="1:64" hidden="1" outlineLevel="1">
      <c r="A685" s="9"/>
      <c r="B685" s="9"/>
      <c r="C685" s="44"/>
      <c r="D685" s="131">
        <f>Asset24</f>
        <v>0</v>
      </c>
      <c r="E685" s="9"/>
      <c r="F685" s="9"/>
      <c r="G685" s="207">
        <f>Input!N30</f>
        <v>0</v>
      </c>
      <c r="H685" s="115"/>
      <c r="I685" s="115"/>
      <c r="J685" s="115"/>
      <c r="K685" s="115"/>
      <c r="L685" s="115"/>
      <c r="M685" s="115"/>
      <c r="N685" s="29"/>
      <c r="O685" s="29"/>
      <c r="P685" s="29"/>
      <c r="Q685" s="29"/>
      <c r="R685" s="29"/>
      <c r="S685" s="104"/>
      <c r="T685" s="104"/>
      <c r="U685" s="104"/>
      <c r="V685" s="104"/>
      <c r="W685" s="104"/>
      <c r="X685" s="104"/>
      <c r="Y685" s="104"/>
      <c r="Z685" s="104"/>
      <c r="AA685" s="104"/>
      <c r="AB685" s="231"/>
      <c r="AC685" s="231"/>
      <c r="AD685" s="231"/>
      <c r="AE685" s="231"/>
      <c r="AF685" s="231"/>
      <c r="AG685" s="231"/>
      <c r="AH685" s="231"/>
      <c r="AI685" s="231"/>
      <c r="AJ685" s="231"/>
      <c r="AK685" s="231"/>
      <c r="AL685" s="231"/>
      <c r="AM685" s="231"/>
      <c r="AN685" s="231"/>
      <c r="AO685" s="231"/>
      <c r="AP685" s="231"/>
      <c r="AQ685" s="231"/>
      <c r="AR685" s="231"/>
      <c r="AS685" s="231"/>
      <c r="AT685" s="231"/>
      <c r="AU685" s="231"/>
      <c r="AV685" s="231"/>
      <c r="AW685" s="231"/>
      <c r="AX685" s="231"/>
      <c r="AY685" s="231"/>
      <c r="AZ685" s="231"/>
      <c r="BA685" s="231"/>
      <c r="BB685" s="231"/>
      <c r="BC685" s="231"/>
      <c r="BD685" s="104"/>
      <c r="BE685" s="104"/>
      <c r="BF685" s="104"/>
      <c r="BG685" s="104"/>
      <c r="BH685" s="104"/>
      <c r="BI685" s="104"/>
      <c r="BJ685" s="104"/>
      <c r="BK685" s="12"/>
      <c r="BL685" s="12"/>
    </row>
    <row r="686" spans="1:64" hidden="1" outlineLevel="1">
      <c r="A686" s="9"/>
      <c r="B686" s="9"/>
      <c r="C686" s="44"/>
      <c r="D686" s="131">
        <f>Asset25</f>
        <v>0</v>
      </c>
      <c r="E686" s="9"/>
      <c r="F686" s="9"/>
      <c r="G686" s="207">
        <f>Input!N31</f>
        <v>0</v>
      </c>
      <c r="H686" s="115"/>
      <c r="I686" s="115"/>
      <c r="J686" s="115"/>
      <c r="K686" s="115"/>
      <c r="L686" s="115"/>
      <c r="M686" s="115"/>
      <c r="N686" s="29"/>
      <c r="O686" s="29"/>
      <c r="P686" s="29"/>
      <c r="Q686" s="29"/>
      <c r="R686" s="29"/>
      <c r="S686" s="104"/>
      <c r="T686" s="104"/>
      <c r="U686" s="104"/>
      <c r="V686" s="104"/>
      <c r="W686" s="104"/>
      <c r="X686" s="104"/>
      <c r="Y686" s="104"/>
      <c r="Z686" s="104"/>
      <c r="AA686" s="104"/>
      <c r="AB686" s="231"/>
      <c r="AC686" s="231"/>
      <c r="AD686" s="231"/>
      <c r="AE686" s="231"/>
      <c r="AF686" s="231"/>
      <c r="AG686" s="231"/>
      <c r="AH686" s="231"/>
      <c r="AI686" s="231"/>
      <c r="AJ686" s="231"/>
      <c r="AK686" s="231"/>
      <c r="AL686" s="231"/>
      <c r="AM686" s="231"/>
      <c r="AN686" s="231"/>
      <c r="AO686" s="231"/>
      <c r="AP686" s="231"/>
      <c r="AQ686" s="231"/>
      <c r="AR686" s="231"/>
      <c r="AS686" s="231"/>
      <c r="AT686" s="231"/>
      <c r="AU686" s="231"/>
      <c r="AV686" s="231"/>
      <c r="AW686" s="231"/>
      <c r="AX686" s="231"/>
      <c r="AY686" s="231"/>
      <c r="AZ686" s="231"/>
      <c r="BA686" s="231"/>
      <c r="BB686" s="231"/>
      <c r="BC686" s="231"/>
      <c r="BD686" s="104"/>
      <c r="BE686" s="104"/>
      <c r="BF686" s="104"/>
      <c r="BG686" s="104"/>
      <c r="BH686" s="104"/>
      <c r="BI686" s="104"/>
      <c r="BJ686" s="104"/>
      <c r="BK686" s="12"/>
      <c r="BL686" s="12"/>
    </row>
    <row r="687" spans="1:64" hidden="1" outlineLevel="1">
      <c r="A687" s="9"/>
      <c r="B687" s="9"/>
      <c r="C687" s="44"/>
      <c r="D687" s="131">
        <f>Asset26</f>
        <v>0</v>
      </c>
      <c r="E687" s="9"/>
      <c r="F687" s="9"/>
      <c r="G687" s="207">
        <f>Input!N32</f>
        <v>0</v>
      </c>
      <c r="H687" s="115"/>
      <c r="I687" s="115"/>
      <c r="J687" s="115"/>
      <c r="K687" s="115"/>
      <c r="L687" s="115"/>
      <c r="M687" s="115"/>
      <c r="N687" s="29"/>
      <c r="O687" s="29"/>
      <c r="P687" s="29"/>
      <c r="Q687" s="29"/>
      <c r="R687" s="29"/>
      <c r="S687" s="104"/>
      <c r="T687" s="104"/>
      <c r="U687" s="104"/>
      <c r="V687" s="104"/>
      <c r="W687" s="104"/>
      <c r="X687" s="104"/>
      <c r="Y687" s="104"/>
      <c r="Z687" s="104"/>
      <c r="AA687" s="104"/>
      <c r="AB687" s="231"/>
      <c r="AC687" s="231"/>
      <c r="AD687" s="231"/>
      <c r="AE687" s="231"/>
      <c r="AF687" s="231"/>
      <c r="AG687" s="231"/>
      <c r="AH687" s="231"/>
      <c r="AI687" s="231"/>
      <c r="AJ687" s="231"/>
      <c r="AK687" s="231"/>
      <c r="AL687" s="231"/>
      <c r="AM687" s="231"/>
      <c r="AN687" s="231"/>
      <c r="AO687" s="231"/>
      <c r="AP687" s="231"/>
      <c r="AQ687" s="231"/>
      <c r="AR687" s="231"/>
      <c r="AS687" s="231"/>
      <c r="AT687" s="231"/>
      <c r="AU687" s="231"/>
      <c r="AV687" s="231"/>
      <c r="AW687" s="231"/>
      <c r="AX687" s="231"/>
      <c r="AY687" s="231"/>
      <c r="AZ687" s="231"/>
      <c r="BA687" s="231"/>
      <c r="BB687" s="231"/>
      <c r="BC687" s="231"/>
      <c r="BD687" s="104"/>
      <c r="BE687" s="104"/>
      <c r="BF687" s="104"/>
      <c r="BG687" s="104"/>
      <c r="BH687" s="104"/>
      <c r="BI687" s="104"/>
      <c r="BJ687" s="104"/>
      <c r="BK687" s="12"/>
      <c r="BL687" s="12"/>
    </row>
    <row r="688" spans="1:64" hidden="1" outlineLevel="1">
      <c r="A688" s="9"/>
      <c r="B688" s="9"/>
      <c r="C688" s="44"/>
      <c r="D688" s="131">
        <f>Asset27</f>
        <v>0</v>
      </c>
      <c r="E688" s="9"/>
      <c r="F688" s="9"/>
      <c r="G688" s="207">
        <f>Input!N33</f>
        <v>0</v>
      </c>
      <c r="H688" s="115"/>
      <c r="I688" s="115"/>
      <c r="J688" s="115"/>
      <c r="K688" s="115"/>
      <c r="L688" s="115"/>
      <c r="M688" s="115"/>
      <c r="N688" s="29"/>
      <c r="O688" s="29"/>
      <c r="P688" s="29"/>
      <c r="Q688" s="29"/>
      <c r="R688" s="29"/>
      <c r="S688" s="104"/>
      <c r="T688" s="104"/>
      <c r="U688" s="104"/>
      <c r="V688" s="104"/>
      <c r="W688" s="104"/>
      <c r="X688" s="104"/>
      <c r="Y688" s="104"/>
      <c r="Z688" s="104"/>
      <c r="AA688" s="104"/>
      <c r="AB688" s="231"/>
      <c r="AC688" s="231"/>
      <c r="AD688" s="231"/>
      <c r="AE688" s="231"/>
      <c r="AF688" s="231"/>
      <c r="AG688" s="231"/>
      <c r="AH688" s="231"/>
      <c r="AI688" s="231"/>
      <c r="AJ688" s="231"/>
      <c r="AK688" s="231"/>
      <c r="AL688" s="231"/>
      <c r="AM688" s="231"/>
      <c r="AN688" s="231"/>
      <c r="AO688" s="231"/>
      <c r="AP688" s="231"/>
      <c r="AQ688" s="231"/>
      <c r="AR688" s="231"/>
      <c r="AS688" s="231"/>
      <c r="AT688" s="231"/>
      <c r="AU688" s="231"/>
      <c r="AV688" s="231"/>
      <c r="AW688" s="231"/>
      <c r="AX688" s="231"/>
      <c r="AY688" s="231"/>
      <c r="AZ688" s="231"/>
      <c r="BA688" s="231"/>
      <c r="BB688" s="231"/>
      <c r="BC688" s="231"/>
      <c r="BD688" s="104"/>
      <c r="BE688" s="104"/>
      <c r="BF688" s="104"/>
      <c r="BG688" s="104"/>
      <c r="BH688" s="104"/>
      <c r="BI688" s="104"/>
      <c r="BJ688" s="104"/>
      <c r="BK688" s="12"/>
      <c r="BL688" s="12"/>
    </row>
    <row r="689" spans="1:64" hidden="1" outlineLevel="1">
      <c r="A689" s="9"/>
      <c r="B689" s="9"/>
      <c r="C689" s="44"/>
      <c r="D689" s="131">
        <f>Asset28</f>
        <v>0</v>
      </c>
      <c r="E689" s="9"/>
      <c r="F689" s="9"/>
      <c r="G689" s="207">
        <f>Input!N34</f>
        <v>0</v>
      </c>
      <c r="H689" s="115"/>
      <c r="I689" s="115"/>
      <c r="J689" s="115"/>
      <c r="K689" s="115"/>
      <c r="L689" s="115"/>
      <c r="M689" s="115"/>
      <c r="N689" s="29"/>
      <c r="O689" s="29"/>
      <c r="P689" s="29"/>
      <c r="Q689" s="29"/>
      <c r="R689" s="29"/>
      <c r="S689" s="104"/>
      <c r="T689" s="104"/>
      <c r="U689" s="104"/>
      <c r="V689" s="104"/>
      <c r="W689" s="104"/>
      <c r="X689" s="104"/>
      <c r="Y689" s="104"/>
      <c r="Z689" s="104"/>
      <c r="AA689" s="104"/>
      <c r="AB689" s="231"/>
      <c r="AC689" s="231"/>
      <c r="AD689" s="231"/>
      <c r="AE689" s="231"/>
      <c r="AF689" s="231"/>
      <c r="AG689" s="231"/>
      <c r="AH689" s="231"/>
      <c r="AI689" s="231"/>
      <c r="AJ689" s="231"/>
      <c r="AK689" s="231"/>
      <c r="AL689" s="231"/>
      <c r="AM689" s="231"/>
      <c r="AN689" s="231"/>
      <c r="AO689" s="231"/>
      <c r="AP689" s="231"/>
      <c r="AQ689" s="231"/>
      <c r="AR689" s="231"/>
      <c r="AS689" s="231"/>
      <c r="AT689" s="231"/>
      <c r="AU689" s="231"/>
      <c r="AV689" s="231"/>
      <c r="AW689" s="231"/>
      <c r="AX689" s="231"/>
      <c r="AY689" s="231"/>
      <c r="AZ689" s="231"/>
      <c r="BA689" s="231"/>
      <c r="BB689" s="231"/>
      <c r="BC689" s="231"/>
      <c r="BD689" s="104"/>
      <c r="BE689" s="104"/>
      <c r="BF689" s="104"/>
      <c r="BG689" s="104"/>
      <c r="BH689" s="104"/>
      <c r="BI689" s="104"/>
      <c r="BJ689" s="104"/>
      <c r="BK689" s="12"/>
      <c r="BL689" s="12"/>
    </row>
    <row r="690" spans="1:64" hidden="1" outlineLevel="1">
      <c r="A690" s="9"/>
      <c r="B690" s="9"/>
      <c r="C690" s="44"/>
      <c r="D690" s="131">
        <f>Asset29</f>
        <v>0</v>
      </c>
      <c r="E690" s="9"/>
      <c r="F690" s="9"/>
      <c r="G690" s="207">
        <f>Input!N35</f>
        <v>0</v>
      </c>
      <c r="H690" s="115"/>
      <c r="I690" s="115"/>
      <c r="J690" s="115"/>
      <c r="K690" s="115"/>
      <c r="L690" s="115"/>
      <c r="M690" s="115"/>
      <c r="N690" s="29"/>
      <c r="O690" s="29"/>
      <c r="P690" s="29"/>
      <c r="Q690" s="29"/>
      <c r="R690" s="29"/>
      <c r="S690" s="104"/>
      <c r="T690" s="104"/>
      <c r="U690" s="104"/>
      <c r="V690" s="104"/>
      <c r="W690" s="104"/>
      <c r="X690" s="104"/>
      <c r="Y690" s="104"/>
      <c r="Z690" s="104"/>
      <c r="AA690" s="104"/>
      <c r="AB690" s="231"/>
      <c r="AC690" s="231"/>
      <c r="AD690" s="231"/>
      <c r="AE690" s="231"/>
      <c r="AF690" s="231"/>
      <c r="AG690" s="231"/>
      <c r="AH690" s="231"/>
      <c r="AI690" s="231"/>
      <c r="AJ690" s="231"/>
      <c r="AK690" s="231"/>
      <c r="AL690" s="231"/>
      <c r="AM690" s="231"/>
      <c r="AN690" s="231"/>
      <c r="AO690" s="231"/>
      <c r="AP690" s="231"/>
      <c r="AQ690" s="231"/>
      <c r="AR690" s="231"/>
      <c r="AS690" s="231"/>
      <c r="AT690" s="231"/>
      <c r="AU690" s="231"/>
      <c r="AV690" s="231"/>
      <c r="AW690" s="231"/>
      <c r="AX690" s="231"/>
      <c r="AY690" s="231"/>
      <c r="AZ690" s="231"/>
      <c r="BA690" s="231"/>
      <c r="BB690" s="231"/>
      <c r="BC690" s="231"/>
      <c r="BD690" s="104"/>
      <c r="BE690" s="104"/>
      <c r="BF690" s="104"/>
      <c r="BG690" s="104"/>
      <c r="BH690" s="104"/>
      <c r="BI690" s="104"/>
      <c r="BJ690" s="104"/>
      <c r="BK690" s="12"/>
      <c r="BL690" s="12"/>
    </row>
    <row r="691" spans="1:64" hidden="1" outlineLevel="1">
      <c r="A691" s="9"/>
      <c r="B691" s="9"/>
      <c r="C691" s="44"/>
      <c r="D691" s="131">
        <f>Asset30</f>
        <v>0</v>
      </c>
      <c r="E691" s="9"/>
      <c r="F691" s="9"/>
      <c r="G691" s="207">
        <f>Input!N36</f>
        <v>0</v>
      </c>
      <c r="H691" s="115"/>
      <c r="I691" s="115"/>
      <c r="J691" s="115"/>
      <c r="K691" s="115"/>
      <c r="L691" s="115"/>
      <c r="M691" s="115"/>
      <c r="N691" s="29"/>
      <c r="O691" s="29"/>
      <c r="P691" s="29"/>
      <c r="Q691" s="29"/>
      <c r="R691" s="29"/>
      <c r="S691" s="104"/>
      <c r="T691" s="104"/>
      <c r="U691" s="104"/>
      <c r="V691" s="104"/>
      <c r="W691" s="104"/>
      <c r="X691" s="104"/>
      <c r="Y691" s="104"/>
      <c r="Z691" s="104"/>
      <c r="AA691" s="104"/>
      <c r="AB691" s="231"/>
      <c r="AC691" s="231"/>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104"/>
      <c r="BE691" s="104"/>
      <c r="BF691" s="104"/>
      <c r="BG691" s="104"/>
      <c r="BH691" s="104"/>
      <c r="BI691" s="104"/>
      <c r="BJ691" s="104"/>
      <c r="BK691" s="12"/>
      <c r="BL691" s="12"/>
    </row>
    <row r="692" spans="1:64" collapsed="1">
      <c r="A692" s="9"/>
      <c r="B692" s="9"/>
      <c r="C692" s="44"/>
      <c r="D692" s="131"/>
      <c r="E692" s="9"/>
      <c r="F692" s="9"/>
      <c r="G692" s="28"/>
      <c r="H692" s="115"/>
      <c r="I692" s="115"/>
      <c r="J692" s="115"/>
      <c r="K692" s="115"/>
      <c r="L692" s="115"/>
      <c r="M692" s="115"/>
      <c r="N692" s="29"/>
      <c r="O692" s="29"/>
      <c r="P692" s="29"/>
      <c r="Q692" s="29"/>
      <c r="R692" s="29"/>
      <c r="S692" s="104"/>
      <c r="T692" s="104"/>
      <c r="U692" s="104"/>
      <c r="V692" s="104"/>
      <c r="W692" s="104"/>
      <c r="X692" s="104"/>
      <c r="Y692" s="104"/>
      <c r="Z692" s="104"/>
      <c r="AA692" s="104"/>
      <c r="AB692" s="231"/>
      <c r="AC692" s="231"/>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104"/>
      <c r="BE692" s="104"/>
      <c r="BF692" s="104"/>
      <c r="BG692" s="104"/>
      <c r="BH692" s="104"/>
      <c r="BI692" s="104"/>
      <c r="BJ692" s="104"/>
      <c r="BK692" s="12"/>
      <c r="BL692" s="12"/>
    </row>
    <row r="693" spans="1:64">
      <c r="A693" s="126"/>
      <c r="B693" s="126"/>
      <c r="C693" s="126"/>
      <c r="D693" s="127"/>
      <c r="E693" s="112"/>
      <c r="F693" s="112"/>
      <c r="G693" s="128"/>
      <c r="H693" s="129"/>
      <c r="I693" s="129"/>
      <c r="J693" s="129"/>
      <c r="K693" s="129"/>
      <c r="L693" s="129"/>
      <c r="M693" s="129"/>
      <c r="N693" s="130"/>
      <c r="O693" s="130"/>
      <c r="P693" s="130"/>
      <c r="Q693" s="130"/>
      <c r="R693" s="130"/>
      <c r="S693" s="130"/>
      <c r="T693" s="104"/>
      <c r="U693" s="104"/>
      <c r="V693" s="104"/>
      <c r="W693" s="104"/>
      <c r="X693" s="104"/>
      <c r="Y693" s="104"/>
      <c r="Z693" s="104"/>
      <c r="AA693" s="231"/>
      <c r="AB693" s="231"/>
      <c r="AC693" s="231"/>
      <c r="AD693" s="231"/>
      <c r="AE693" s="231"/>
      <c r="AF693" s="231"/>
      <c r="AG693" s="231"/>
      <c r="AH693" s="231"/>
      <c r="AI693" s="231"/>
      <c r="AJ693" s="231"/>
      <c r="AK693" s="231"/>
      <c r="AL693" s="231"/>
      <c r="AM693" s="231"/>
      <c r="AN693" s="231"/>
      <c r="AO693" s="231"/>
      <c r="AP693" s="231"/>
      <c r="AQ693" s="231"/>
      <c r="AR693" s="231"/>
      <c r="AS693" s="231"/>
      <c r="AT693" s="231"/>
      <c r="AU693" s="231"/>
      <c r="AV693" s="231"/>
      <c r="AW693" s="231"/>
      <c r="AX693" s="231"/>
      <c r="AY693" s="231"/>
      <c r="AZ693" s="231"/>
      <c r="BA693" s="231"/>
      <c r="BB693" s="231"/>
      <c r="BC693" s="231"/>
      <c r="BD693" s="104"/>
      <c r="BE693" s="104"/>
      <c r="BF693" s="104"/>
      <c r="BG693" s="104"/>
      <c r="BH693" s="104"/>
      <c r="BI693" s="104"/>
      <c r="BJ693" s="104"/>
      <c r="BK693" s="12"/>
      <c r="BL693" s="12"/>
    </row>
    <row r="694" spans="1:64">
      <c r="A694" s="9"/>
      <c r="B694" s="12"/>
      <c r="C694" s="94"/>
      <c r="D694" s="117"/>
      <c r="E694" s="12"/>
      <c r="F694" s="12"/>
      <c r="G694" s="144"/>
      <c r="H694" s="145"/>
      <c r="I694" s="145"/>
      <c r="J694" s="145"/>
      <c r="K694" s="145"/>
      <c r="L694" s="145"/>
      <c r="M694" s="145"/>
      <c r="N694" s="104"/>
      <c r="O694" s="104"/>
      <c r="P694" s="104"/>
      <c r="Q694" s="104"/>
      <c r="R694" s="104"/>
      <c r="S694" s="104"/>
      <c r="T694" s="104"/>
      <c r="U694" s="104"/>
      <c r="V694" s="104"/>
      <c r="W694" s="104"/>
      <c r="X694" s="104"/>
      <c r="Y694" s="104"/>
      <c r="Z694" s="104"/>
      <c r="AA694" s="231"/>
      <c r="AB694" s="231"/>
      <c r="AC694" s="231"/>
      <c r="AD694" s="231"/>
      <c r="AE694" s="231"/>
      <c r="AF694" s="231"/>
      <c r="AG694" s="231"/>
      <c r="AH694" s="231"/>
      <c r="AI694" s="231"/>
      <c r="AJ694" s="231"/>
      <c r="AK694" s="231"/>
      <c r="AL694" s="231"/>
      <c r="AM694" s="231"/>
      <c r="AN694" s="231"/>
      <c r="AO694" s="231"/>
      <c r="AP694" s="231"/>
      <c r="AQ694" s="231"/>
      <c r="AR694" s="231"/>
      <c r="AS694" s="231"/>
      <c r="AT694" s="231"/>
      <c r="AU694" s="231"/>
      <c r="AV694" s="231"/>
      <c r="AW694" s="231"/>
      <c r="AX694" s="231"/>
      <c r="AY694" s="231"/>
      <c r="AZ694" s="231"/>
      <c r="BA694" s="231"/>
      <c r="BB694" s="231"/>
      <c r="BC694" s="231"/>
      <c r="BD694" s="104"/>
      <c r="BE694" s="104"/>
      <c r="BF694" s="104"/>
      <c r="BG694" s="104"/>
      <c r="BH694" s="104"/>
      <c r="BI694" s="104"/>
      <c r="BJ694" s="104"/>
      <c r="BK694" s="12"/>
      <c r="BL694" s="12"/>
    </row>
    <row r="695" spans="1:64" s="9" customFormat="1">
      <c r="B695" s="12"/>
      <c r="C695" s="94" t="s">
        <v>8</v>
      </c>
      <c r="D695" s="12"/>
      <c r="E695" s="12"/>
      <c r="F695" s="12"/>
      <c r="G695" s="206">
        <f>SUM(G696:G725)</f>
        <v>-109.2093202143104</v>
      </c>
      <c r="H695" s="470">
        <f>SUM(H696:H725)</f>
        <v>-147.36324558755132</v>
      </c>
      <c r="I695" s="470">
        <f t="shared" ref="I695:P695" si="58">SUM(I696:I725)</f>
        <v>-114.90675600616007</v>
      </c>
      <c r="J695" s="470">
        <f t="shared" si="58"/>
        <v>-134.48348218316744</v>
      </c>
      <c r="K695" s="470">
        <f t="shared" si="58"/>
        <v>-140.8687079459327</v>
      </c>
      <c r="L695" s="470">
        <f>SUM(L696:L725)</f>
        <v>-146.36727157891406</v>
      </c>
      <c r="M695" s="470">
        <f t="shared" si="58"/>
        <v>0</v>
      </c>
      <c r="N695" s="119">
        <f t="shared" si="58"/>
        <v>0</v>
      </c>
      <c r="O695" s="119">
        <f t="shared" si="58"/>
        <v>0</v>
      </c>
      <c r="P695" s="119">
        <f t="shared" si="58"/>
        <v>0</v>
      </c>
      <c r="Q695" s="119">
        <f>SUM(Q696:Q725)</f>
        <v>0</v>
      </c>
      <c r="R695" s="110"/>
      <c r="S695" s="110"/>
      <c r="T695" s="110"/>
      <c r="U695" s="110"/>
      <c r="V695" s="110"/>
      <c r="W695" s="110"/>
      <c r="X695" s="110"/>
      <c r="Y695" s="110"/>
      <c r="Z695" s="110"/>
      <c r="AA695" s="218"/>
      <c r="AB695" s="218"/>
      <c r="AC695" s="218"/>
      <c r="AD695" s="218"/>
      <c r="AE695" s="218"/>
      <c r="AF695" s="218"/>
      <c r="AG695" s="218"/>
      <c r="AH695" s="218"/>
      <c r="AI695" s="218"/>
      <c r="AJ695" s="218"/>
      <c r="AK695" s="218"/>
      <c r="AL695" s="218"/>
      <c r="AM695" s="218"/>
      <c r="AN695" s="218"/>
      <c r="AO695" s="218"/>
      <c r="AP695" s="218"/>
      <c r="AQ695" s="218"/>
      <c r="AR695" s="218"/>
      <c r="AS695" s="218"/>
      <c r="AT695" s="218"/>
      <c r="AU695" s="218"/>
      <c r="AV695" s="218"/>
      <c r="AW695" s="218"/>
      <c r="AX695" s="218"/>
      <c r="AY695" s="218"/>
      <c r="AZ695" s="218"/>
      <c r="BA695" s="218"/>
      <c r="BB695" s="218"/>
      <c r="BC695" s="218"/>
      <c r="BD695" s="110"/>
      <c r="BE695" s="110"/>
      <c r="BF695" s="110"/>
      <c r="BG695" s="110"/>
      <c r="BH695" s="110"/>
      <c r="BI695" s="110"/>
      <c r="BJ695" s="110"/>
      <c r="BK695" s="12"/>
      <c r="BL695" s="12"/>
    </row>
    <row r="696" spans="1:64" ht="12" hidden="1" customHeight="1" outlineLevel="1">
      <c r="A696" s="9"/>
      <c r="B696" s="9"/>
      <c r="C696" s="9"/>
      <c r="D696" s="271" t="str">
        <f>Asset1</f>
        <v>Subtransmission</v>
      </c>
      <c r="E696" s="9"/>
      <c r="F696" s="9"/>
      <c r="G696" s="204">
        <f t="shared" ref="G696:G725" si="59">-(G728-G534)</f>
        <v>-9.4796066608498126</v>
      </c>
      <c r="H696" s="334">
        <f>SUMIF($D$75:$D$466,$D696,H$75:H$466)*Input!I$314</f>
        <v>-7.0394143044566855</v>
      </c>
      <c r="I696" s="334">
        <f>SUMIF($D$75:$D$466,$D696,I$75:I$466)*Input!J$314</f>
        <v>-7.8232816166671153</v>
      </c>
      <c r="J696" s="334">
        <f>SUMIF($D$75:$D$466,$D696,J$75:J$466)*Input!K$314</f>
        <v>-9.0313540160258832</v>
      </c>
      <c r="K696" s="334">
        <f>SUMIF($D$75:$D$466,$D696,K$75:K$466)*Input!L$314</f>
        <v>-10.739769096001647</v>
      </c>
      <c r="L696" s="334">
        <f>SUMIF($D$75:$D$466,$D696,L$75:L$466)*Input!M$314</f>
        <v>-12.487864204324563</v>
      </c>
      <c r="M696" s="334">
        <f>SUMIF($D$75:$D$466,$D696,M$75:M$466)*Input!N$314</f>
        <v>0</v>
      </c>
      <c r="N696" s="334">
        <f>SUMIF($D$75:$D$466,$D696,N$75:N$466)*Input!O$314</f>
        <v>0</v>
      </c>
      <c r="O696" s="334">
        <f>SUMIF($D$75:$D$466,$D696,O$75:O$466)*Input!P$314</f>
        <v>0</v>
      </c>
      <c r="P696" s="334">
        <f>SUMIF($D$75:$D$466,$D696,P$75:P$466)*Input!Q$314</f>
        <v>0</v>
      </c>
      <c r="Q696" s="334">
        <f>SUMIF($D$75:$D$466,$D696,Q$75:Q$466)*Input!R$314</f>
        <v>0</v>
      </c>
      <c r="R696" s="9"/>
      <c r="S696" s="12"/>
      <c r="T696" s="12"/>
      <c r="U696" s="12"/>
      <c r="V696" s="12"/>
      <c r="W696" s="12"/>
      <c r="X696" s="12"/>
      <c r="Y696" s="12"/>
      <c r="Z696" s="12"/>
      <c r="AA696" s="224"/>
      <c r="AB696" s="224"/>
      <c r="AC696" s="224"/>
      <c r="AD696" s="224"/>
      <c r="AE696" s="224"/>
      <c r="AF696" s="224"/>
      <c r="AG696" s="224"/>
      <c r="AH696" s="224"/>
      <c r="AI696" s="224"/>
      <c r="AJ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12"/>
      <c r="BE696" s="12"/>
      <c r="BF696" s="12"/>
      <c r="BG696" s="12"/>
      <c r="BH696" s="12"/>
      <c r="BI696" s="12"/>
      <c r="BJ696" s="12"/>
      <c r="BK696" s="12"/>
      <c r="BL696" s="12"/>
    </row>
    <row r="697" spans="1:64" ht="12" hidden="1" customHeight="1" outlineLevel="1">
      <c r="A697" s="9"/>
      <c r="B697" s="9"/>
      <c r="C697" s="9"/>
      <c r="D697" s="271" t="str">
        <f>Asset2</f>
        <v>Distribution system assets</v>
      </c>
      <c r="E697" s="9"/>
      <c r="F697" s="9"/>
      <c r="G697" s="204">
        <f t="shared" si="59"/>
        <v>-50.180559172553863</v>
      </c>
      <c r="H697" s="334">
        <f>SUMIF($D$75:$D$466,$D697,H$75:H$466)*Input!I$314</f>
        <v>-61.920741159487562</v>
      </c>
      <c r="I697" s="334">
        <f>SUMIF($D$75:$D$466,$D697,I$75:I$466)*Input!J$314</f>
        <v>-68.108482479425263</v>
      </c>
      <c r="J697" s="334">
        <f>SUMIF($D$75:$D$466,$D697,J$75:J$466)*Input!K$314</f>
        <v>-73.861025892339015</v>
      </c>
      <c r="K697" s="334">
        <f>SUMIF($D$75:$D$466,$D697,K$75:K$466)*Input!L$314</f>
        <v>-80.610224842246723</v>
      </c>
      <c r="L697" s="334">
        <f>SUMIF($D$75:$D$466,$D697,L$75:L$466)*Input!M$314</f>
        <v>-88.498992818491175</v>
      </c>
      <c r="M697" s="334">
        <f>SUMIF($D$75:$D$466,$D697,M$75:M$466)*Input!N$314</f>
        <v>0</v>
      </c>
      <c r="N697" s="334">
        <f>SUMIF($D$75:$D$466,$D697,N$75:N$466)*Input!O$314</f>
        <v>0</v>
      </c>
      <c r="O697" s="334">
        <f>SUMIF($D$75:$D$466,$D697,O$75:O$466)*Input!P$314</f>
        <v>0</v>
      </c>
      <c r="P697" s="334">
        <f>SUMIF($D$75:$D$466,$D697,P$75:P$466)*Input!Q$314</f>
        <v>0</v>
      </c>
      <c r="Q697" s="334">
        <f>SUMIF($D$75:$D$466,$D697,Q$75:Q$466)*Input!R$314</f>
        <v>0</v>
      </c>
      <c r="R697" s="9"/>
      <c r="S697" s="12"/>
      <c r="T697" s="12"/>
      <c r="U697" s="12"/>
      <c r="V697" s="12"/>
      <c r="W697" s="12"/>
      <c r="X697" s="12"/>
      <c r="Y697" s="12"/>
      <c r="Z697" s="12"/>
      <c r="AA697" s="224"/>
      <c r="AB697" s="224"/>
      <c r="AC697" s="224"/>
      <c r="AD697" s="224"/>
      <c r="AE697" s="224"/>
      <c r="AF697" s="224"/>
      <c r="AG697" s="224"/>
      <c r="AH697" s="224"/>
      <c r="AI697" s="224"/>
      <c r="AJ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12"/>
      <c r="BE697" s="12"/>
      <c r="BF697" s="12"/>
      <c r="BG697" s="12"/>
      <c r="BH697" s="12"/>
      <c r="BI697" s="12"/>
      <c r="BJ697" s="12"/>
      <c r="BK697" s="12"/>
      <c r="BL697" s="12"/>
    </row>
    <row r="698" spans="1:64" ht="12" hidden="1" customHeight="1" outlineLevel="1">
      <c r="A698" s="9"/>
      <c r="B698" s="9"/>
      <c r="C698" s="9"/>
      <c r="D698" s="271" t="str">
        <f>Asset3</f>
        <v>Standard metering</v>
      </c>
      <c r="E698" s="9"/>
      <c r="F698" s="9"/>
      <c r="G698" s="204">
        <f t="shared" si="59"/>
        <v>-13.669703459507025</v>
      </c>
      <c r="H698" s="455">
        <f>SUMIF($D$75:$D$466,$D698,H$75:H$466)*Input!I$314</f>
        <v>-16.230563390343036</v>
      </c>
      <c r="I698" s="334">
        <f>SUMIF($D$75:$D$466,$D698,I$75:I$466)*Input!J$314</f>
        <v>0</v>
      </c>
      <c r="J698" s="334">
        <f>SUMIF($D$75:$D$466,$D698,J$75:J$466)*Input!K$314</f>
        <v>0</v>
      </c>
      <c r="K698" s="334">
        <f>SUMIF($D$75:$D$466,$D698,K$75:K$466)*Input!L$314</f>
        <v>0</v>
      </c>
      <c r="L698" s="334">
        <f>SUMIF($D$75:$D$466,$D698,L$75:L$466)*Input!M$314</f>
        <v>0</v>
      </c>
      <c r="M698" s="334">
        <f>SUMIF($D$75:$D$466,$D698,M$75:M$466)*Input!N$314</f>
        <v>0</v>
      </c>
      <c r="N698" s="334">
        <f>SUMIF($D$75:$D$466,$D698,N$75:N$466)*Input!O$314</f>
        <v>0</v>
      </c>
      <c r="O698" s="334">
        <f>SUMIF($D$75:$D$466,$D698,O$75:O$466)*Input!P$314</f>
        <v>0</v>
      </c>
      <c r="P698" s="334">
        <f>SUMIF($D$75:$D$466,$D698,P$75:P$466)*Input!Q$314</f>
        <v>0</v>
      </c>
      <c r="Q698" s="334">
        <f>SUMIF($D$75:$D$466,$D698,Q$75:Q$466)*Input!R$314</f>
        <v>0</v>
      </c>
      <c r="R698" s="9"/>
      <c r="S698" s="12"/>
      <c r="T698" s="12"/>
      <c r="U698" s="12"/>
      <c r="V698" s="12"/>
      <c r="W698" s="12"/>
      <c r="X698" s="12"/>
      <c r="Y698" s="12"/>
      <c r="Z698" s="12"/>
      <c r="AA698" s="224"/>
      <c r="AB698" s="224"/>
      <c r="AC698" s="224"/>
      <c r="AD698" s="224"/>
      <c r="AE698" s="224"/>
      <c r="AF698" s="224"/>
      <c r="AG698" s="224"/>
      <c r="AH698" s="224"/>
      <c r="AI698" s="224"/>
      <c r="AJ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12"/>
      <c r="BE698" s="12"/>
      <c r="BF698" s="12"/>
      <c r="BG698" s="12"/>
      <c r="BH698" s="12"/>
      <c r="BI698" s="12"/>
      <c r="BJ698" s="12"/>
      <c r="BK698" s="12"/>
      <c r="BL698" s="12"/>
    </row>
    <row r="699" spans="1:64" ht="12" hidden="1" customHeight="1" outlineLevel="1">
      <c r="A699" s="9"/>
      <c r="B699" s="9"/>
      <c r="C699" s="9"/>
      <c r="D699" s="271" t="str">
        <f>Asset4</f>
        <v>Public lighting</v>
      </c>
      <c r="E699" s="9"/>
      <c r="F699" s="9"/>
      <c r="G699" s="204">
        <f t="shared" si="59"/>
        <v>-6.6263012669373902</v>
      </c>
      <c r="H699" s="334">
        <f>SUMIF($D$75:$D$466,$D699,H$75:H$466)*Input!I$314</f>
        <v>-0.3998181760608121</v>
      </c>
      <c r="I699" s="334">
        <f>SUMIF($D$75:$D$466,$D699,I$75:I$466)*Input!J$314</f>
        <v>0</v>
      </c>
      <c r="J699" s="334">
        <f>SUMIF($D$75:$D$466,$D699,J$75:J$466)*Input!K$314</f>
        <v>0</v>
      </c>
      <c r="K699" s="334">
        <f>SUMIF($D$75:$D$466,$D699,K$75:K$466)*Input!L$314</f>
        <v>0</v>
      </c>
      <c r="L699" s="334">
        <f>SUMIF($D$75:$D$466,$D699,L$75:L$466)*Input!M$314</f>
        <v>0</v>
      </c>
      <c r="M699" s="334">
        <f>SUMIF($D$75:$D$466,$D699,M$75:M$466)*Input!N$314</f>
        <v>0</v>
      </c>
      <c r="N699" s="334">
        <f>SUMIF($D$75:$D$466,$D699,N$75:N$466)*Input!O$314</f>
        <v>0</v>
      </c>
      <c r="O699" s="334">
        <f>SUMIF($D$75:$D$466,$D699,O$75:O$466)*Input!P$314</f>
        <v>0</v>
      </c>
      <c r="P699" s="334">
        <f>SUMIF($D$75:$D$466,$D699,P$75:P$466)*Input!Q$314</f>
        <v>0</v>
      </c>
      <c r="Q699" s="334">
        <f>SUMIF($D$75:$D$466,$D699,Q$75:Q$466)*Input!R$314</f>
        <v>0</v>
      </c>
      <c r="R699" s="9"/>
      <c r="S699" s="12"/>
      <c r="T699" s="12"/>
      <c r="U699" s="12"/>
      <c r="V699" s="12"/>
      <c r="W699" s="12"/>
      <c r="X699" s="12"/>
      <c r="Y699" s="12"/>
      <c r="Z699" s="12"/>
      <c r="AA699" s="224"/>
      <c r="AB699" s="224"/>
      <c r="AC699" s="224"/>
      <c r="AD699" s="224"/>
      <c r="AE699" s="224"/>
      <c r="AF699" s="224"/>
      <c r="AG699" s="224"/>
      <c r="AH699" s="224"/>
      <c r="AI699" s="224"/>
      <c r="AJ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12"/>
      <c r="BE699" s="12"/>
      <c r="BF699" s="12"/>
      <c r="BG699" s="12"/>
      <c r="BH699" s="12"/>
      <c r="BI699" s="12"/>
      <c r="BJ699" s="12"/>
      <c r="BK699" s="12"/>
      <c r="BL699" s="12"/>
    </row>
    <row r="700" spans="1:64" ht="12" hidden="1" customHeight="1" outlineLevel="1">
      <c r="A700" s="9"/>
      <c r="B700" s="9"/>
      <c r="C700" s="9"/>
      <c r="D700" s="271" t="str">
        <f>Asset5</f>
        <v>SCADA/Network control</v>
      </c>
      <c r="E700" s="9"/>
      <c r="F700" s="9"/>
      <c r="G700" s="204">
        <f t="shared" si="59"/>
        <v>-10.073008250776279</v>
      </c>
      <c r="H700" s="334">
        <f>SUMIF($D$75:$D$466,$D700,H$75:H$466)*Input!I$314</f>
        <v>-1.7117584534478618E-15</v>
      </c>
      <c r="I700" s="334">
        <f>SUMIF($D$75:$D$466,$D700,I$75:I$466)*Input!J$314</f>
        <v>-0.27551700916947958</v>
      </c>
      <c r="J700" s="334">
        <f>SUMIF($D$75:$D$466,$D700,J$75:J$466)*Input!K$314</f>
        <v>-1.5506897091565668</v>
      </c>
      <c r="K700" s="334">
        <f>SUMIF($D$75:$D$466,$D700,K$75:K$466)*Input!L$314</f>
        <v>-1.995117265772838</v>
      </c>
      <c r="L700" s="334">
        <f>SUMIF($D$75:$D$466,$D700,L$75:L$466)*Input!M$314</f>
        <v>-2.1985883126571499</v>
      </c>
      <c r="M700" s="334">
        <f>SUMIF($D$75:$D$466,$D700,M$75:M$466)*Input!N$314</f>
        <v>0</v>
      </c>
      <c r="N700" s="334">
        <f>SUMIF($D$75:$D$466,$D700,N$75:N$466)*Input!O$314</f>
        <v>0</v>
      </c>
      <c r="O700" s="334">
        <f>SUMIF($D$75:$D$466,$D700,O$75:O$466)*Input!P$314</f>
        <v>0</v>
      </c>
      <c r="P700" s="334">
        <f>SUMIF($D$75:$D$466,$D700,P$75:P$466)*Input!Q$314</f>
        <v>0</v>
      </c>
      <c r="Q700" s="334">
        <f>SUMIF($D$75:$D$466,$D700,Q$75:Q$466)*Input!R$314</f>
        <v>0</v>
      </c>
      <c r="R700" s="9"/>
      <c r="S700" s="12"/>
      <c r="T700" s="12"/>
      <c r="U700" s="12"/>
      <c r="V700" s="12"/>
      <c r="W700" s="12"/>
      <c r="X700" s="12"/>
      <c r="Y700" s="12"/>
      <c r="Z700" s="12"/>
      <c r="AA700" s="224"/>
      <c r="AB700" s="224"/>
      <c r="AC700" s="224"/>
      <c r="AD700" s="224"/>
      <c r="AE700" s="224"/>
      <c r="AF700" s="224"/>
      <c r="AG700" s="224"/>
      <c r="AH700" s="224"/>
      <c r="AI700" s="224"/>
      <c r="AJ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12"/>
      <c r="BE700" s="12"/>
      <c r="BF700" s="12"/>
      <c r="BG700" s="12"/>
      <c r="BH700" s="12"/>
      <c r="BI700" s="12"/>
      <c r="BJ700" s="12"/>
      <c r="BK700" s="12"/>
      <c r="BL700" s="12"/>
    </row>
    <row r="701" spans="1:64" ht="12" hidden="1" customHeight="1" outlineLevel="1">
      <c r="A701" s="9"/>
      <c r="B701" s="9"/>
      <c r="C701" s="9"/>
      <c r="D701" s="271" t="str">
        <f>Asset6</f>
        <v>Non-network general assets - IT</v>
      </c>
      <c r="E701" s="9"/>
      <c r="F701" s="9"/>
      <c r="G701" s="204">
        <f t="shared" si="59"/>
        <v>-18.835893236065399</v>
      </c>
      <c r="H701" s="334">
        <f>SUMIF($D$75:$D$466,$D701,H$75:H$466)*Input!I$314</f>
        <v>-26.541574661726372</v>
      </c>
      <c r="I701" s="334">
        <f>SUMIF($D$75:$D$466,$D701,I$75:I$466)*Input!J$314</f>
        <v>-37.597913657369766</v>
      </c>
      <c r="J701" s="334">
        <f>SUMIF($D$75:$D$466,$D701,J$75:J$466)*Input!K$314</f>
        <v>-48.123885217595586</v>
      </c>
      <c r="K701" s="334">
        <f>SUMIF($D$75:$D$466,$D701,K$75:K$466)*Input!L$314</f>
        <v>-44.393378816738142</v>
      </c>
      <c r="L701" s="334">
        <f>SUMIF($D$75:$D$466,$D701,L$75:L$466)*Input!M$314</f>
        <v>-39.035291848491134</v>
      </c>
      <c r="M701" s="334">
        <f>SUMIF($D$75:$D$466,$D701,M$75:M$466)*Input!N$314</f>
        <v>0</v>
      </c>
      <c r="N701" s="334">
        <f>SUMIF($D$75:$D$466,$D701,N$75:N$466)*Input!O$314</f>
        <v>0</v>
      </c>
      <c r="O701" s="334">
        <f>SUMIF($D$75:$D$466,$D701,O$75:O$466)*Input!P$314</f>
        <v>0</v>
      </c>
      <c r="P701" s="334">
        <f>SUMIF($D$75:$D$466,$D701,P$75:P$466)*Input!Q$314</f>
        <v>0</v>
      </c>
      <c r="Q701" s="334">
        <f>SUMIF($D$75:$D$466,$D701,Q$75:Q$466)*Input!R$314</f>
        <v>0</v>
      </c>
      <c r="R701" s="9"/>
      <c r="S701" s="12"/>
      <c r="T701" s="12"/>
      <c r="U701" s="12"/>
      <c r="V701" s="12"/>
      <c r="W701" s="12"/>
      <c r="X701" s="12"/>
      <c r="Y701" s="12"/>
      <c r="Z701" s="12"/>
      <c r="AA701" s="224"/>
      <c r="AB701" s="224"/>
      <c r="AC701" s="224"/>
      <c r="AD701" s="224"/>
      <c r="AE701" s="224"/>
      <c r="AF701" s="224"/>
      <c r="AG701" s="224"/>
      <c r="AH701" s="224"/>
      <c r="AI701" s="224"/>
      <c r="AJ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12"/>
      <c r="BE701" s="12"/>
      <c r="BF701" s="12"/>
      <c r="BG701" s="12"/>
      <c r="BH701" s="12"/>
      <c r="BI701" s="12"/>
      <c r="BJ701" s="12"/>
      <c r="BK701" s="12"/>
      <c r="BL701" s="12"/>
    </row>
    <row r="702" spans="1:64" ht="12" hidden="1" customHeight="1" outlineLevel="1">
      <c r="A702" s="9"/>
      <c r="B702" s="9"/>
      <c r="C702" s="9"/>
      <c r="D702" s="271" t="str">
        <f>Asset7</f>
        <v>Non-network general assets - Other</v>
      </c>
      <c r="E702" s="9"/>
      <c r="F702" s="9"/>
      <c r="G702" s="204">
        <f t="shared" si="59"/>
        <v>-0.34424816762061555</v>
      </c>
      <c r="H702" s="334">
        <f>SUMIF($D$75:$D$466,$D702,H$75:H$466)*Input!I$314</f>
        <v>-35.231133895476837</v>
      </c>
      <c r="I702" s="334">
        <f>SUMIF($D$75:$D$466,$D702,I$75:I$466)*Input!J$314</f>
        <v>-1.0669167636159624</v>
      </c>
      <c r="J702" s="334">
        <f>SUMIF($D$75:$D$466,$D702,J$75:J$466)*Input!K$314</f>
        <v>-1.8811885899833436</v>
      </c>
      <c r="K702" s="334">
        <f>SUMIF($D$75:$D$466,$D702,K$75:K$466)*Input!L$314</f>
        <v>-3.0941154611363086</v>
      </c>
      <c r="L702" s="334">
        <f>SUMIF($D$75:$D$466,$D702,L$75:L$466)*Input!M$314</f>
        <v>-4.1095987971275152</v>
      </c>
      <c r="M702" s="334">
        <f>SUMIF($D$75:$D$466,$D702,M$75:M$466)*Input!N$314</f>
        <v>0</v>
      </c>
      <c r="N702" s="334">
        <f>SUMIF($D$75:$D$466,$D702,N$75:N$466)*Input!O$314</f>
        <v>0</v>
      </c>
      <c r="O702" s="334">
        <f>SUMIF($D$75:$D$466,$D702,O$75:O$466)*Input!P$314</f>
        <v>0</v>
      </c>
      <c r="P702" s="334">
        <f>SUMIF($D$75:$D$466,$D702,P$75:P$466)*Input!Q$314</f>
        <v>0</v>
      </c>
      <c r="Q702" s="334">
        <f>SUMIF($D$75:$D$466,$D702,Q$75:Q$466)*Input!R$314</f>
        <v>0</v>
      </c>
      <c r="R702" s="9"/>
      <c r="S702" s="12"/>
      <c r="T702" s="12"/>
      <c r="U702" s="12"/>
      <c r="V702" s="12"/>
      <c r="W702" s="12"/>
      <c r="X702" s="12"/>
      <c r="Y702" s="12"/>
      <c r="Z702" s="12"/>
      <c r="AA702" s="224"/>
      <c r="AB702" s="224"/>
      <c r="AC702" s="224"/>
      <c r="AD702" s="224"/>
      <c r="AE702" s="224"/>
      <c r="AF702" s="224"/>
      <c r="AG702" s="224"/>
      <c r="AH702" s="224"/>
      <c r="AI702" s="224"/>
      <c r="AJ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12"/>
      <c r="BE702" s="12"/>
      <c r="BF702" s="12"/>
      <c r="BG702" s="12"/>
      <c r="BH702" s="12"/>
      <c r="BI702" s="12"/>
      <c r="BJ702" s="12"/>
      <c r="BK702" s="12"/>
      <c r="BL702" s="12"/>
    </row>
    <row r="703" spans="1:64" ht="12" hidden="1" customHeight="1" outlineLevel="1">
      <c r="A703" s="9"/>
      <c r="B703" s="9"/>
      <c r="C703" s="9"/>
      <c r="D703" s="271" t="str">
        <f>Asset8</f>
        <v>Equity Raising Costs</v>
      </c>
      <c r="E703" s="9"/>
      <c r="F703" s="9"/>
      <c r="G703" s="204">
        <f t="shared" si="59"/>
        <v>0</v>
      </c>
      <c r="H703" s="334">
        <f>SUMIF($D$75:$D$466,$D703,H$75:H$466)*Input!I$314</f>
        <v>0</v>
      </c>
      <c r="I703" s="334">
        <f>SUMIF($D$75:$D$466,$D703,I$75:I$466)*Input!J$314</f>
        <v>-3.4644479912474151E-2</v>
      </c>
      <c r="J703" s="334">
        <f>SUMIF($D$75:$D$466,$D703,J$75:J$466)*Input!K$314</f>
        <v>-3.5338758067032752E-2</v>
      </c>
      <c r="K703" s="334">
        <f>SUMIF($D$75:$D$466,$D703,K$75:K$466)*Input!L$314</f>
        <v>-3.6102464037047213E-2</v>
      </c>
      <c r="L703" s="334">
        <f>SUMIF($D$75:$D$466,$D703,L$75:L$466)*Input!M$314</f>
        <v>-3.6935597822517534E-2</v>
      </c>
      <c r="M703" s="334">
        <f>SUMIF($D$75:$D$466,$D703,M$75:M$466)*Input!N$314</f>
        <v>0</v>
      </c>
      <c r="N703" s="334">
        <f>SUMIF($D$75:$D$466,$D703,N$75:N$466)*Input!O$314</f>
        <v>0</v>
      </c>
      <c r="O703" s="334">
        <f>SUMIF($D$75:$D$466,$D703,O$75:O$466)*Input!P$314</f>
        <v>0</v>
      </c>
      <c r="P703" s="334">
        <f>SUMIF($D$75:$D$466,$D703,P$75:P$466)*Input!Q$314</f>
        <v>0</v>
      </c>
      <c r="Q703" s="334">
        <f>SUMIF($D$75:$D$466,$D703,Q$75:Q$466)*Input!R$314</f>
        <v>0</v>
      </c>
      <c r="R703" s="9"/>
      <c r="S703" s="12"/>
      <c r="T703" s="12"/>
      <c r="U703" s="12"/>
      <c r="V703" s="12"/>
      <c r="W703" s="12"/>
      <c r="X703" s="12"/>
      <c r="Y703" s="12"/>
      <c r="Z703" s="12"/>
      <c r="AA703" s="224"/>
      <c r="AB703" s="224"/>
      <c r="AC703" s="224"/>
      <c r="AD703" s="224"/>
      <c r="AE703" s="224"/>
      <c r="AF703" s="224"/>
      <c r="AG703" s="224"/>
      <c r="AH703" s="224"/>
      <c r="AI703" s="224"/>
      <c r="AJ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12"/>
      <c r="BE703" s="12"/>
      <c r="BF703" s="12"/>
      <c r="BG703" s="12"/>
      <c r="BH703" s="12"/>
      <c r="BI703" s="12"/>
      <c r="BJ703" s="12"/>
      <c r="BK703" s="12"/>
      <c r="BL703" s="12"/>
    </row>
    <row r="704" spans="1:64" ht="12" hidden="1" customHeight="1" outlineLevel="1">
      <c r="A704" s="9"/>
      <c r="B704" s="9"/>
      <c r="C704" s="9"/>
      <c r="D704" s="271">
        <f>Asset9</f>
        <v>0</v>
      </c>
      <c r="E704" s="9"/>
      <c r="F704" s="9"/>
      <c r="G704" s="204">
        <f t="shared" si="59"/>
        <v>0</v>
      </c>
      <c r="H704" s="334">
        <f>SUMIF($D$75:$D$466,$D704,H$75:H$466)*Input!I$314</f>
        <v>0</v>
      </c>
      <c r="I704" s="334">
        <f>SUMIF($D$75:$D$466,$D704,I$75:I$466)*Input!J$314</f>
        <v>0</v>
      </c>
      <c r="J704" s="334">
        <f>SUMIF($D$75:$D$466,$D704,J$75:J$466)*Input!K$314</f>
        <v>0</v>
      </c>
      <c r="K704" s="334">
        <f>SUMIF($D$75:$D$466,$D704,K$75:K$466)*Input!L$314</f>
        <v>0</v>
      </c>
      <c r="L704" s="334">
        <f>SUMIF($D$75:$D$466,$D704,L$75:L$466)*Input!M$314</f>
        <v>0</v>
      </c>
      <c r="M704" s="334">
        <f>SUMIF($D$75:$D$466,$D704,M$75:M$466)*Input!N$314</f>
        <v>0</v>
      </c>
      <c r="N704" s="334">
        <f>SUMIF($D$75:$D$466,$D704,N$75:N$466)*Input!O$314</f>
        <v>0</v>
      </c>
      <c r="O704" s="334">
        <f>SUMIF($D$75:$D$466,$D704,O$75:O$466)*Input!P$314</f>
        <v>0</v>
      </c>
      <c r="P704" s="334">
        <f>SUMIF($D$75:$D$466,$D704,P$75:P$466)*Input!Q$314</f>
        <v>0</v>
      </c>
      <c r="Q704" s="334">
        <f>SUMIF($D$75:$D$466,$D704,Q$75:Q$466)*Input!R$314</f>
        <v>0</v>
      </c>
      <c r="R704" s="9"/>
      <c r="S704" s="12"/>
      <c r="T704" s="12"/>
      <c r="U704" s="12"/>
      <c r="V704" s="12"/>
      <c r="W704" s="12"/>
      <c r="X704" s="12"/>
      <c r="Y704" s="12"/>
      <c r="Z704" s="12"/>
      <c r="AA704" s="224"/>
      <c r="AB704" s="224"/>
      <c r="AC704" s="224"/>
      <c r="AD704" s="224"/>
      <c r="AE704" s="224"/>
      <c r="AF704" s="224"/>
      <c r="AG704" s="224"/>
      <c r="AH704" s="224"/>
      <c r="AI704" s="224"/>
      <c r="AJ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12"/>
      <c r="BE704" s="12"/>
      <c r="BF704" s="12"/>
      <c r="BG704" s="12"/>
      <c r="BH704" s="12"/>
      <c r="BI704" s="12"/>
      <c r="BJ704" s="12"/>
      <c r="BK704" s="12"/>
      <c r="BL704" s="12"/>
    </row>
    <row r="705" spans="1:64" ht="12" hidden="1" customHeight="1" outlineLevel="1">
      <c r="A705" s="9"/>
      <c r="B705" s="9"/>
      <c r="C705" s="9"/>
      <c r="D705" s="271">
        <f>Asset10</f>
        <v>0</v>
      </c>
      <c r="E705" s="9"/>
      <c r="F705" s="9"/>
      <c r="G705" s="204">
        <f t="shared" si="59"/>
        <v>0</v>
      </c>
      <c r="H705" s="334">
        <f>SUMIF($D$75:$D$466,$D705,H$75:H$466)*Input!I$314</f>
        <v>0</v>
      </c>
      <c r="I705" s="334">
        <f>SUMIF($D$75:$D$466,$D705,I$75:I$466)*Input!J$314</f>
        <v>0</v>
      </c>
      <c r="J705" s="334">
        <f>SUMIF($D$75:$D$466,$D705,J$75:J$466)*Input!K$314</f>
        <v>0</v>
      </c>
      <c r="K705" s="334">
        <f>SUMIF($D$75:$D$466,$D705,K$75:K$466)*Input!L$314</f>
        <v>0</v>
      </c>
      <c r="L705" s="334">
        <f>SUMIF($D$75:$D$466,$D705,L$75:L$466)*Input!M$314</f>
        <v>0</v>
      </c>
      <c r="M705" s="334">
        <f>SUMIF($D$75:$D$466,$D705,M$75:M$466)*Input!N$314</f>
        <v>0</v>
      </c>
      <c r="N705" s="334">
        <f>SUMIF($D$75:$D$466,$D705,N$75:N$466)*Input!O$314</f>
        <v>0</v>
      </c>
      <c r="O705" s="334">
        <f>SUMIF($D$75:$D$466,$D705,O$75:O$466)*Input!P$314</f>
        <v>0</v>
      </c>
      <c r="P705" s="334">
        <f>SUMIF($D$75:$D$466,$D705,P$75:P$466)*Input!Q$314</f>
        <v>0</v>
      </c>
      <c r="Q705" s="334">
        <f>SUMIF($D$75:$D$466,$D705,Q$75:Q$466)*Input!R$314</f>
        <v>0</v>
      </c>
      <c r="R705" s="9"/>
      <c r="S705" s="12"/>
      <c r="T705" s="12"/>
      <c r="U705" s="12"/>
      <c r="V705" s="12"/>
      <c r="W705" s="12"/>
      <c r="X705" s="12"/>
      <c r="Y705" s="12"/>
      <c r="Z705" s="12"/>
      <c r="AA705" s="224"/>
      <c r="AB705" s="224"/>
      <c r="AC705" s="224"/>
      <c r="AD705" s="224"/>
      <c r="AE705" s="224"/>
      <c r="AF705" s="224"/>
      <c r="AG705" s="224"/>
      <c r="AH705" s="224"/>
      <c r="AI705" s="224"/>
      <c r="AJ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12"/>
      <c r="BE705" s="12"/>
      <c r="BF705" s="12"/>
      <c r="BG705" s="12"/>
      <c r="BH705" s="12"/>
      <c r="BI705" s="12"/>
      <c r="BJ705" s="12"/>
      <c r="BK705" s="12"/>
      <c r="BL705" s="12"/>
    </row>
    <row r="706" spans="1:64" ht="12" hidden="1" customHeight="1" outlineLevel="1">
      <c r="A706" s="9"/>
      <c r="B706" s="9"/>
      <c r="C706" s="9"/>
      <c r="D706" s="271">
        <f>Asset11</f>
        <v>0</v>
      </c>
      <c r="E706" s="9"/>
      <c r="F706" s="9"/>
      <c r="G706" s="204">
        <f t="shared" si="59"/>
        <v>0</v>
      </c>
      <c r="H706" s="334">
        <f>SUMIF($D$75:$D$466,$D706,H$75:H$466)*Input!I$314</f>
        <v>0</v>
      </c>
      <c r="I706" s="334">
        <f>SUMIF($D$75:$D$466,$D706,I$75:I$466)*Input!J$314</f>
        <v>0</v>
      </c>
      <c r="J706" s="334">
        <f>SUMIF($D$75:$D$466,$D706,J$75:J$466)*Input!K$314</f>
        <v>0</v>
      </c>
      <c r="K706" s="334">
        <f>SUMIF($D$75:$D$466,$D706,K$75:K$466)*Input!L$314</f>
        <v>0</v>
      </c>
      <c r="L706" s="334">
        <f>SUMIF($D$75:$D$466,$D706,L$75:L$466)*Input!M$314</f>
        <v>0</v>
      </c>
      <c r="M706" s="334">
        <f>SUMIF($D$75:$D$466,$D706,M$75:M$466)*Input!N$314</f>
        <v>0</v>
      </c>
      <c r="N706" s="334">
        <f>SUMIF($D$75:$D$466,$D706,N$75:N$466)*Input!O$314</f>
        <v>0</v>
      </c>
      <c r="O706" s="334">
        <f>SUMIF($D$75:$D$466,$D706,O$75:O$466)*Input!P$314</f>
        <v>0</v>
      </c>
      <c r="P706" s="334">
        <f>SUMIF($D$75:$D$466,$D706,P$75:P$466)*Input!Q$314</f>
        <v>0</v>
      </c>
      <c r="Q706" s="334">
        <f>SUMIF($D$75:$D$466,$D706,Q$75:Q$466)*Input!R$314</f>
        <v>0</v>
      </c>
      <c r="R706" s="9"/>
      <c r="S706" s="12"/>
      <c r="T706" s="12"/>
      <c r="U706" s="12"/>
      <c r="V706" s="12"/>
      <c r="W706" s="12"/>
      <c r="X706" s="12"/>
      <c r="Y706" s="12"/>
      <c r="Z706" s="12"/>
      <c r="AA706" s="224"/>
      <c r="AB706" s="224"/>
      <c r="AC706" s="224"/>
      <c r="AD706" s="224"/>
      <c r="AE706" s="224"/>
      <c r="AF706" s="224"/>
      <c r="AG706" s="224"/>
      <c r="AH706" s="224"/>
      <c r="AI706" s="224"/>
      <c r="AJ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12"/>
      <c r="BE706" s="12"/>
      <c r="BF706" s="12"/>
      <c r="BG706" s="12"/>
      <c r="BH706" s="12"/>
      <c r="BI706" s="12"/>
      <c r="BJ706" s="12"/>
      <c r="BK706" s="12"/>
      <c r="BL706" s="12"/>
    </row>
    <row r="707" spans="1:64" ht="12" hidden="1" customHeight="1" outlineLevel="1">
      <c r="A707" s="9"/>
      <c r="B707" s="9"/>
      <c r="C707" s="9"/>
      <c r="D707" s="271">
        <f>Asset12</f>
        <v>0</v>
      </c>
      <c r="E707" s="9"/>
      <c r="F707" s="9"/>
      <c r="G707" s="204">
        <f t="shared" si="59"/>
        <v>0</v>
      </c>
      <c r="H707" s="334">
        <f>SUMIF($D$75:$D$466,$D707,H$75:H$466)*Input!I$314</f>
        <v>0</v>
      </c>
      <c r="I707" s="334">
        <f>SUMIF($D$75:$D$466,$D707,I$75:I$466)*Input!J$314</f>
        <v>0</v>
      </c>
      <c r="J707" s="334">
        <f>SUMIF($D$75:$D$466,$D707,J$75:J$466)*Input!K$314</f>
        <v>0</v>
      </c>
      <c r="K707" s="334">
        <f>SUMIF($D$75:$D$466,$D707,K$75:K$466)*Input!L$314</f>
        <v>0</v>
      </c>
      <c r="L707" s="334">
        <f>SUMIF($D$75:$D$466,$D707,L$75:L$466)*Input!M$314</f>
        <v>0</v>
      </c>
      <c r="M707" s="334">
        <f>SUMIF($D$75:$D$466,$D707,M$75:M$466)*Input!N$314</f>
        <v>0</v>
      </c>
      <c r="N707" s="334">
        <f>SUMIF($D$75:$D$466,$D707,N$75:N$466)*Input!O$314</f>
        <v>0</v>
      </c>
      <c r="O707" s="334">
        <f>SUMIF($D$75:$D$466,$D707,O$75:O$466)*Input!P$314</f>
        <v>0</v>
      </c>
      <c r="P707" s="334">
        <f>SUMIF($D$75:$D$466,$D707,P$75:P$466)*Input!Q$314</f>
        <v>0</v>
      </c>
      <c r="Q707" s="334">
        <f>SUMIF($D$75:$D$466,$D707,Q$75:Q$466)*Input!R$314</f>
        <v>0</v>
      </c>
      <c r="R707" s="9"/>
      <c r="S707" s="12"/>
      <c r="T707" s="12"/>
      <c r="U707" s="12"/>
      <c r="V707" s="12"/>
      <c r="W707" s="12"/>
      <c r="X707" s="12"/>
      <c r="Y707" s="12"/>
      <c r="Z707" s="12"/>
      <c r="AA707" s="224"/>
      <c r="AB707" s="224"/>
      <c r="AC707" s="224"/>
      <c r="AD707" s="224"/>
      <c r="AE707" s="224"/>
      <c r="AF707" s="224"/>
      <c r="AG707" s="224"/>
      <c r="AH707" s="224"/>
      <c r="AI707" s="224"/>
      <c r="AJ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12"/>
      <c r="BE707" s="12"/>
      <c r="BF707" s="12"/>
      <c r="BG707" s="12"/>
      <c r="BH707" s="12"/>
      <c r="BI707" s="12"/>
      <c r="BJ707" s="12"/>
      <c r="BK707" s="12"/>
      <c r="BL707" s="12"/>
    </row>
    <row r="708" spans="1:64" ht="12" hidden="1" customHeight="1" outlineLevel="1">
      <c r="A708" s="9"/>
      <c r="B708" s="9"/>
      <c r="C708" s="9"/>
      <c r="D708" s="271">
        <f>Asset13</f>
        <v>0</v>
      </c>
      <c r="E708" s="9"/>
      <c r="F708" s="9"/>
      <c r="G708" s="204">
        <f t="shared" si="59"/>
        <v>0</v>
      </c>
      <c r="H708" s="334">
        <f>SUMIF($D$75:$D$466,$D708,H$75:H$466)*Input!I$314</f>
        <v>0</v>
      </c>
      <c r="I708" s="334">
        <f>SUMIF($D$75:$D$466,$D708,I$75:I$466)*Input!J$314</f>
        <v>0</v>
      </c>
      <c r="J708" s="334">
        <f>SUMIF($D$75:$D$466,$D708,J$75:J$466)*Input!K$314</f>
        <v>0</v>
      </c>
      <c r="K708" s="334">
        <f>SUMIF($D$75:$D$466,$D708,K$75:K$466)*Input!L$314</f>
        <v>0</v>
      </c>
      <c r="L708" s="334">
        <f>SUMIF($D$75:$D$466,$D708,L$75:L$466)*Input!M$314</f>
        <v>0</v>
      </c>
      <c r="M708" s="334">
        <f>SUMIF($D$75:$D$466,$D708,M$75:M$466)*Input!N$314</f>
        <v>0</v>
      </c>
      <c r="N708" s="334">
        <f>SUMIF($D$75:$D$466,$D708,N$75:N$466)*Input!O$314</f>
        <v>0</v>
      </c>
      <c r="O708" s="334">
        <f>SUMIF($D$75:$D$466,$D708,O$75:O$466)*Input!P$314</f>
        <v>0</v>
      </c>
      <c r="P708" s="334">
        <f>SUMIF($D$75:$D$466,$D708,P$75:P$466)*Input!Q$314</f>
        <v>0</v>
      </c>
      <c r="Q708" s="334">
        <f>SUMIF($D$75:$D$466,$D708,Q$75:Q$466)*Input!R$314</f>
        <v>0</v>
      </c>
      <c r="R708" s="9"/>
      <c r="S708" s="12"/>
      <c r="T708" s="12"/>
      <c r="U708" s="12"/>
      <c r="V708" s="12"/>
      <c r="W708" s="12"/>
      <c r="X708" s="12"/>
      <c r="Y708" s="12"/>
      <c r="Z708" s="12"/>
      <c r="AA708" s="224"/>
      <c r="AB708" s="224"/>
      <c r="AC708" s="224"/>
      <c r="AD708" s="224"/>
      <c r="AE708" s="224"/>
      <c r="AF708" s="224"/>
      <c r="AG708" s="224"/>
      <c r="AH708" s="224"/>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12"/>
      <c r="BE708" s="12"/>
      <c r="BF708" s="12"/>
      <c r="BG708" s="12"/>
      <c r="BH708" s="12"/>
      <c r="BI708" s="12"/>
      <c r="BJ708" s="12"/>
      <c r="BK708" s="12"/>
      <c r="BL708" s="12"/>
    </row>
    <row r="709" spans="1:64" ht="12" hidden="1" customHeight="1" outlineLevel="1">
      <c r="A709" s="9"/>
      <c r="B709" s="9"/>
      <c r="C709" s="9"/>
      <c r="D709" s="271">
        <f>Asset14</f>
        <v>0</v>
      </c>
      <c r="E709" s="9"/>
      <c r="F709" s="9"/>
      <c r="G709" s="204">
        <f t="shared" si="59"/>
        <v>0</v>
      </c>
      <c r="H709" s="334">
        <f>SUMIF($D$75:$D$466,$D709,H$75:H$466)*Input!I$314</f>
        <v>0</v>
      </c>
      <c r="I709" s="334">
        <f>SUMIF($D$75:$D$466,$D709,I$75:I$466)*Input!J$314</f>
        <v>0</v>
      </c>
      <c r="J709" s="334">
        <f>SUMIF($D$75:$D$466,$D709,J$75:J$466)*Input!K$314</f>
        <v>0</v>
      </c>
      <c r="K709" s="334">
        <f>SUMIF($D$75:$D$466,$D709,K$75:K$466)*Input!L$314</f>
        <v>0</v>
      </c>
      <c r="L709" s="334">
        <f>SUMIF($D$75:$D$466,$D709,L$75:L$466)*Input!M$314</f>
        <v>0</v>
      </c>
      <c r="M709" s="334">
        <f>SUMIF($D$75:$D$466,$D709,M$75:M$466)*Input!N$314</f>
        <v>0</v>
      </c>
      <c r="N709" s="334">
        <f>SUMIF($D$75:$D$466,$D709,N$75:N$466)*Input!O$314</f>
        <v>0</v>
      </c>
      <c r="O709" s="334">
        <f>SUMIF($D$75:$D$466,$D709,O$75:O$466)*Input!P$314</f>
        <v>0</v>
      </c>
      <c r="P709" s="334">
        <f>SUMIF($D$75:$D$466,$D709,P$75:P$466)*Input!Q$314</f>
        <v>0</v>
      </c>
      <c r="Q709" s="334">
        <f>SUMIF($D$75:$D$466,$D709,Q$75:Q$466)*Input!R$314</f>
        <v>0</v>
      </c>
      <c r="R709" s="9"/>
      <c r="S709" s="12"/>
      <c r="T709" s="12"/>
      <c r="U709" s="12"/>
      <c r="V709" s="12"/>
      <c r="W709" s="12"/>
      <c r="X709" s="12"/>
      <c r="Y709" s="12"/>
      <c r="Z709" s="12"/>
      <c r="AA709" s="224"/>
      <c r="AB709" s="224"/>
      <c r="AC709" s="224"/>
      <c r="AD709" s="224"/>
      <c r="AE709" s="224"/>
      <c r="AF709" s="224"/>
      <c r="AG709" s="224"/>
      <c r="AH709" s="224"/>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12"/>
      <c r="BE709" s="12"/>
      <c r="BF709" s="12"/>
      <c r="BG709" s="12"/>
      <c r="BH709" s="12"/>
      <c r="BI709" s="12"/>
      <c r="BJ709" s="12"/>
      <c r="BK709" s="12"/>
      <c r="BL709" s="12"/>
    </row>
    <row r="710" spans="1:64" ht="12" hidden="1" customHeight="1" outlineLevel="1">
      <c r="A710" s="9"/>
      <c r="B710" s="9"/>
      <c r="C710" s="9"/>
      <c r="D710" s="271">
        <f>Asset15</f>
        <v>0</v>
      </c>
      <c r="E710" s="9"/>
      <c r="F710" s="9"/>
      <c r="G710" s="204">
        <f t="shared" si="59"/>
        <v>0</v>
      </c>
      <c r="H710" s="334">
        <f>SUMIF($D$75:$D$466,$D710,H$75:H$466)*Input!I$314</f>
        <v>0</v>
      </c>
      <c r="I710" s="334">
        <f>SUMIF($D$75:$D$466,$D710,I$75:I$466)*Input!J$314</f>
        <v>0</v>
      </c>
      <c r="J710" s="334">
        <f>SUMIF($D$75:$D$466,$D710,J$75:J$466)*Input!K$314</f>
        <v>0</v>
      </c>
      <c r="K710" s="334">
        <f>SUMIF($D$75:$D$466,$D710,K$75:K$466)*Input!L$314</f>
        <v>0</v>
      </c>
      <c r="L710" s="334">
        <f>SUMIF($D$75:$D$466,$D710,L$75:L$466)*Input!M$314</f>
        <v>0</v>
      </c>
      <c r="M710" s="334">
        <f>SUMIF($D$75:$D$466,$D710,M$75:M$466)*Input!N$314</f>
        <v>0</v>
      </c>
      <c r="N710" s="334">
        <f>SUMIF($D$75:$D$466,$D710,N$75:N$466)*Input!O$314</f>
        <v>0</v>
      </c>
      <c r="O710" s="334">
        <f>SUMIF($D$75:$D$466,$D710,O$75:O$466)*Input!P$314</f>
        <v>0</v>
      </c>
      <c r="P710" s="334">
        <f>SUMIF($D$75:$D$466,$D710,P$75:P$466)*Input!Q$314</f>
        <v>0</v>
      </c>
      <c r="Q710" s="334">
        <f>SUMIF($D$75:$D$466,$D710,Q$75:Q$466)*Input!R$314</f>
        <v>0</v>
      </c>
      <c r="R710" s="9"/>
      <c r="S710" s="12"/>
      <c r="T710" s="12"/>
      <c r="U710" s="12"/>
      <c r="V710" s="12"/>
      <c r="W710" s="12"/>
      <c r="X710" s="12"/>
      <c r="Y710" s="12"/>
      <c r="Z710" s="12"/>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12"/>
      <c r="BE710" s="12"/>
      <c r="BF710" s="12"/>
      <c r="BG710" s="12"/>
      <c r="BH710" s="12"/>
      <c r="BI710" s="12"/>
      <c r="BJ710" s="12"/>
      <c r="BK710" s="12"/>
      <c r="BL710" s="12"/>
    </row>
    <row r="711" spans="1:64" ht="12" hidden="1" customHeight="1" outlineLevel="1">
      <c r="A711" s="9"/>
      <c r="B711" s="9"/>
      <c r="C711" s="9"/>
      <c r="D711" s="271">
        <f>Asset16</f>
        <v>0</v>
      </c>
      <c r="E711" s="9"/>
      <c r="F711" s="9"/>
      <c r="G711" s="204">
        <f t="shared" si="59"/>
        <v>0</v>
      </c>
      <c r="H711" s="334">
        <f>SUMIF($D$75:$D$466,$D711,H$75:H$466)*Input!I$314</f>
        <v>0</v>
      </c>
      <c r="I711" s="334">
        <f>SUMIF($D$75:$D$466,$D711,I$75:I$466)*Input!J$314</f>
        <v>0</v>
      </c>
      <c r="J711" s="334">
        <f>SUMIF($D$75:$D$466,$D711,J$75:J$466)*Input!K$314</f>
        <v>0</v>
      </c>
      <c r="K711" s="334">
        <f>SUMIF($D$75:$D$466,$D711,K$75:K$466)*Input!L$314</f>
        <v>0</v>
      </c>
      <c r="L711" s="334">
        <f>SUMIF($D$75:$D$466,$D711,L$75:L$466)*Input!M$314</f>
        <v>0</v>
      </c>
      <c r="M711" s="334">
        <f>SUMIF($D$75:$D$466,$D711,M$75:M$466)*Input!N$314</f>
        <v>0</v>
      </c>
      <c r="N711" s="334">
        <f>SUMIF($D$75:$D$466,$D711,N$75:N$466)*Input!O$314</f>
        <v>0</v>
      </c>
      <c r="O711" s="334">
        <f>SUMIF($D$75:$D$466,$D711,O$75:O$466)*Input!P$314</f>
        <v>0</v>
      </c>
      <c r="P711" s="334">
        <f>SUMIF($D$75:$D$466,$D711,P$75:P$466)*Input!Q$314</f>
        <v>0</v>
      </c>
      <c r="Q711" s="334">
        <f>SUMIF($D$75:$D$466,$D711,Q$75:Q$466)*Input!R$314</f>
        <v>0</v>
      </c>
      <c r="R711" s="9"/>
      <c r="S711" s="12"/>
      <c r="T711" s="12"/>
      <c r="U711" s="12"/>
      <c r="V711" s="12"/>
      <c r="W711" s="12"/>
      <c r="X711" s="12"/>
      <c r="Y711" s="12"/>
      <c r="Z711" s="12"/>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12"/>
      <c r="BE711" s="12"/>
      <c r="BF711" s="12"/>
      <c r="BG711" s="12"/>
      <c r="BH711" s="12"/>
      <c r="BI711" s="12"/>
      <c r="BJ711" s="12"/>
      <c r="BK711" s="12"/>
      <c r="BL711" s="12"/>
    </row>
    <row r="712" spans="1:64" ht="12" hidden="1" customHeight="1" outlineLevel="1">
      <c r="A712" s="9"/>
      <c r="B712" s="9"/>
      <c r="C712" s="9"/>
      <c r="D712" s="271">
        <f>Asset17</f>
        <v>0</v>
      </c>
      <c r="E712" s="9"/>
      <c r="F712" s="9"/>
      <c r="G712" s="204">
        <f t="shared" si="59"/>
        <v>0</v>
      </c>
      <c r="H712" s="334">
        <f>SUMIF($D$75:$D$466,$D712,H$75:H$466)*Input!I$314</f>
        <v>0</v>
      </c>
      <c r="I712" s="334">
        <f>SUMIF($D$75:$D$466,$D712,I$75:I$466)*Input!J$314</f>
        <v>0</v>
      </c>
      <c r="J712" s="334">
        <f>SUMIF($D$75:$D$466,$D712,J$75:J$466)*Input!K$314</f>
        <v>0</v>
      </c>
      <c r="K712" s="334">
        <f>SUMIF($D$75:$D$466,$D712,K$75:K$466)*Input!L$314</f>
        <v>0</v>
      </c>
      <c r="L712" s="334">
        <f>SUMIF($D$75:$D$466,$D712,L$75:L$466)*Input!M$314</f>
        <v>0</v>
      </c>
      <c r="M712" s="334">
        <f>SUMIF($D$75:$D$466,$D712,M$75:M$466)*Input!N$314</f>
        <v>0</v>
      </c>
      <c r="N712" s="334">
        <f>SUMIF($D$75:$D$466,$D712,N$75:N$466)*Input!O$314</f>
        <v>0</v>
      </c>
      <c r="O712" s="334">
        <f>SUMIF($D$75:$D$466,$D712,O$75:O$466)*Input!P$314</f>
        <v>0</v>
      </c>
      <c r="P712" s="334">
        <f>SUMIF($D$75:$D$466,$D712,P$75:P$466)*Input!Q$314</f>
        <v>0</v>
      </c>
      <c r="Q712" s="334">
        <f>SUMIF($D$75:$D$466,$D712,Q$75:Q$466)*Input!R$314</f>
        <v>0</v>
      </c>
      <c r="R712" s="9"/>
      <c r="S712" s="12"/>
      <c r="T712" s="12"/>
      <c r="U712" s="12"/>
      <c r="V712" s="12"/>
      <c r="W712" s="12"/>
      <c r="X712" s="12"/>
      <c r="Y712" s="12"/>
      <c r="Z712" s="12"/>
      <c r="AA712" s="224"/>
      <c r="AB712" s="224"/>
      <c r="AC712" s="224"/>
      <c r="AD712" s="224"/>
      <c r="AE712" s="224"/>
      <c r="AF712" s="224"/>
      <c r="AG712" s="224"/>
      <c r="AH712" s="224"/>
      <c r="AI712" s="224"/>
      <c r="AJ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12"/>
      <c r="BE712" s="12"/>
      <c r="BF712" s="12"/>
      <c r="BG712" s="12"/>
      <c r="BH712" s="12"/>
      <c r="BI712" s="12"/>
      <c r="BJ712" s="12"/>
      <c r="BK712" s="12"/>
      <c r="BL712" s="12"/>
    </row>
    <row r="713" spans="1:64" ht="12" hidden="1" customHeight="1" outlineLevel="1">
      <c r="A713" s="9"/>
      <c r="B713" s="9"/>
      <c r="C713" s="9"/>
      <c r="D713" s="271">
        <f>Asset18</f>
        <v>0</v>
      </c>
      <c r="E713" s="9"/>
      <c r="F713" s="9"/>
      <c r="G713" s="204">
        <f t="shared" si="59"/>
        <v>0</v>
      </c>
      <c r="H713" s="334">
        <f>SUMIF($D$75:$D$466,$D713,H$75:H$466)*Input!I$314</f>
        <v>0</v>
      </c>
      <c r="I713" s="334">
        <f>SUMIF($D$75:$D$466,$D713,I$75:I$466)*Input!J$314</f>
        <v>0</v>
      </c>
      <c r="J713" s="334">
        <f>SUMIF($D$75:$D$466,$D713,J$75:J$466)*Input!K$314</f>
        <v>0</v>
      </c>
      <c r="K713" s="334">
        <f>SUMIF($D$75:$D$466,$D713,K$75:K$466)*Input!L$314</f>
        <v>0</v>
      </c>
      <c r="L713" s="334">
        <f>SUMIF($D$75:$D$466,$D713,L$75:L$466)*Input!M$314</f>
        <v>0</v>
      </c>
      <c r="M713" s="334">
        <f>SUMIF($D$75:$D$466,$D713,M$75:M$466)*Input!N$314</f>
        <v>0</v>
      </c>
      <c r="N713" s="334">
        <f>SUMIF($D$75:$D$466,$D713,N$75:N$466)*Input!O$314</f>
        <v>0</v>
      </c>
      <c r="O713" s="334">
        <f>SUMIF($D$75:$D$466,$D713,O$75:O$466)*Input!P$314</f>
        <v>0</v>
      </c>
      <c r="P713" s="334">
        <f>SUMIF($D$75:$D$466,$D713,P$75:P$466)*Input!Q$314</f>
        <v>0</v>
      </c>
      <c r="Q713" s="334">
        <f>SUMIF($D$75:$D$466,$D713,Q$75:Q$466)*Input!R$314</f>
        <v>0</v>
      </c>
      <c r="R713" s="9"/>
      <c r="S713" s="12"/>
      <c r="T713" s="12"/>
      <c r="U713" s="12"/>
      <c r="V713" s="12"/>
      <c r="W713" s="12"/>
      <c r="X713" s="12"/>
      <c r="Y713" s="12"/>
      <c r="Z713" s="12"/>
      <c r="AA713" s="224"/>
      <c r="AB713" s="224"/>
      <c r="AC713" s="224"/>
      <c r="AD713" s="224"/>
      <c r="AE713" s="224"/>
      <c r="AF713" s="224"/>
      <c r="AG713" s="224"/>
      <c r="AH713" s="224"/>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12"/>
      <c r="BE713" s="12"/>
      <c r="BF713" s="12"/>
      <c r="BG713" s="12"/>
      <c r="BH713" s="12"/>
      <c r="BI713" s="12"/>
      <c r="BJ713" s="12"/>
      <c r="BK713" s="12"/>
      <c r="BL713" s="12"/>
    </row>
    <row r="714" spans="1:64" ht="12" hidden="1" customHeight="1" outlineLevel="1">
      <c r="A714" s="9"/>
      <c r="B714" s="9"/>
      <c r="C714" s="9"/>
      <c r="D714" s="271">
        <f>Asset19</f>
        <v>0</v>
      </c>
      <c r="E714" s="9"/>
      <c r="F714" s="9"/>
      <c r="G714" s="204">
        <f t="shared" si="59"/>
        <v>0</v>
      </c>
      <c r="H714" s="334">
        <f>SUMIF($D$75:$D$466,$D714,H$75:H$466)*Input!I$314</f>
        <v>0</v>
      </c>
      <c r="I714" s="334">
        <f>SUMIF($D$75:$D$466,$D714,I$75:I$466)*Input!J$314</f>
        <v>0</v>
      </c>
      <c r="J714" s="334">
        <f>SUMIF($D$75:$D$466,$D714,J$75:J$466)*Input!K$314</f>
        <v>0</v>
      </c>
      <c r="K714" s="334">
        <f>SUMIF($D$75:$D$466,$D714,K$75:K$466)*Input!L$314</f>
        <v>0</v>
      </c>
      <c r="L714" s="334">
        <f>SUMIF($D$75:$D$466,$D714,L$75:L$466)*Input!M$314</f>
        <v>0</v>
      </c>
      <c r="M714" s="334">
        <f>SUMIF($D$75:$D$466,$D714,M$75:M$466)*Input!N$314</f>
        <v>0</v>
      </c>
      <c r="N714" s="334">
        <f>SUMIF($D$75:$D$466,$D714,N$75:N$466)*Input!O$314</f>
        <v>0</v>
      </c>
      <c r="O714" s="334">
        <f>SUMIF($D$75:$D$466,$D714,O$75:O$466)*Input!P$314</f>
        <v>0</v>
      </c>
      <c r="P714" s="334">
        <f>SUMIF($D$75:$D$466,$D714,P$75:P$466)*Input!Q$314</f>
        <v>0</v>
      </c>
      <c r="Q714" s="334">
        <f>SUMIF($D$75:$D$466,$D714,Q$75:Q$466)*Input!R$314</f>
        <v>0</v>
      </c>
      <c r="R714" s="9"/>
      <c r="S714" s="12"/>
      <c r="T714" s="12"/>
      <c r="U714" s="12"/>
      <c r="V714" s="12"/>
      <c r="W714" s="12"/>
      <c r="X714" s="12"/>
      <c r="Y714" s="12"/>
      <c r="Z714" s="12"/>
      <c r="AA714" s="224"/>
      <c r="AB714" s="224"/>
      <c r="AC714" s="224"/>
      <c r="AD714" s="224"/>
      <c r="AE714" s="224"/>
      <c r="AF714" s="224"/>
      <c r="AG714" s="224"/>
      <c r="AH714" s="224"/>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12"/>
      <c r="BE714" s="12"/>
      <c r="BF714" s="12"/>
      <c r="BG714" s="12"/>
      <c r="BH714" s="12"/>
      <c r="BI714" s="12"/>
      <c r="BJ714" s="12"/>
      <c r="BK714" s="12"/>
      <c r="BL714" s="12"/>
    </row>
    <row r="715" spans="1:64" ht="12" hidden="1" customHeight="1" outlineLevel="1">
      <c r="A715" s="9"/>
      <c r="B715" s="9"/>
      <c r="C715" s="9"/>
      <c r="D715" s="271">
        <f>Asset20</f>
        <v>0</v>
      </c>
      <c r="E715" s="9"/>
      <c r="F715" s="9"/>
      <c r="G715" s="204">
        <f t="shared" si="59"/>
        <v>0</v>
      </c>
      <c r="H715" s="334">
        <f>SUMIF($D$75:$D$466,$D715,H$75:H$466)*Input!I$314</f>
        <v>0</v>
      </c>
      <c r="I715" s="334">
        <f>SUMIF($D$75:$D$466,$D715,I$75:I$466)*Input!J$314</f>
        <v>0</v>
      </c>
      <c r="J715" s="334">
        <f>SUMIF($D$75:$D$466,$D715,J$75:J$466)*Input!K$314</f>
        <v>0</v>
      </c>
      <c r="K715" s="334">
        <f>SUMIF($D$75:$D$466,$D715,K$75:K$466)*Input!L$314</f>
        <v>0</v>
      </c>
      <c r="L715" s="334">
        <f>SUMIF($D$75:$D$466,$D715,L$75:L$466)*Input!M$314</f>
        <v>0</v>
      </c>
      <c r="M715" s="334">
        <f>SUMIF($D$75:$D$466,$D715,M$75:M$466)*Input!N$314</f>
        <v>0</v>
      </c>
      <c r="N715" s="334">
        <f>SUMIF($D$75:$D$466,$D715,N$75:N$466)*Input!O$314</f>
        <v>0</v>
      </c>
      <c r="O715" s="334">
        <f>SUMIF($D$75:$D$466,$D715,O$75:O$466)*Input!P$314</f>
        <v>0</v>
      </c>
      <c r="P715" s="334">
        <f>SUMIF($D$75:$D$466,$D715,P$75:P$466)*Input!Q$314</f>
        <v>0</v>
      </c>
      <c r="Q715" s="334">
        <f>SUMIF($D$75:$D$466,$D715,Q$75:Q$466)*Input!R$314</f>
        <v>0</v>
      </c>
      <c r="R715" s="9"/>
      <c r="S715" s="12"/>
      <c r="T715" s="12"/>
      <c r="U715" s="12"/>
      <c r="V715" s="12"/>
      <c r="W715" s="12"/>
      <c r="X715" s="12"/>
      <c r="Y715" s="12"/>
      <c r="Z715" s="12"/>
      <c r="AA715" s="224"/>
      <c r="AB715" s="224"/>
      <c r="AC715" s="224"/>
      <c r="AD715" s="224"/>
      <c r="AE715" s="224"/>
      <c r="AF715" s="224"/>
      <c r="AG715" s="224"/>
      <c r="AH715" s="224"/>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12"/>
      <c r="BE715" s="12"/>
      <c r="BF715" s="12"/>
      <c r="BG715" s="12"/>
      <c r="BH715" s="12"/>
      <c r="BI715" s="12"/>
      <c r="BJ715" s="12"/>
      <c r="BK715" s="12"/>
      <c r="BL715" s="12"/>
    </row>
    <row r="716" spans="1:64" ht="12" hidden="1" customHeight="1" outlineLevel="1">
      <c r="A716" s="9"/>
      <c r="B716" s="9"/>
      <c r="C716" s="9"/>
      <c r="D716" s="271">
        <f>Asset21</f>
        <v>0</v>
      </c>
      <c r="E716" s="9"/>
      <c r="F716" s="9"/>
      <c r="G716" s="204">
        <f t="shared" si="59"/>
        <v>0</v>
      </c>
      <c r="H716" s="334">
        <f>SUMIF($D$75:$D$466,$D716,H$75:H$466)*Input!I$314</f>
        <v>0</v>
      </c>
      <c r="I716" s="334">
        <f>SUMIF($D$75:$D$466,$D716,I$75:I$466)*Input!J$314</f>
        <v>0</v>
      </c>
      <c r="J716" s="334">
        <f>SUMIF($D$75:$D$466,$D716,J$75:J$466)*Input!K$314</f>
        <v>0</v>
      </c>
      <c r="K716" s="334">
        <f>SUMIF($D$75:$D$466,$D716,K$75:K$466)*Input!L$314</f>
        <v>0</v>
      </c>
      <c r="L716" s="334">
        <f>SUMIF($D$75:$D$466,$D716,L$75:L$466)*Input!M$314</f>
        <v>0</v>
      </c>
      <c r="M716" s="334">
        <f>SUMIF($D$75:$D$466,$D716,M$75:M$466)*Input!N$314</f>
        <v>0</v>
      </c>
      <c r="N716" s="334">
        <f>SUMIF($D$75:$D$466,$D716,N$75:N$466)*Input!O$314</f>
        <v>0</v>
      </c>
      <c r="O716" s="334">
        <f>SUMIF($D$75:$D$466,$D716,O$75:O$466)*Input!P$314</f>
        <v>0</v>
      </c>
      <c r="P716" s="334">
        <f>SUMIF($D$75:$D$466,$D716,P$75:P$466)*Input!Q$314</f>
        <v>0</v>
      </c>
      <c r="Q716" s="334">
        <f>SUMIF($D$75:$D$466,$D716,Q$75:Q$466)*Input!R$314</f>
        <v>0</v>
      </c>
      <c r="R716" s="9"/>
      <c r="S716" s="12"/>
      <c r="T716" s="12"/>
      <c r="U716" s="12"/>
      <c r="V716" s="12"/>
      <c r="W716" s="12"/>
      <c r="X716" s="12"/>
      <c r="Y716" s="12"/>
      <c r="Z716" s="12"/>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12"/>
      <c r="BE716" s="12"/>
      <c r="BF716" s="12"/>
      <c r="BG716" s="12"/>
      <c r="BH716" s="12"/>
      <c r="BI716" s="12"/>
      <c r="BJ716" s="12"/>
      <c r="BK716" s="12"/>
      <c r="BL716" s="12"/>
    </row>
    <row r="717" spans="1:64" ht="12" hidden="1" customHeight="1" outlineLevel="1">
      <c r="A717" s="9"/>
      <c r="B717" s="9"/>
      <c r="C717" s="9"/>
      <c r="D717" s="271">
        <f>Asset22</f>
        <v>0</v>
      </c>
      <c r="E717" s="9"/>
      <c r="F717" s="9"/>
      <c r="G717" s="204">
        <f t="shared" si="59"/>
        <v>0</v>
      </c>
      <c r="H717" s="334">
        <f>SUMIF($D$75:$D$466,$D717,H$75:H$466)*Input!I$314</f>
        <v>0</v>
      </c>
      <c r="I717" s="334">
        <f>SUMIF($D$75:$D$466,$D717,I$75:I$466)*Input!J$314</f>
        <v>0</v>
      </c>
      <c r="J717" s="334">
        <f>SUMIF($D$75:$D$466,$D717,J$75:J$466)*Input!K$314</f>
        <v>0</v>
      </c>
      <c r="K717" s="334">
        <f>SUMIF($D$75:$D$466,$D717,K$75:K$466)*Input!L$314</f>
        <v>0</v>
      </c>
      <c r="L717" s="334">
        <f>SUMIF($D$75:$D$466,$D717,L$75:L$466)*Input!M$314</f>
        <v>0</v>
      </c>
      <c r="M717" s="334">
        <f>SUMIF($D$75:$D$466,$D717,M$75:M$466)*Input!N$314</f>
        <v>0</v>
      </c>
      <c r="N717" s="334">
        <f>SUMIF($D$75:$D$466,$D717,N$75:N$466)*Input!O$314</f>
        <v>0</v>
      </c>
      <c r="O717" s="334">
        <f>SUMIF($D$75:$D$466,$D717,O$75:O$466)*Input!P$314</f>
        <v>0</v>
      </c>
      <c r="P717" s="334">
        <f>SUMIF($D$75:$D$466,$D717,P$75:P$466)*Input!Q$314</f>
        <v>0</v>
      </c>
      <c r="Q717" s="334">
        <f>SUMIF($D$75:$D$466,$D717,Q$75:Q$466)*Input!R$314</f>
        <v>0</v>
      </c>
      <c r="R717" s="9"/>
      <c r="S717" s="12"/>
      <c r="T717" s="12"/>
      <c r="U717" s="12"/>
      <c r="V717" s="12"/>
      <c r="W717" s="12"/>
      <c r="X717" s="12"/>
      <c r="Y717" s="12"/>
      <c r="Z717" s="12"/>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12"/>
      <c r="BE717" s="12"/>
      <c r="BF717" s="12"/>
      <c r="BG717" s="12"/>
      <c r="BH717" s="12"/>
      <c r="BI717" s="12"/>
      <c r="BJ717" s="12"/>
      <c r="BK717" s="12"/>
      <c r="BL717" s="12"/>
    </row>
    <row r="718" spans="1:64" ht="12" hidden="1" customHeight="1" outlineLevel="1">
      <c r="A718" s="9"/>
      <c r="B718" s="9"/>
      <c r="C718" s="9"/>
      <c r="D718" s="271">
        <f>Asset23</f>
        <v>0</v>
      </c>
      <c r="E718" s="9"/>
      <c r="F718" s="9"/>
      <c r="G718" s="204">
        <f t="shared" si="59"/>
        <v>0</v>
      </c>
      <c r="H718" s="334">
        <f>SUMIF($D$75:$D$466,$D718,H$75:H$466)*Input!I$314</f>
        <v>0</v>
      </c>
      <c r="I718" s="334">
        <f>SUMIF($D$75:$D$466,$D718,I$75:I$466)*Input!J$314</f>
        <v>0</v>
      </c>
      <c r="J718" s="334">
        <f>SUMIF($D$75:$D$466,$D718,J$75:J$466)*Input!K$314</f>
        <v>0</v>
      </c>
      <c r="K718" s="334">
        <f>SUMIF($D$75:$D$466,$D718,K$75:K$466)*Input!L$314</f>
        <v>0</v>
      </c>
      <c r="L718" s="334">
        <f>SUMIF($D$75:$D$466,$D718,L$75:L$466)*Input!M$314</f>
        <v>0</v>
      </c>
      <c r="M718" s="334">
        <f>SUMIF($D$75:$D$466,$D718,M$75:M$466)*Input!N$314</f>
        <v>0</v>
      </c>
      <c r="N718" s="334">
        <f>SUMIF($D$75:$D$466,$D718,N$75:N$466)*Input!O$314</f>
        <v>0</v>
      </c>
      <c r="O718" s="334">
        <f>SUMIF($D$75:$D$466,$D718,O$75:O$466)*Input!P$314</f>
        <v>0</v>
      </c>
      <c r="P718" s="334">
        <f>SUMIF($D$75:$D$466,$D718,P$75:P$466)*Input!Q$314</f>
        <v>0</v>
      </c>
      <c r="Q718" s="334">
        <f>SUMIF($D$75:$D$466,$D718,Q$75:Q$466)*Input!R$314</f>
        <v>0</v>
      </c>
      <c r="R718" s="9"/>
      <c r="S718" s="12"/>
      <c r="T718" s="12"/>
      <c r="U718" s="12"/>
      <c r="V718" s="12"/>
      <c r="W718" s="12"/>
      <c r="X718" s="12"/>
      <c r="Y718" s="12"/>
      <c r="Z718" s="12"/>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12"/>
      <c r="BE718" s="12"/>
      <c r="BF718" s="12"/>
      <c r="BG718" s="12"/>
      <c r="BH718" s="12"/>
      <c r="BI718" s="12"/>
      <c r="BJ718" s="12"/>
      <c r="BK718" s="12"/>
      <c r="BL718" s="12"/>
    </row>
    <row r="719" spans="1:64" ht="12" hidden="1" customHeight="1" outlineLevel="1">
      <c r="A719" s="9"/>
      <c r="B719" s="9"/>
      <c r="C719" s="9"/>
      <c r="D719" s="271">
        <f>Asset24</f>
        <v>0</v>
      </c>
      <c r="E719" s="9"/>
      <c r="F719" s="9"/>
      <c r="G719" s="204">
        <f t="shared" si="59"/>
        <v>0</v>
      </c>
      <c r="H719" s="334">
        <f>SUMIF($D$75:$D$466,$D719,H$75:H$466)*Input!I$314</f>
        <v>0</v>
      </c>
      <c r="I719" s="334">
        <f>SUMIF($D$75:$D$466,$D719,I$75:I$466)*Input!J$314</f>
        <v>0</v>
      </c>
      <c r="J719" s="334">
        <f>SUMIF($D$75:$D$466,$D719,J$75:J$466)*Input!K$314</f>
        <v>0</v>
      </c>
      <c r="K719" s="334">
        <f>SUMIF($D$75:$D$466,$D719,K$75:K$466)*Input!L$314</f>
        <v>0</v>
      </c>
      <c r="L719" s="334">
        <f>SUMIF($D$75:$D$466,$D719,L$75:L$466)*Input!M$314</f>
        <v>0</v>
      </c>
      <c r="M719" s="334">
        <f>SUMIF($D$75:$D$466,$D719,M$75:M$466)*Input!N$314</f>
        <v>0</v>
      </c>
      <c r="N719" s="334">
        <f>SUMIF($D$75:$D$466,$D719,N$75:N$466)*Input!O$314</f>
        <v>0</v>
      </c>
      <c r="O719" s="334">
        <f>SUMIF($D$75:$D$466,$D719,O$75:O$466)*Input!P$314</f>
        <v>0</v>
      </c>
      <c r="P719" s="334">
        <f>SUMIF($D$75:$D$466,$D719,P$75:P$466)*Input!Q$314</f>
        <v>0</v>
      </c>
      <c r="Q719" s="334">
        <f>SUMIF($D$75:$D$466,$D719,Q$75:Q$466)*Input!R$314</f>
        <v>0</v>
      </c>
      <c r="R719" s="9"/>
      <c r="S719" s="12"/>
      <c r="T719" s="12"/>
      <c r="U719" s="12"/>
      <c r="V719" s="12"/>
      <c r="W719" s="12"/>
      <c r="X719" s="12"/>
      <c r="Y719" s="12"/>
      <c r="Z719" s="12"/>
      <c r="AA719" s="224"/>
      <c r="AB719" s="224"/>
      <c r="AC719" s="224"/>
      <c r="AD719" s="224"/>
      <c r="AE719" s="224"/>
      <c r="AF719" s="224"/>
      <c r="AG719" s="224"/>
      <c r="AH719" s="224"/>
      <c r="AI719" s="224"/>
      <c r="AJ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12"/>
      <c r="BE719" s="12"/>
      <c r="BF719" s="12"/>
      <c r="BG719" s="12"/>
      <c r="BH719" s="12"/>
      <c r="BI719" s="12"/>
      <c r="BJ719" s="12"/>
      <c r="BK719" s="12"/>
      <c r="BL719" s="12"/>
    </row>
    <row r="720" spans="1:64" ht="12" hidden="1" customHeight="1" outlineLevel="1">
      <c r="A720" s="9"/>
      <c r="B720" s="9"/>
      <c r="C720" s="9"/>
      <c r="D720" s="271">
        <f>Asset25</f>
        <v>0</v>
      </c>
      <c r="E720" s="9"/>
      <c r="F720" s="9"/>
      <c r="G720" s="204">
        <f t="shared" si="59"/>
        <v>0</v>
      </c>
      <c r="H720" s="334">
        <f>SUMIF($D$75:$D$466,$D720,H$75:H$466)*Input!I$314</f>
        <v>0</v>
      </c>
      <c r="I720" s="334">
        <f>SUMIF($D$75:$D$466,$D720,I$75:I$466)*Input!J$314</f>
        <v>0</v>
      </c>
      <c r="J720" s="334">
        <f>SUMIF($D$75:$D$466,$D720,J$75:J$466)*Input!K$314</f>
        <v>0</v>
      </c>
      <c r="K720" s="334">
        <f>SUMIF($D$75:$D$466,$D720,K$75:K$466)*Input!L$314</f>
        <v>0</v>
      </c>
      <c r="L720" s="334">
        <f>SUMIF($D$75:$D$466,$D720,L$75:L$466)*Input!M$314</f>
        <v>0</v>
      </c>
      <c r="M720" s="334">
        <f>SUMIF($D$75:$D$466,$D720,M$75:M$466)*Input!N$314</f>
        <v>0</v>
      </c>
      <c r="N720" s="334">
        <f>SUMIF($D$75:$D$466,$D720,N$75:N$466)*Input!O$314</f>
        <v>0</v>
      </c>
      <c r="O720" s="334">
        <f>SUMIF($D$75:$D$466,$D720,O$75:O$466)*Input!P$314</f>
        <v>0</v>
      </c>
      <c r="P720" s="334">
        <f>SUMIF($D$75:$D$466,$D720,P$75:P$466)*Input!Q$314</f>
        <v>0</v>
      </c>
      <c r="Q720" s="334">
        <f>SUMIF($D$75:$D$466,$D720,Q$75:Q$466)*Input!R$314</f>
        <v>0</v>
      </c>
      <c r="R720" s="9"/>
      <c r="S720" s="12"/>
      <c r="T720" s="12"/>
      <c r="U720" s="12"/>
      <c r="V720" s="12"/>
      <c r="W720" s="12"/>
      <c r="X720" s="12"/>
      <c r="Y720" s="12"/>
      <c r="Z720" s="12"/>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12"/>
      <c r="BE720" s="12"/>
      <c r="BF720" s="12"/>
      <c r="BG720" s="12"/>
      <c r="BH720" s="12"/>
      <c r="BI720" s="12"/>
      <c r="BJ720" s="12"/>
      <c r="BK720" s="12"/>
      <c r="BL720" s="12"/>
    </row>
    <row r="721" spans="1:64" ht="12" hidden="1" customHeight="1" outlineLevel="1">
      <c r="A721" s="9"/>
      <c r="B721" s="9"/>
      <c r="C721" s="9"/>
      <c r="D721" s="271">
        <f>Asset26</f>
        <v>0</v>
      </c>
      <c r="E721" s="9"/>
      <c r="F721" s="9"/>
      <c r="G721" s="204">
        <f t="shared" si="59"/>
        <v>0</v>
      </c>
      <c r="H721" s="334">
        <f>SUMIF($D$75:$D$466,$D721,H$75:H$466)*Input!I$314</f>
        <v>0</v>
      </c>
      <c r="I721" s="334">
        <f>SUMIF($D$75:$D$466,$D721,I$75:I$466)*Input!J$314</f>
        <v>0</v>
      </c>
      <c r="J721" s="334">
        <f>SUMIF($D$75:$D$466,$D721,J$75:J$466)*Input!K$314</f>
        <v>0</v>
      </c>
      <c r="K721" s="334">
        <f>SUMIF($D$75:$D$466,$D721,K$75:K$466)*Input!L$314</f>
        <v>0</v>
      </c>
      <c r="L721" s="334">
        <f>SUMIF($D$75:$D$466,$D721,L$75:L$466)*Input!M$314</f>
        <v>0</v>
      </c>
      <c r="M721" s="334">
        <f>SUMIF($D$75:$D$466,$D721,M$75:M$466)*Input!N$314</f>
        <v>0</v>
      </c>
      <c r="N721" s="334">
        <f>SUMIF($D$75:$D$466,$D721,N$75:N$466)*Input!O$314</f>
        <v>0</v>
      </c>
      <c r="O721" s="334">
        <f>SUMIF($D$75:$D$466,$D721,O$75:O$466)*Input!P$314</f>
        <v>0</v>
      </c>
      <c r="P721" s="334">
        <f>SUMIF($D$75:$D$466,$D721,P$75:P$466)*Input!Q$314</f>
        <v>0</v>
      </c>
      <c r="Q721" s="334">
        <f>SUMIF($D$75:$D$466,$D721,Q$75:Q$466)*Input!R$314</f>
        <v>0</v>
      </c>
      <c r="R721" s="9"/>
      <c r="S721" s="12"/>
      <c r="T721" s="12"/>
      <c r="U721" s="12"/>
      <c r="V721" s="12"/>
      <c r="W721" s="12"/>
      <c r="X721" s="12"/>
      <c r="Y721" s="12"/>
      <c r="Z721" s="12"/>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12"/>
      <c r="BE721" s="12"/>
      <c r="BF721" s="12"/>
      <c r="BG721" s="12"/>
      <c r="BH721" s="12"/>
      <c r="BI721" s="12"/>
      <c r="BJ721" s="12"/>
      <c r="BK721" s="12"/>
      <c r="BL721" s="12"/>
    </row>
    <row r="722" spans="1:64" ht="12" hidden="1" customHeight="1" outlineLevel="1">
      <c r="A722" s="9"/>
      <c r="B722" s="9"/>
      <c r="C722" s="9"/>
      <c r="D722" s="271">
        <f>Asset27</f>
        <v>0</v>
      </c>
      <c r="E722" s="9"/>
      <c r="F722" s="9"/>
      <c r="G722" s="204">
        <f t="shared" si="59"/>
        <v>0</v>
      </c>
      <c r="H722" s="334">
        <f>SUMIF($D$75:$D$466,$D722,H$75:H$466)*Input!I$314</f>
        <v>0</v>
      </c>
      <c r="I722" s="334">
        <f>SUMIF($D$75:$D$466,$D722,I$75:I$466)*Input!J$314</f>
        <v>0</v>
      </c>
      <c r="J722" s="334">
        <f>SUMIF($D$75:$D$466,$D722,J$75:J$466)*Input!K$314</f>
        <v>0</v>
      </c>
      <c r="K722" s="334">
        <f>SUMIF($D$75:$D$466,$D722,K$75:K$466)*Input!L$314</f>
        <v>0</v>
      </c>
      <c r="L722" s="334">
        <f>SUMIF($D$75:$D$466,$D722,L$75:L$466)*Input!M$314</f>
        <v>0</v>
      </c>
      <c r="M722" s="334">
        <f>SUMIF($D$75:$D$466,$D722,M$75:M$466)*Input!N$314</f>
        <v>0</v>
      </c>
      <c r="N722" s="334">
        <f>SUMIF($D$75:$D$466,$D722,N$75:N$466)*Input!O$314</f>
        <v>0</v>
      </c>
      <c r="O722" s="334">
        <f>SUMIF($D$75:$D$466,$D722,O$75:O$466)*Input!P$314</f>
        <v>0</v>
      </c>
      <c r="P722" s="334">
        <f>SUMIF($D$75:$D$466,$D722,P$75:P$466)*Input!Q$314</f>
        <v>0</v>
      </c>
      <c r="Q722" s="334">
        <f>SUMIF($D$75:$D$466,$D722,Q$75:Q$466)*Input!R$314</f>
        <v>0</v>
      </c>
      <c r="R722" s="9"/>
      <c r="S722" s="12"/>
      <c r="T722" s="12"/>
      <c r="U722" s="12"/>
      <c r="V722" s="12"/>
      <c r="W722" s="12"/>
      <c r="X722" s="12"/>
      <c r="Y722" s="12"/>
      <c r="Z722" s="12"/>
      <c r="AA722" s="224"/>
      <c r="AB722" s="224"/>
      <c r="AC722" s="224"/>
      <c r="AD722" s="224"/>
      <c r="AE722" s="224"/>
      <c r="AF722" s="224"/>
      <c r="AG722" s="224"/>
      <c r="AH722" s="224"/>
      <c r="AI722" s="224"/>
      <c r="AJ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12"/>
      <c r="BE722" s="12"/>
      <c r="BF722" s="12"/>
      <c r="BG722" s="12"/>
      <c r="BH722" s="12"/>
      <c r="BI722" s="12"/>
      <c r="BJ722" s="12"/>
      <c r="BK722" s="12"/>
      <c r="BL722" s="12"/>
    </row>
    <row r="723" spans="1:64" ht="12" hidden="1" customHeight="1" outlineLevel="1">
      <c r="A723" s="9"/>
      <c r="B723" s="9"/>
      <c r="C723" s="9"/>
      <c r="D723" s="271">
        <f>Asset28</f>
        <v>0</v>
      </c>
      <c r="E723" s="9"/>
      <c r="F723" s="9"/>
      <c r="G723" s="204">
        <f t="shared" si="59"/>
        <v>0</v>
      </c>
      <c r="H723" s="334">
        <f>SUMIF($D$75:$D$466,$D723,H$75:H$466)*Input!I$314</f>
        <v>0</v>
      </c>
      <c r="I723" s="334">
        <f>SUMIF($D$75:$D$466,$D723,I$75:I$466)*Input!J$314</f>
        <v>0</v>
      </c>
      <c r="J723" s="334">
        <f>SUMIF($D$75:$D$466,$D723,J$75:J$466)*Input!K$314</f>
        <v>0</v>
      </c>
      <c r="K723" s="334">
        <f>SUMIF($D$75:$D$466,$D723,K$75:K$466)*Input!L$314</f>
        <v>0</v>
      </c>
      <c r="L723" s="334">
        <f>SUMIF($D$75:$D$466,$D723,L$75:L$466)*Input!M$314</f>
        <v>0</v>
      </c>
      <c r="M723" s="334">
        <f>SUMIF($D$75:$D$466,$D723,M$75:M$466)*Input!N$314</f>
        <v>0</v>
      </c>
      <c r="N723" s="334">
        <f>SUMIF($D$75:$D$466,$D723,N$75:N$466)*Input!O$314</f>
        <v>0</v>
      </c>
      <c r="O723" s="334">
        <f>SUMIF($D$75:$D$466,$D723,O$75:O$466)*Input!P$314</f>
        <v>0</v>
      </c>
      <c r="P723" s="334">
        <f>SUMIF($D$75:$D$466,$D723,P$75:P$466)*Input!Q$314</f>
        <v>0</v>
      </c>
      <c r="Q723" s="334">
        <f>SUMIF($D$75:$D$466,$D723,Q$75:Q$466)*Input!R$314</f>
        <v>0</v>
      </c>
      <c r="R723" s="9"/>
      <c r="S723" s="12"/>
      <c r="T723" s="12"/>
      <c r="U723" s="12"/>
      <c r="V723" s="12"/>
      <c r="W723" s="12"/>
      <c r="X723" s="12"/>
      <c r="Y723" s="12"/>
      <c r="Z723" s="12"/>
      <c r="AA723" s="224"/>
      <c r="AB723" s="224"/>
      <c r="AC723" s="224"/>
      <c r="AD723" s="224"/>
      <c r="AE723" s="224"/>
      <c r="AF723" s="224"/>
      <c r="AG723" s="224"/>
      <c r="AH723" s="224"/>
      <c r="AI723" s="224"/>
      <c r="AJ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12"/>
      <c r="BE723" s="12"/>
      <c r="BF723" s="12"/>
      <c r="BG723" s="12"/>
      <c r="BH723" s="12"/>
      <c r="BI723" s="12"/>
      <c r="BJ723" s="12"/>
      <c r="BK723" s="12"/>
      <c r="BL723" s="12"/>
    </row>
    <row r="724" spans="1:64" ht="12" hidden="1" customHeight="1" outlineLevel="1">
      <c r="A724" s="9"/>
      <c r="B724" s="9"/>
      <c r="C724" s="9"/>
      <c r="D724" s="271">
        <f>Asset29</f>
        <v>0</v>
      </c>
      <c r="E724" s="9"/>
      <c r="F724" s="9"/>
      <c r="G724" s="204">
        <f t="shared" si="59"/>
        <v>0</v>
      </c>
      <c r="H724" s="334">
        <f>SUMIF($D$75:$D$466,$D724,H$75:H$466)*Input!I$314</f>
        <v>0</v>
      </c>
      <c r="I724" s="334">
        <f>SUMIF($D$75:$D$466,$D724,I$75:I$466)*Input!J$314</f>
        <v>0</v>
      </c>
      <c r="J724" s="334">
        <f>SUMIF($D$75:$D$466,$D724,J$75:J$466)*Input!K$314</f>
        <v>0</v>
      </c>
      <c r="K724" s="334">
        <f>SUMIF($D$75:$D$466,$D724,K$75:K$466)*Input!L$314</f>
        <v>0</v>
      </c>
      <c r="L724" s="334">
        <f>SUMIF($D$75:$D$466,$D724,L$75:L$466)*Input!M$314</f>
        <v>0</v>
      </c>
      <c r="M724" s="334">
        <f>SUMIF($D$75:$D$466,$D724,M$75:M$466)*Input!N$314</f>
        <v>0</v>
      </c>
      <c r="N724" s="334">
        <f>SUMIF($D$75:$D$466,$D724,N$75:N$466)*Input!O$314</f>
        <v>0</v>
      </c>
      <c r="O724" s="334">
        <f>SUMIF($D$75:$D$466,$D724,O$75:O$466)*Input!P$314</f>
        <v>0</v>
      </c>
      <c r="P724" s="334">
        <f>SUMIF($D$75:$D$466,$D724,P$75:P$466)*Input!Q$314</f>
        <v>0</v>
      </c>
      <c r="Q724" s="334">
        <f>SUMIF($D$75:$D$466,$D724,Q$75:Q$466)*Input!R$314</f>
        <v>0</v>
      </c>
      <c r="R724" s="9"/>
      <c r="S724" s="12"/>
      <c r="T724" s="12"/>
      <c r="U724" s="12"/>
      <c r="V724" s="12"/>
      <c r="W724" s="12"/>
      <c r="X724" s="12"/>
      <c r="Y724" s="12"/>
      <c r="Z724" s="12"/>
      <c r="AA724" s="224"/>
      <c r="AB724" s="224"/>
      <c r="AC724" s="224"/>
      <c r="AD724" s="224"/>
      <c r="AE724" s="224"/>
      <c r="AF724" s="224"/>
      <c r="AG724" s="224"/>
      <c r="AH724" s="224"/>
      <c r="AI724" s="224"/>
      <c r="AJ724" s="224"/>
      <c r="AK724" s="224"/>
      <c r="AL724" s="224"/>
      <c r="AM724" s="224"/>
      <c r="AN724" s="224"/>
      <c r="AO724" s="224"/>
      <c r="AP724" s="224"/>
      <c r="AQ724" s="224"/>
      <c r="AR724" s="224"/>
      <c r="AS724" s="224"/>
      <c r="AT724" s="224"/>
      <c r="AU724" s="224"/>
      <c r="AV724" s="224"/>
      <c r="AW724" s="224"/>
      <c r="AX724" s="224"/>
      <c r="AY724" s="224"/>
      <c r="AZ724" s="224"/>
      <c r="BA724" s="224"/>
      <c r="BB724" s="224"/>
      <c r="BC724" s="224"/>
      <c r="BD724" s="12"/>
      <c r="BE724" s="12"/>
      <c r="BF724" s="12"/>
      <c r="BG724" s="12"/>
      <c r="BH724" s="12"/>
      <c r="BI724" s="12"/>
      <c r="BJ724" s="12"/>
      <c r="BK724" s="12"/>
      <c r="BL724" s="12"/>
    </row>
    <row r="725" spans="1:64" ht="12" hidden="1" customHeight="1" outlineLevel="1">
      <c r="A725" s="9"/>
      <c r="B725" s="9"/>
      <c r="C725" s="9"/>
      <c r="D725" s="271">
        <f>Asset30</f>
        <v>0</v>
      </c>
      <c r="E725" s="9"/>
      <c r="F725" s="9"/>
      <c r="G725" s="204">
        <f t="shared" si="59"/>
        <v>0</v>
      </c>
      <c r="H725" s="334">
        <f>SUMIF($D$75:$D$466,$D725,H$75:H$466)*Input!I$314</f>
        <v>0</v>
      </c>
      <c r="I725" s="334">
        <f>SUMIF($D$75:$D$466,$D725,I$75:I$466)*Input!J$314</f>
        <v>0</v>
      </c>
      <c r="J725" s="334">
        <f>SUMIF($D$75:$D$466,$D725,J$75:J$466)*Input!K$314</f>
        <v>0</v>
      </c>
      <c r="K725" s="334">
        <f>SUMIF($D$75:$D$466,$D725,K$75:K$466)*Input!L$314</f>
        <v>0</v>
      </c>
      <c r="L725" s="334">
        <f>SUMIF($D$75:$D$466,$D725,L$75:L$466)*Input!M$314</f>
        <v>0</v>
      </c>
      <c r="M725" s="334">
        <f>SUMIF($D$75:$D$466,$D725,M$75:M$466)*Input!N$314</f>
        <v>0</v>
      </c>
      <c r="N725" s="334">
        <f>SUMIF($D$75:$D$466,$D725,N$75:N$466)*Input!O$314</f>
        <v>0</v>
      </c>
      <c r="O725" s="334">
        <f>SUMIF($D$75:$D$466,$D725,O$75:O$466)*Input!P$314</f>
        <v>0</v>
      </c>
      <c r="P725" s="334">
        <f>SUMIF($D$75:$D$466,$D725,P$75:P$466)*Input!Q$314</f>
        <v>0</v>
      </c>
      <c r="Q725" s="334">
        <f>SUMIF($D$75:$D$466,$D725,Q$75:Q$466)*Input!R$314</f>
        <v>0</v>
      </c>
      <c r="R725" s="9"/>
      <c r="S725" s="12"/>
      <c r="T725" s="12"/>
      <c r="U725" s="12"/>
      <c r="V725" s="12"/>
      <c r="W725" s="12"/>
      <c r="X725" s="12"/>
      <c r="Y725" s="12"/>
      <c r="Z725" s="12"/>
      <c r="AA725" s="224"/>
      <c r="AB725" s="224"/>
      <c r="AC725" s="224"/>
      <c r="AD725" s="224"/>
      <c r="AE725" s="224"/>
      <c r="AF725" s="224"/>
      <c r="AG725" s="224"/>
      <c r="AH725" s="224"/>
      <c r="AI725" s="224"/>
      <c r="AJ725" s="224"/>
      <c r="AK725" s="224"/>
      <c r="AL725" s="224"/>
      <c r="AM725" s="224"/>
      <c r="AN725" s="224"/>
      <c r="AO725" s="224"/>
      <c r="AP725" s="224"/>
      <c r="AQ725" s="224"/>
      <c r="AR725" s="224"/>
      <c r="AS725" s="224"/>
      <c r="AT725" s="224"/>
      <c r="AU725" s="224"/>
      <c r="AV725" s="224"/>
      <c r="AW725" s="224"/>
      <c r="AX725" s="224"/>
      <c r="AY725" s="224"/>
      <c r="AZ725" s="224"/>
      <c r="BA725" s="224"/>
      <c r="BB725" s="224"/>
      <c r="BC725" s="224"/>
      <c r="BD725" s="12"/>
      <c r="BE725" s="12"/>
      <c r="BF725" s="12"/>
      <c r="BG725" s="12"/>
      <c r="BH725" s="12"/>
      <c r="BI725" s="12"/>
      <c r="BJ725" s="12"/>
      <c r="BK725" s="12"/>
      <c r="BL725" s="12"/>
    </row>
    <row r="726" spans="1:64" ht="12" customHeight="1" collapsed="1">
      <c r="A726" s="9"/>
      <c r="B726" s="9"/>
      <c r="C726" s="9"/>
      <c r="D726" s="9"/>
      <c r="E726" s="9"/>
      <c r="F726" s="9"/>
      <c r="G726" s="212"/>
      <c r="H726" s="9"/>
      <c r="I726" s="9"/>
      <c r="J726" s="9"/>
      <c r="K726" s="9"/>
      <c r="L726" s="9"/>
      <c r="M726" s="9"/>
      <c r="N726" s="9"/>
      <c r="O726" s="9"/>
      <c r="P726" s="9"/>
      <c r="Q726" s="9"/>
      <c r="R726" s="9"/>
      <c r="S726" s="12"/>
      <c r="T726" s="12"/>
      <c r="U726" s="12"/>
      <c r="V726" s="12"/>
      <c r="W726" s="12"/>
      <c r="X726" s="12"/>
      <c r="Y726" s="12"/>
      <c r="Z726" s="12"/>
      <c r="AA726" s="224"/>
      <c r="AB726" s="224"/>
      <c r="AC726" s="224"/>
      <c r="AD726" s="224"/>
      <c r="AE726" s="224"/>
      <c r="AF726" s="224"/>
      <c r="AG726" s="224"/>
      <c r="AH726" s="224"/>
      <c r="AI726" s="224"/>
      <c r="AJ726" s="224"/>
      <c r="AK726" s="224"/>
      <c r="AL726" s="224"/>
      <c r="AM726" s="224"/>
      <c r="AN726" s="224"/>
      <c r="AO726" s="224"/>
      <c r="AP726" s="224"/>
      <c r="AQ726" s="224"/>
      <c r="AR726" s="224"/>
      <c r="AS726" s="224"/>
      <c r="AT726" s="224"/>
      <c r="AU726" s="224"/>
      <c r="AV726" s="224"/>
      <c r="AW726" s="224"/>
      <c r="AX726" s="224"/>
      <c r="AY726" s="224"/>
      <c r="AZ726" s="224"/>
      <c r="BA726" s="224"/>
      <c r="BB726" s="224"/>
      <c r="BC726" s="224"/>
      <c r="BD726" s="12"/>
      <c r="BE726" s="12"/>
      <c r="BF726" s="12"/>
      <c r="BG726" s="12"/>
      <c r="BH726" s="12"/>
      <c r="BI726" s="12"/>
      <c r="BJ726" s="12"/>
      <c r="BK726" s="12"/>
      <c r="BL726" s="12"/>
    </row>
    <row r="727" spans="1:64" ht="12" customHeight="1">
      <c r="A727" s="9"/>
      <c r="B727" s="12"/>
      <c r="C727" s="94" t="s">
        <v>20</v>
      </c>
      <c r="D727" s="12"/>
      <c r="E727" s="12"/>
      <c r="F727" s="12"/>
      <c r="G727" s="208">
        <f>SUM(G728:G757)</f>
        <v>23.711477669814084</v>
      </c>
      <c r="H727" s="122">
        <f>SUM(H728:H757)</f>
        <v>58.358014091021396</v>
      </c>
      <c r="I727" s="122">
        <f t="shared" ref="I727:P727" si="60">SUM(I728:I757)</f>
        <v>80.192680527917901</v>
      </c>
      <c r="J727" s="122">
        <f t="shared" si="60"/>
        <v>51.362933692702775</v>
      </c>
      <c r="K727" s="122">
        <f t="shared" si="60"/>
        <v>61.784676203251493</v>
      </c>
      <c r="L727" s="122">
        <f t="shared" si="60"/>
        <v>73.39360744845203</v>
      </c>
      <c r="M727" s="122">
        <f t="shared" si="60"/>
        <v>0</v>
      </c>
      <c r="N727" s="122">
        <f t="shared" si="60"/>
        <v>0</v>
      </c>
      <c r="O727" s="122">
        <f t="shared" si="60"/>
        <v>0</v>
      </c>
      <c r="P727" s="122">
        <f t="shared" si="60"/>
        <v>0</v>
      </c>
      <c r="Q727" s="122">
        <f>SUM(Q728:Q757)</f>
        <v>0</v>
      </c>
      <c r="R727" s="9"/>
      <c r="S727" s="12"/>
      <c r="T727" s="12"/>
      <c r="U727" s="12"/>
      <c r="V727" s="12"/>
      <c r="W727" s="12"/>
      <c r="X727" s="12"/>
      <c r="Y727" s="12"/>
      <c r="Z727" s="12"/>
      <c r="AA727" s="224"/>
      <c r="AB727" s="224"/>
      <c r="AC727" s="224"/>
      <c r="AD727" s="224"/>
      <c r="AE727" s="224"/>
      <c r="AF727" s="224"/>
      <c r="AG727" s="224"/>
      <c r="AH727" s="224"/>
      <c r="AI727" s="224"/>
      <c r="AJ727" s="224"/>
      <c r="AK727" s="224"/>
      <c r="AL727" s="224"/>
      <c r="AM727" s="224"/>
      <c r="AN727" s="224"/>
      <c r="AO727" s="224"/>
      <c r="AP727" s="224"/>
      <c r="AQ727" s="224"/>
      <c r="AR727" s="224"/>
      <c r="AS727" s="224"/>
      <c r="AT727" s="224"/>
      <c r="AU727" s="224"/>
      <c r="AV727" s="224"/>
      <c r="AW727" s="224"/>
      <c r="AX727" s="224"/>
      <c r="AY727" s="224"/>
      <c r="AZ727" s="224"/>
      <c r="BA727" s="224"/>
      <c r="BB727" s="224"/>
      <c r="BC727" s="224"/>
      <c r="BD727" s="12"/>
      <c r="BE727" s="12"/>
      <c r="BF727" s="12"/>
      <c r="BG727" s="12"/>
      <c r="BH727" s="12"/>
      <c r="BI727" s="12"/>
      <c r="BJ727" s="12"/>
      <c r="BK727" s="12"/>
      <c r="BL727" s="12"/>
    </row>
    <row r="728" spans="1:64" ht="12" hidden="1" customHeight="1" outlineLevel="1">
      <c r="A728" s="9"/>
      <c r="B728" s="9"/>
      <c r="C728" s="9"/>
      <c r="D728" s="271" t="str">
        <f>Asset1</f>
        <v>Subtransmission</v>
      </c>
      <c r="E728" s="9"/>
      <c r="F728" s="9"/>
      <c r="G728" s="204">
        <f t="shared" ref="G728:L737" si="61">G470*G$6</f>
        <v>2.7884174833154578</v>
      </c>
      <c r="H728" s="115">
        <f t="shared" si="61"/>
        <v>5.6272416984492146</v>
      </c>
      <c r="I728" s="115">
        <f t="shared" si="61"/>
        <v>7.8759264915284977</v>
      </c>
      <c r="J728" s="115">
        <f t="shared" si="61"/>
        <v>5.4145327791229745</v>
      </c>
      <c r="K728" s="115">
        <f t="shared" si="61"/>
        <v>7.2012960686959904</v>
      </c>
      <c r="L728" s="115">
        <f t="shared" si="61"/>
        <v>9.1309330201890635</v>
      </c>
      <c r="M728" s="115">
        <f>IF(COUNT($H728:L728)&gt;=Input!$Y$7,0,M470*M$6)</f>
        <v>0</v>
      </c>
      <c r="N728" s="115">
        <f>IF(COUNT($H728:M728)&gt;=Input!$Y$7,0,N470*N$6)</f>
        <v>0</v>
      </c>
      <c r="O728" s="115">
        <f>IF(COUNT($H728:N728)&gt;=Input!$Y$7,0,O470*O$6)</f>
        <v>0</v>
      </c>
      <c r="P728" s="115">
        <f>IF(COUNT($H728:O728)&gt;=Input!$Y$7,0,P470*P$6)</f>
        <v>0</v>
      </c>
      <c r="Q728" s="115">
        <f>IF(COUNT($H728:P728)&gt;=Input!$Y$7,0,Q470*Q$6)</f>
        <v>0</v>
      </c>
      <c r="R728" s="9"/>
      <c r="S728" s="12"/>
      <c r="T728" s="12"/>
      <c r="U728" s="12"/>
      <c r="V728" s="12"/>
      <c r="W728" s="12"/>
      <c r="X728" s="12"/>
      <c r="Y728" s="12"/>
      <c r="Z728" s="12"/>
      <c r="AA728" s="224"/>
      <c r="AB728" s="224"/>
      <c r="AC728" s="224"/>
      <c r="AD728" s="224"/>
      <c r="AE728" s="224"/>
      <c r="AF728" s="224"/>
      <c r="AG728" s="224"/>
      <c r="AH728" s="224"/>
      <c r="AI728" s="224"/>
      <c r="AJ728" s="224"/>
      <c r="AK728" s="224"/>
      <c r="AL728" s="224"/>
      <c r="AM728" s="224"/>
      <c r="AN728" s="224"/>
      <c r="AO728" s="224"/>
      <c r="AP728" s="224"/>
      <c r="AQ728" s="224"/>
      <c r="AR728" s="224"/>
      <c r="AS728" s="224"/>
      <c r="AT728" s="224"/>
      <c r="AU728" s="224"/>
      <c r="AV728" s="224"/>
      <c r="AW728" s="224"/>
      <c r="AX728" s="224"/>
      <c r="AY728" s="224"/>
      <c r="AZ728" s="224"/>
      <c r="BA728" s="224"/>
      <c r="BB728" s="224"/>
      <c r="BC728" s="224"/>
      <c r="BD728" s="12"/>
      <c r="BE728" s="12"/>
      <c r="BF728" s="12"/>
      <c r="BG728" s="12"/>
      <c r="BH728" s="12"/>
      <c r="BI728" s="12"/>
      <c r="BJ728" s="12"/>
      <c r="BK728" s="12"/>
      <c r="BL728" s="12"/>
    </row>
    <row r="729" spans="1:64" hidden="1" outlineLevel="1">
      <c r="A729" s="9"/>
      <c r="B729" s="9"/>
      <c r="C729" s="9"/>
      <c r="D729" s="271" t="str">
        <f>Asset2</f>
        <v>Distribution system assets</v>
      </c>
      <c r="E729" s="9"/>
      <c r="F729" s="9"/>
      <c r="G729" s="204">
        <f t="shared" si="61"/>
        <v>19.678208157399315</v>
      </c>
      <c r="H729" s="115">
        <f t="shared" si="61"/>
        <v>48.834332511654729</v>
      </c>
      <c r="I729" s="115">
        <f t="shared" si="61"/>
        <v>68.015543633084832</v>
      </c>
      <c r="J729" s="115">
        <f t="shared" si="61"/>
        <v>43.031856534438326</v>
      </c>
      <c r="K729" s="115">
        <f t="shared" si="61"/>
        <v>51.189107365733868</v>
      </c>
      <c r="L729" s="115">
        <f t="shared" si="61"/>
        <v>60.781522884196058</v>
      </c>
      <c r="M729" s="115">
        <f>IF(COUNT($H729:L729)&gt;=Input!$Y$7,0,M471*M$6)</f>
        <v>0</v>
      </c>
      <c r="N729" s="115">
        <f>IF(COUNT($H729:M729)&gt;=Input!$Y$7,0,N471*N$6)</f>
        <v>0</v>
      </c>
      <c r="O729" s="115">
        <f>IF(COUNT($H729:N729)&gt;=Input!$Y$7,0,O471*O$6)</f>
        <v>0</v>
      </c>
      <c r="P729" s="115">
        <f>IF(COUNT($H729:O729)&gt;=Input!$Y$7,0,P471*P$6)</f>
        <v>0</v>
      </c>
      <c r="Q729" s="115">
        <f>IF(COUNT($H729:P729)&gt;=Input!$Y$7,0,Q471*Q$6)</f>
        <v>0</v>
      </c>
      <c r="R729" s="29"/>
      <c r="S729" s="104"/>
      <c r="T729" s="104"/>
      <c r="U729" s="104"/>
      <c r="V729" s="104"/>
      <c r="W729" s="104"/>
      <c r="X729" s="104"/>
      <c r="Y729" s="104"/>
      <c r="Z729" s="104"/>
      <c r="AA729" s="231"/>
      <c r="AB729" s="231"/>
      <c r="AC729" s="231"/>
      <c r="AD729" s="231"/>
      <c r="AE729" s="231"/>
      <c r="AF729" s="231"/>
      <c r="AG729" s="231"/>
      <c r="AH729" s="231"/>
      <c r="AI729" s="231"/>
      <c r="AJ729" s="231"/>
      <c r="AK729" s="231"/>
      <c r="AL729" s="231"/>
      <c r="AM729" s="231"/>
      <c r="AN729" s="231"/>
      <c r="AO729" s="231"/>
      <c r="AP729" s="231"/>
      <c r="AQ729" s="231"/>
      <c r="AR729" s="231"/>
      <c r="AS729" s="231"/>
      <c r="AT729" s="231"/>
      <c r="AU729" s="231"/>
      <c r="AV729" s="231"/>
      <c r="AW729" s="231"/>
      <c r="AX729" s="231"/>
      <c r="AY729" s="231"/>
      <c r="AZ729" s="231"/>
      <c r="BA729" s="231"/>
      <c r="BB729" s="231"/>
      <c r="BC729" s="231"/>
      <c r="BD729" s="104"/>
      <c r="BE729" s="104"/>
      <c r="BF729" s="104"/>
      <c r="BG729" s="104"/>
      <c r="BH729" s="104"/>
      <c r="BI729" s="104"/>
      <c r="BJ729" s="104"/>
      <c r="BK729" s="12"/>
      <c r="BL729" s="12"/>
    </row>
    <row r="730" spans="1:64" ht="12" hidden="1" customHeight="1" outlineLevel="1">
      <c r="A730" s="9"/>
      <c r="B730" s="9"/>
      <c r="C730" s="9"/>
      <c r="D730" s="271" t="str">
        <f>Asset3</f>
        <v>Standard metering</v>
      </c>
      <c r="E730" s="9"/>
      <c r="F730" s="9"/>
      <c r="G730" s="204">
        <f t="shared" si="61"/>
        <v>0.18025794300147507</v>
      </c>
      <c r="H730" s="115">
        <f t="shared" si="61"/>
        <v>0.44018261935725772</v>
      </c>
      <c r="I730" s="115">
        <f t="shared" si="61"/>
        <v>0</v>
      </c>
      <c r="J730" s="115">
        <f t="shared" si="61"/>
        <v>0</v>
      </c>
      <c r="K730" s="115">
        <f t="shared" si="61"/>
        <v>0</v>
      </c>
      <c r="L730" s="115">
        <f t="shared" si="61"/>
        <v>0</v>
      </c>
      <c r="M730" s="115">
        <f>IF(COUNT($H730:L730)&gt;=Input!$Y$7,0,M472*M$6)</f>
        <v>0</v>
      </c>
      <c r="N730" s="115">
        <f>IF(COUNT($H730:M730)&gt;=Input!$Y$7,0,N472*N$6)</f>
        <v>0</v>
      </c>
      <c r="O730" s="115">
        <f>IF(COUNT($H730:N730)&gt;=Input!$Y$7,0,O472*O$6)</f>
        <v>0</v>
      </c>
      <c r="P730" s="115">
        <f>IF(COUNT($H730:O730)&gt;=Input!$Y$7,0,P472*P$6)</f>
        <v>0</v>
      </c>
      <c r="Q730" s="115">
        <f>IF(COUNT($H730:P730)&gt;=Input!$Y$7,0,Q472*Q$6)</f>
        <v>0</v>
      </c>
      <c r="R730" s="9"/>
      <c r="S730" s="12"/>
      <c r="T730" s="12"/>
      <c r="U730" s="12"/>
      <c r="V730" s="12"/>
      <c r="W730" s="12"/>
      <c r="X730" s="12"/>
      <c r="Y730" s="12"/>
      <c r="Z730" s="12"/>
      <c r="AA730" s="224"/>
      <c r="AB730" s="224"/>
      <c r="AC730" s="224"/>
      <c r="AD730" s="224"/>
      <c r="AE730" s="224"/>
      <c r="AF730" s="224"/>
      <c r="AG730" s="224"/>
      <c r="AH730" s="224"/>
      <c r="AI730" s="224"/>
      <c r="AJ730" s="224"/>
      <c r="AK730" s="224"/>
      <c r="AL730" s="224"/>
      <c r="AM730" s="224"/>
      <c r="AN730" s="224"/>
      <c r="AO730" s="224"/>
      <c r="AP730" s="224"/>
      <c r="AQ730" s="224"/>
      <c r="AR730" s="224"/>
      <c r="AS730" s="224"/>
      <c r="AT730" s="224"/>
      <c r="AU730" s="224"/>
      <c r="AV730" s="224"/>
      <c r="AW730" s="224"/>
      <c r="AX730" s="224"/>
      <c r="AY730" s="224"/>
      <c r="AZ730" s="224"/>
      <c r="BA730" s="224"/>
      <c r="BB730" s="224"/>
      <c r="BC730" s="224"/>
      <c r="BD730" s="12"/>
      <c r="BE730" s="12"/>
      <c r="BF730" s="12"/>
      <c r="BG730" s="12"/>
      <c r="BH730" s="12"/>
      <c r="BI730" s="12"/>
      <c r="BJ730" s="12"/>
      <c r="BK730" s="12"/>
      <c r="BL730" s="12"/>
    </row>
    <row r="731" spans="1:64" ht="12" hidden="1" customHeight="1" outlineLevel="1">
      <c r="A731" s="9"/>
      <c r="B731" s="9"/>
      <c r="C731" s="9"/>
      <c r="D731" s="271" t="str">
        <f>Asset4</f>
        <v>Public lighting</v>
      </c>
      <c r="E731" s="9"/>
      <c r="F731" s="9"/>
      <c r="G731" s="204">
        <f t="shared" si="61"/>
        <v>8.7378884232890044E-2</v>
      </c>
      <c r="H731" s="115">
        <f t="shared" si="61"/>
        <v>1.0843308871816672E-2</v>
      </c>
      <c r="I731" s="115">
        <f t="shared" si="61"/>
        <v>0</v>
      </c>
      <c r="J731" s="115">
        <f t="shared" si="61"/>
        <v>0</v>
      </c>
      <c r="K731" s="115">
        <f t="shared" si="61"/>
        <v>0</v>
      </c>
      <c r="L731" s="115">
        <f t="shared" si="61"/>
        <v>0</v>
      </c>
      <c r="M731" s="115">
        <f>IF(COUNT($H731:L731)&gt;=Input!$Y$7,0,M473*M$6)</f>
        <v>0</v>
      </c>
      <c r="N731" s="115">
        <f>IF(COUNT($H731:M731)&gt;=Input!$Y$7,0,N473*N$6)</f>
        <v>0</v>
      </c>
      <c r="O731" s="115">
        <f>IF(COUNT($H731:N731)&gt;=Input!$Y$7,0,O473*O$6)</f>
        <v>0</v>
      </c>
      <c r="P731" s="115">
        <f>IF(COUNT($H731:O731)&gt;=Input!$Y$7,0,P473*P$6)</f>
        <v>0</v>
      </c>
      <c r="Q731" s="115">
        <f>IF(COUNT($H731:P731)&gt;=Input!$Y$7,0,Q473*Q$6)</f>
        <v>0</v>
      </c>
      <c r="R731" s="9"/>
      <c r="S731" s="12"/>
      <c r="T731" s="12"/>
      <c r="U731" s="12"/>
      <c r="V731" s="12"/>
      <c r="W731" s="12"/>
      <c r="X731" s="12"/>
      <c r="Y731" s="12"/>
      <c r="Z731" s="12"/>
      <c r="AA731" s="224"/>
      <c r="AB731" s="224"/>
      <c r="AC731" s="224"/>
      <c r="AD731" s="224"/>
      <c r="AE731" s="224"/>
      <c r="AF731" s="224"/>
      <c r="AG731" s="224"/>
      <c r="AH731" s="224"/>
      <c r="AI731" s="224"/>
      <c r="AJ731" s="224"/>
      <c r="AK731" s="224"/>
      <c r="AL731" s="224"/>
      <c r="AM731" s="224"/>
      <c r="AN731" s="224"/>
      <c r="AO731" s="224"/>
      <c r="AP731" s="224"/>
      <c r="AQ731" s="224"/>
      <c r="AR731" s="224"/>
      <c r="AS731" s="224"/>
      <c r="AT731" s="224"/>
      <c r="AU731" s="224"/>
      <c r="AV731" s="224"/>
      <c r="AW731" s="224"/>
      <c r="AX731" s="224"/>
      <c r="AY731" s="224"/>
      <c r="AZ731" s="224"/>
      <c r="BA731" s="224"/>
      <c r="BB731" s="224"/>
      <c r="BC731" s="224"/>
      <c r="BD731" s="12"/>
      <c r="BE731" s="12"/>
      <c r="BF731" s="12"/>
      <c r="BG731" s="12"/>
      <c r="BH731" s="12"/>
      <c r="BI731" s="12"/>
      <c r="BJ731" s="12"/>
      <c r="BK731" s="12"/>
      <c r="BL731" s="12"/>
    </row>
    <row r="732" spans="1:64" ht="12" hidden="1" customHeight="1" outlineLevel="1">
      <c r="A732" s="9"/>
      <c r="B732" s="9"/>
      <c r="C732" s="9"/>
      <c r="D732" s="271" t="str">
        <f>Asset5</f>
        <v>SCADA/Network control</v>
      </c>
      <c r="E732" s="9"/>
      <c r="F732" s="9"/>
      <c r="G732" s="204">
        <f t="shared" si="61"/>
        <v>7.5646533028554563E-2</v>
      </c>
      <c r="H732" s="115">
        <f t="shared" si="61"/>
        <v>4.6423916510126965E-17</v>
      </c>
      <c r="I732" s="115">
        <f t="shared" si="61"/>
        <v>4.6840963097375191E-2</v>
      </c>
      <c r="J732" s="115">
        <f t="shared" si="61"/>
        <v>0.14680570046491304</v>
      </c>
      <c r="K732" s="115">
        <f t="shared" si="61"/>
        <v>0.17143653889986249</v>
      </c>
      <c r="L732" s="115">
        <f t="shared" si="61"/>
        <v>0.15873576066342956</v>
      </c>
      <c r="M732" s="115">
        <f>IF(COUNT($H732:L732)&gt;=Input!$Y$7,0,M474*M$6)</f>
        <v>0</v>
      </c>
      <c r="N732" s="115">
        <f>IF(COUNT($H732:M732)&gt;=Input!$Y$7,0,N474*N$6)</f>
        <v>0</v>
      </c>
      <c r="O732" s="115">
        <f>IF(COUNT($H732:N732)&gt;=Input!$Y$7,0,O474*O$6)</f>
        <v>0</v>
      </c>
      <c r="P732" s="115">
        <f>IF(COUNT($H732:O732)&gt;=Input!$Y$7,0,P474*P$6)</f>
        <v>0</v>
      </c>
      <c r="Q732" s="115">
        <f>IF(COUNT($H732:P732)&gt;=Input!$Y$7,0,Q474*Q$6)</f>
        <v>0</v>
      </c>
      <c r="R732" s="9"/>
      <c r="S732" s="12"/>
      <c r="T732" s="12"/>
      <c r="U732" s="12"/>
      <c r="V732" s="12"/>
      <c r="W732" s="12"/>
      <c r="X732" s="12"/>
      <c r="Y732" s="12"/>
      <c r="Z732" s="12"/>
      <c r="AA732" s="224"/>
      <c r="AB732" s="224"/>
      <c r="AC732" s="224"/>
      <c r="AD732" s="224"/>
      <c r="AE732" s="224"/>
      <c r="AF732" s="224"/>
      <c r="AG732" s="224"/>
      <c r="AH732" s="224"/>
      <c r="AI732" s="224"/>
      <c r="AJ732" s="224"/>
      <c r="AK732" s="224"/>
      <c r="AL732" s="224"/>
      <c r="AM732" s="224"/>
      <c r="AN732" s="224"/>
      <c r="AO732" s="224"/>
      <c r="AP732" s="224"/>
      <c r="AQ732" s="224"/>
      <c r="AR732" s="224"/>
      <c r="AS732" s="224"/>
      <c r="AT732" s="224"/>
      <c r="AU732" s="224"/>
      <c r="AV732" s="224"/>
      <c r="AW732" s="224"/>
      <c r="AX732" s="224"/>
      <c r="AY732" s="224"/>
      <c r="AZ732" s="224"/>
      <c r="BA732" s="224"/>
      <c r="BB732" s="224"/>
      <c r="BC732" s="224"/>
      <c r="BD732" s="12"/>
      <c r="BE732" s="12"/>
      <c r="BF732" s="12"/>
      <c r="BG732" s="12"/>
      <c r="BH732" s="12"/>
      <c r="BI732" s="12"/>
      <c r="BJ732" s="12"/>
      <c r="BK732" s="12"/>
      <c r="BL732" s="12"/>
    </row>
    <row r="733" spans="1:64" hidden="1" outlineLevel="1">
      <c r="A733" s="9"/>
      <c r="B733" s="9"/>
      <c r="C733" s="9"/>
      <c r="D733" s="271" t="str">
        <f>Asset6</f>
        <v>Non-network general assets - IT</v>
      </c>
      <c r="E733" s="9"/>
      <c r="F733" s="9"/>
      <c r="G733" s="204">
        <f t="shared" si="61"/>
        <v>0.6029515661463557</v>
      </c>
      <c r="H733" s="115">
        <f t="shared" si="61"/>
        <v>2.489924458696783</v>
      </c>
      <c r="I733" s="115">
        <f t="shared" si="61"/>
        <v>4.0182350174215493</v>
      </c>
      <c r="J733" s="115">
        <f t="shared" si="61"/>
        <v>2.5747551123531789</v>
      </c>
      <c r="K733" s="115">
        <f t="shared" si="61"/>
        <v>2.9257820225843907</v>
      </c>
      <c r="L733" s="115">
        <f t="shared" si="61"/>
        <v>2.9641171826961492</v>
      </c>
      <c r="M733" s="115">
        <f>IF(COUNT($H733:L733)&gt;=Input!$Y$7,0,M475*M$6)</f>
        <v>0</v>
      </c>
      <c r="N733" s="115">
        <f>IF(COUNT($H733:M733)&gt;=Input!$Y$7,0,N475*N$6)</f>
        <v>0</v>
      </c>
      <c r="O733" s="115">
        <f>IF(COUNT($H733:N733)&gt;=Input!$Y$7,0,O475*O$6)</f>
        <v>0</v>
      </c>
      <c r="P733" s="115">
        <f>IF(COUNT($H733:O733)&gt;=Input!$Y$7,0,P475*P$6)</f>
        <v>0</v>
      </c>
      <c r="Q733" s="115">
        <f>IF(COUNT($H733:P733)&gt;=Input!$Y$7,0,Q475*Q$6)</f>
        <v>0</v>
      </c>
      <c r="R733" s="9"/>
      <c r="S733" s="12"/>
      <c r="T733" s="12"/>
      <c r="U733" s="12"/>
      <c r="V733" s="12"/>
      <c r="W733" s="12"/>
      <c r="X733" s="12"/>
      <c r="Y733" s="12"/>
      <c r="Z733" s="12"/>
      <c r="AA733" s="224"/>
      <c r="AB733" s="224"/>
      <c r="AC733" s="224"/>
      <c r="AD733" s="224"/>
      <c r="AE733" s="224"/>
      <c r="AF733" s="224"/>
      <c r="AG733" s="224"/>
      <c r="AH733" s="224"/>
      <c r="AI733" s="224"/>
      <c r="AJ733" s="224"/>
      <c r="AK733" s="224"/>
      <c r="AL733" s="224"/>
      <c r="AM733" s="224"/>
      <c r="AN733" s="224"/>
      <c r="AO733" s="224"/>
      <c r="AP733" s="224"/>
      <c r="AQ733" s="224"/>
      <c r="AR733" s="224"/>
      <c r="AS733" s="224"/>
      <c r="AT733" s="224"/>
      <c r="AU733" s="224"/>
      <c r="AV733" s="224"/>
      <c r="AW733" s="224"/>
      <c r="AX733" s="224"/>
      <c r="AY733" s="224"/>
      <c r="AZ733" s="224"/>
      <c r="BA733" s="224"/>
      <c r="BB733" s="224"/>
      <c r="BC733" s="224"/>
      <c r="BD733" s="12"/>
      <c r="BE733" s="12"/>
      <c r="BF733" s="12"/>
      <c r="BG733" s="12"/>
      <c r="BH733" s="12"/>
      <c r="BI733" s="12"/>
      <c r="BJ733" s="12"/>
      <c r="BK733" s="12"/>
      <c r="BL733" s="12"/>
    </row>
    <row r="734" spans="1:64" hidden="1" outlineLevel="1">
      <c r="A734" s="9"/>
      <c r="B734" s="9"/>
      <c r="C734" s="9"/>
      <c r="D734" s="271" t="str">
        <f>Asset7</f>
        <v>Non-network general assets - Other</v>
      </c>
      <c r="E734" s="9"/>
      <c r="F734" s="9"/>
      <c r="G734" s="204">
        <f t="shared" si="61"/>
        <v>0.29861710269003494</v>
      </c>
      <c r="H734" s="115">
        <f t="shared" si="61"/>
        <v>0.95548949399158822</v>
      </c>
      <c r="I734" s="115">
        <f t="shared" si="61"/>
        <v>0.18138774409301445</v>
      </c>
      <c r="J734" s="115">
        <f t="shared" si="61"/>
        <v>0.1634114948690277</v>
      </c>
      <c r="K734" s="115">
        <f t="shared" si="61"/>
        <v>0.26308863470760951</v>
      </c>
      <c r="L734" s="115">
        <f t="shared" si="61"/>
        <v>0.32207838253302984</v>
      </c>
      <c r="M734" s="115">
        <f>IF(COUNT($H734:L734)&gt;=Input!$Y$7,0,M476*M$6)</f>
        <v>0</v>
      </c>
      <c r="N734" s="115">
        <f>IF(COUNT($H734:M734)&gt;=Input!$Y$7,0,N476*N$6)</f>
        <v>0</v>
      </c>
      <c r="O734" s="115">
        <f>IF(COUNT($H734:N734)&gt;=Input!$Y$7,0,O476*O$6)</f>
        <v>0</v>
      </c>
      <c r="P734" s="115">
        <f>IF(COUNT($H734:O734)&gt;=Input!$Y$7,0,P476*P$6)</f>
        <v>0</v>
      </c>
      <c r="Q734" s="115">
        <f>IF(COUNT($H734:P734)&gt;=Input!$Y$7,0,Q476*Q$6)</f>
        <v>0</v>
      </c>
      <c r="R734" s="9"/>
      <c r="S734" s="9"/>
      <c r="T734" s="9"/>
      <c r="U734" s="9"/>
      <c r="V734" s="9"/>
      <c r="W734" s="9"/>
      <c r="X734" s="9"/>
      <c r="Y734" s="9"/>
      <c r="Z734" s="9"/>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9"/>
      <c r="BE734" s="9"/>
      <c r="BF734" s="9"/>
      <c r="BG734" s="9"/>
      <c r="BH734" s="9"/>
      <c r="BI734" s="9"/>
      <c r="BJ734" s="9"/>
      <c r="BK734" s="9"/>
      <c r="BL734" s="9"/>
    </row>
    <row r="735" spans="1:64" hidden="1" outlineLevel="1">
      <c r="A735" s="9"/>
      <c r="B735" s="9"/>
      <c r="C735" s="9"/>
      <c r="D735" s="271" t="str">
        <f>Asset8</f>
        <v>Equity Raising Costs</v>
      </c>
      <c r="E735" s="9"/>
      <c r="F735" s="9"/>
      <c r="G735" s="204">
        <f t="shared" si="61"/>
        <v>0</v>
      </c>
      <c r="H735" s="115">
        <f t="shared" si="61"/>
        <v>0</v>
      </c>
      <c r="I735" s="115">
        <f t="shared" si="61"/>
        <v>5.4746678692629412E-2</v>
      </c>
      <c r="J735" s="115">
        <f t="shared" si="61"/>
        <v>3.1572071454356761E-2</v>
      </c>
      <c r="K735" s="115">
        <f t="shared" si="61"/>
        <v>3.3965572629777875E-2</v>
      </c>
      <c r="L735" s="115">
        <f t="shared" si="61"/>
        <v>3.6220218174287652E-2</v>
      </c>
      <c r="M735" s="115">
        <f>IF(COUNT($H735:L735)&gt;=Input!$Y$7,0,M477*M$6)</f>
        <v>0</v>
      </c>
      <c r="N735" s="115">
        <f>IF(COUNT($H735:M735)&gt;=Input!$Y$7,0,N477*N$6)</f>
        <v>0</v>
      </c>
      <c r="O735" s="115">
        <f>IF(COUNT($H735:N735)&gt;=Input!$Y$7,0,O477*O$6)</f>
        <v>0</v>
      </c>
      <c r="P735" s="115">
        <f>IF(COUNT($H735:O735)&gt;=Input!$Y$7,0,P477*P$6)</f>
        <v>0</v>
      </c>
      <c r="Q735" s="115">
        <f>IF(COUNT($H735:P735)&gt;=Input!$Y$7,0,Q477*Q$6)</f>
        <v>0</v>
      </c>
      <c r="R735" s="9"/>
      <c r="S735" s="9"/>
      <c r="T735" s="9"/>
      <c r="U735" s="9"/>
      <c r="V735" s="9"/>
      <c r="W735" s="9"/>
      <c r="X735" s="9"/>
      <c r="Y735" s="9"/>
      <c r="Z735" s="9"/>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9"/>
      <c r="BE735" s="9"/>
      <c r="BF735" s="9"/>
      <c r="BG735" s="9"/>
      <c r="BH735" s="9"/>
      <c r="BI735" s="9"/>
      <c r="BJ735" s="9"/>
      <c r="BK735" s="9"/>
      <c r="BL735" s="9"/>
    </row>
    <row r="736" spans="1:64" hidden="1" outlineLevel="1">
      <c r="A736" s="9"/>
      <c r="B736" s="9"/>
      <c r="C736" s="9"/>
      <c r="D736" s="271">
        <f>Asset9</f>
        <v>0</v>
      </c>
      <c r="E736" s="9"/>
      <c r="F736" s="9"/>
      <c r="G736" s="204">
        <f t="shared" si="61"/>
        <v>0</v>
      </c>
      <c r="H736" s="115">
        <f t="shared" si="61"/>
        <v>0</v>
      </c>
      <c r="I736" s="115">
        <f t="shared" si="61"/>
        <v>0</v>
      </c>
      <c r="J736" s="115">
        <f t="shared" si="61"/>
        <v>0</v>
      </c>
      <c r="K736" s="115">
        <f t="shared" si="61"/>
        <v>0</v>
      </c>
      <c r="L736" s="115">
        <f t="shared" si="61"/>
        <v>0</v>
      </c>
      <c r="M736" s="115">
        <f>IF(COUNT($H736:L736)&gt;=Input!$Y$7,0,M478*M$6)</f>
        <v>0</v>
      </c>
      <c r="N736" s="115">
        <f>IF(COUNT($H736:M736)&gt;=Input!$Y$7,0,N478*N$6)</f>
        <v>0</v>
      </c>
      <c r="O736" s="115">
        <f>IF(COUNT($H736:N736)&gt;=Input!$Y$7,0,O478*O$6)</f>
        <v>0</v>
      </c>
      <c r="P736" s="115">
        <f>IF(COUNT($H736:O736)&gt;=Input!$Y$7,0,P478*P$6)</f>
        <v>0</v>
      </c>
      <c r="Q736" s="115">
        <f>IF(COUNT($H736:P736)&gt;=Input!$Y$7,0,Q478*Q$6)</f>
        <v>0</v>
      </c>
      <c r="R736" s="9"/>
      <c r="S736" s="9"/>
      <c r="T736" s="9"/>
      <c r="U736" s="9"/>
      <c r="V736" s="9"/>
      <c r="W736" s="9"/>
      <c r="X736" s="9"/>
      <c r="Y736" s="9"/>
      <c r="Z736" s="9"/>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9"/>
      <c r="BE736" s="9"/>
      <c r="BF736" s="9"/>
      <c r="BG736" s="9"/>
      <c r="BH736" s="9"/>
      <c r="BI736" s="9"/>
      <c r="BJ736" s="9"/>
      <c r="BK736" s="9"/>
      <c r="BL736" s="9"/>
    </row>
    <row r="737" spans="1:64" hidden="1" outlineLevel="1">
      <c r="A737" s="9"/>
      <c r="B737" s="9"/>
      <c r="C737" s="9"/>
      <c r="D737" s="271">
        <f>Asset10</f>
        <v>0</v>
      </c>
      <c r="E737" s="9"/>
      <c r="F737" s="9"/>
      <c r="G737" s="204">
        <f t="shared" si="61"/>
        <v>0</v>
      </c>
      <c r="H737" s="115">
        <f t="shared" si="61"/>
        <v>0</v>
      </c>
      <c r="I737" s="115">
        <f t="shared" si="61"/>
        <v>0</v>
      </c>
      <c r="J737" s="115">
        <f t="shared" si="61"/>
        <v>0</v>
      </c>
      <c r="K737" s="115">
        <f t="shared" si="61"/>
        <v>0</v>
      </c>
      <c r="L737" s="115">
        <f t="shared" si="61"/>
        <v>0</v>
      </c>
      <c r="M737" s="115">
        <f>IF(COUNT($H737:L737)&gt;=Input!$Y$7,0,M479*M$6)</f>
        <v>0</v>
      </c>
      <c r="N737" s="115">
        <f>IF(COUNT($H737:M737)&gt;=Input!$Y$7,0,N479*N$6)</f>
        <v>0</v>
      </c>
      <c r="O737" s="115">
        <f>IF(COUNT($H737:N737)&gt;=Input!$Y$7,0,O479*O$6)</f>
        <v>0</v>
      </c>
      <c r="P737" s="115">
        <f>IF(COUNT($H737:O737)&gt;=Input!$Y$7,0,P479*P$6)</f>
        <v>0</v>
      </c>
      <c r="Q737" s="115">
        <f>IF(COUNT($H737:P737)&gt;=Input!$Y$7,0,Q479*Q$6)</f>
        <v>0</v>
      </c>
      <c r="R737" s="9"/>
      <c r="S737" s="9"/>
      <c r="T737" s="9"/>
      <c r="U737" s="9"/>
      <c r="V737" s="9"/>
      <c r="W737" s="9"/>
      <c r="X737" s="9"/>
      <c r="Y737" s="9"/>
      <c r="Z737" s="9"/>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9"/>
      <c r="BE737" s="9"/>
      <c r="BF737" s="9"/>
      <c r="BG737" s="9"/>
      <c r="BH737" s="9"/>
      <c r="BI737" s="9"/>
      <c r="BJ737" s="9"/>
      <c r="BK737" s="9"/>
      <c r="BL737" s="9"/>
    </row>
    <row r="738" spans="1:64" hidden="1" outlineLevel="1">
      <c r="A738" s="9"/>
      <c r="B738" s="9"/>
      <c r="C738" s="9"/>
      <c r="D738" s="271">
        <f>Asset11</f>
        <v>0</v>
      </c>
      <c r="E738" s="9"/>
      <c r="F738" s="9"/>
      <c r="G738" s="204">
        <f t="shared" ref="G738:L747" si="62">G480*G$6</f>
        <v>0</v>
      </c>
      <c r="H738" s="115">
        <f t="shared" si="62"/>
        <v>0</v>
      </c>
      <c r="I738" s="115">
        <f t="shared" si="62"/>
        <v>0</v>
      </c>
      <c r="J738" s="115">
        <f t="shared" si="62"/>
        <v>0</v>
      </c>
      <c r="K738" s="115">
        <f t="shared" si="62"/>
        <v>0</v>
      </c>
      <c r="L738" s="115">
        <f t="shared" si="62"/>
        <v>0</v>
      </c>
      <c r="M738" s="115">
        <f>IF(COUNT($H738:L738)&gt;=Input!$Y$7,0,M480*M$6)</f>
        <v>0</v>
      </c>
      <c r="N738" s="115">
        <f>IF(COUNT($H738:M738)&gt;=Input!$Y$7,0,N480*N$6)</f>
        <v>0</v>
      </c>
      <c r="O738" s="115">
        <f>IF(COUNT($H738:N738)&gt;=Input!$Y$7,0,O480*O$6)</f>
        <v>0</v>
      </c>
      <c r="P738" s="115">
        <f>IF(COUNT($H738:O738)&gt;=Input!$Y$7,0,P480*P$6)</f>
        <v>0</v>
      </c>
      <c r="Q738" s="115">
        <f>IF(COUNT($H738:P738)&gt;=Input!$Y$7,0,Q480*Q$6)</f>
        <v>0</v>
      </c>
      <c r="R738" s="9"/>
      <c r="S738" s="9"/>
      <c r="T738" s="9"/>
      <c r="U738" s="9"/>
      <c r="V738" s="9"/>
      <c r="W738" s="9"/>
      <c r="X738" s="9"/>
      <c r="Y738" s="9"/>
      <c r="Z738" s="9"/>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9"/>
      <c r="BE738" s="9"/>
      <c r="BF738" s="9"/>
      <c r="BG738" s="9"/>
      <c r="BH738" s="9"/>
      <c r="BI738" s="9"/>
      <c r="BJ738" s="9"/>
      <c r="BK738" s="9"/>
      <c r="BL738" s="9"/>
    </row>
    <row r="739" spans="1:64" hidden="1" outlineLevel="1">
      <c r="A739" s="9"/>
      <c r="B739" s="9"/>
      <c r="C739" s="9"/>
      <c r="D739" s="271">
        <f>Asset12</f>
        <v>0</v>
      </c>
      <c r="E739" s="9"/>
      <c r="F739" s="9"/>
      <c r="G739" s="204">
        <f t="shared" si="62"/>
        <v>0</v>
      </c>
      <c r="H739" s="115">
        <f t="shared" si="62"/>
        <v>0</v>
      </c>
      <c r="I739" s="115">
        <f t="shared" si="62"/>
        <v>0</v>
      </c>
      <c r="J739" s="115">
        <f t="shared" si="62"/>
        <v>0</v>
      </c>
      <c r="K739" s="115">
        <f t="shared" si="62"/>
        <v>0</v>
      </c>
      <c r="L739" s="115">
        <f t="shared" si="62"/>
        <v>0</v>
      </c>
      <c r="M739" s="115">
        <f>IF(COUNT($H739:L739)&gt;=Input!$Y$7,0,M481*M$6)</f>
        <v>0</v>
      </c>
      <c r="N739" s="115">
        <f>IF(COUNT($H739:M739)&gt;=Input!$Y$7,0,N481*N$6)</f>
        <v>0</v>
      </c>
      <c r="O739" s="115">
        <f>IF(COUNT($H739:N739)&gt;=Input!$Y$7,0,O481*O$6)</f>
        <v>0</v>
      </c>
      <c r="P739" s="115">
        <f>IF(COUNT($H739:O739)&gt;=Input!$Y$7,0,P481*P$6)</f>
        <v>0</v>
      </c>
      <c r="Q739" s="115">
        <f>IF(COUNT($H739:P739)&gt;=Input!$Y$7,0,Q481*Q$6)</f>
        <v>0</v>
      </c>
      <c r="R739" s="9"/>
      <c r="S739" s="9"/>
      <c r="T739" s="9"/>
      <c r="U739" s="9"/>
      <c r="V739" s="9"/>
      <c r="W739" s="9"/>
      <c r="X739" s="9"/>
      <c r="Y739" s="9"/>
      <c r="Z739" s="9"/>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9"/>
      <c r="BE739" s="9"/>
      <c r="BF739" s="9"/>
      <c r="BG739" s="9"/>
      <c r="BH739" s="9"/>
      <c r="BI739" s="9"/>
      <c r="BJ739" s="9"/>
      <c r="BK739" s="9"/>
      <c r="BL739" s="9"/>
    </row>
    <row r="740" spans="1:64" hidden="1" outlineLevel="1">
      <c r="A740" s="9"/>
      <c r="B740" s="9"/>
      <c r="C740" s="9"/>
      <c r="D740" s="271">
        <f>Asset13</f>
        <v>0</v>
      </c>
      <c r="E740" s="9"/>
      <c r="F740" s="9"/>
      <c r="G740" s="204">
        <f t="shared" si="62"/>
        <v>0</v>
      </c>
      <c r="H740" s="115">
        <f t="shared" si="62"/>
        <v>0</v>
      </c>
      <c r="I740" s="115">
        <f t="shared" si="62"/>
        <v>0</v>
      </c>
      <c r="J740" s="115">
        <f t="shared" si="62"/>
        <v>0</v>
      </c>
      <c r="K740" s="115">
        <f t="shared" si="62"/>
        <v>0</v>
      </c>
      <c r="L740" s="115">
        <f t="shared" si="62"/>
        <v>0</v>
      </c>
      <c r="M740" s="115">
        <f>IF(COUNT($H740:L740)&gt;=Input!$Y$7,0,M482*M$6)</f>
        <v>0</v>
      </c>
      <c r="N740" s="115">
        <f>IF(COUNT($H740:M740)&gt;=Input!$Y$7,0,N482*N$6)</f>
        <v>0</v>
      </c>
      <c r="O740" s="115">
        <f>IF(COUNT($H740:N740)&gt;=Input!$Y$7,0,O482*O$6)</f>
        <v>0</v>
      </c>
      <c r="P740" s="115">
        <f>IF(COUNT($H740:O740)&gt;=Input!$Y$7,0,P482*P$6)</f>
        <v>0</v>
      </c>
      <c r="Q740" s="115">
        <f>IF(COUNT($H740:P740)&gt;=Input!$Y$7,0,Q482*Q$6)</f>
        <v>0</v>
      </c>
      <c r="R740" s="9"/>
      <c r="S740" s="9"/>
      <c r="T740" s="9"/>
      <c r="U740" s="9"/>
      <c r="V740" s="9"/>
      <c r="W740" s="9"/>
      <c r="X740" s="9"/>
      <c r="Y740" s="9"/>
      <c r="Z740" s="9"/>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9"/>
      <c r="BE740" s="9"/>
      <c r="BF740" s="9"/>
      <c r="BG740" s="9"/>
      <c r="BH740" s="9"/>
      <c r="BI740" s="9"/>
      <c r="BJ740" s="9"/>
      <c r="BK740" s="9"/>
      <c r="BL740" s="9"/>
    </row>
    <row r="741" spans="1:64" hidden="1" outlineLevel="1">
      <c r="A741" s="9"/>
      <c r="B741" s="9"/>
      <c r="C741" s="9"/>
      <c r="D741" s="271">
        <f>Asset14</f>
        <v>0</v>
      </c>
      <c r="E741" s="9"/>
      <c r="F741" s="9"/>
      <c r="G741" s="204">
        <f t="shared" si="62"/>
        <v>0</v>
      </c>
      <c r="H741" s="115">
        <f t="shared" si="62"/>
        <v>0</v>
      </c>
      <c r="I741" s="115">
        <f t="shared" si="62"/>
        <v>0</v>
      </c>
      <c r="J741" s="115">
        <f t="shared" si="62"/>
        <v>0</v>
      </c>
      <c r="K741" s="115">
        <f t="shared" si="62"/>
        <v>0</v>
      </c>
      <c r="L741" s="115">
        <f t="shared" si="62"/>
        <v>0</v>
      </c>
      <c r="M741" s="115">
        <f>IF(COUNT($H741:L741)&gt;=Input!$Y$7,0,M483*M$6)</f>
        <v>0</v>
      </c>
      <c r="N741" s="115">
        <f>IF(COUNT($H741:M741)&gt;=Input!$Y$7,0,N483*N$6)</f>
        <v>0</v>
      </c>
      <c r="O741" s="115">
        <f>IF(COUNT($H741:N741)&gt;=Input!$Y$7,0,O483*O$6)</f>
        <v>0</v>
      </c>
      <c r="P741" s="115">
        <f>IF(COUNT($H741:O741)&gt;=Input!$Y$7,0,P483*P$6)</f>
        <v>0</v>
      </c>
      <c r="Q741" s="115">
        <f>IF(COUNT($H741:P741)&gt;=Input!$Y$7,0,Q483*Q$6)</f>
        <v>0</v>
      </c>
      <c r="R741" s="9"/>
      <c r="S741" s="9"/>
      <c r="T741" s="9"/>
      <c r="U741" s="9"/>
      <c r="V741" s="9"/>
      <c r="W741" s="9"/>
      <c r="X741" s="9"/>
      <c r="Y741" s="9"/>
      <c r="Z741" s="9"/>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9"/>
      <c r="BE741" s="9"/>
      <c r="BF741" s="9"/>
      <c r="BG741" s="9"/>
      <c r="BH741" s="9"/>
      <c r="BI741" s="9"/>
      <c r="BJ741" s="9"/>
      <c r="BK741" s="9"/>
      <c r="BL741" s="9"/>
    </row>
    <row r="742" spans="1:64" hidden="1" outlineLevel="1">
      <c r="A742" s="9"/>
      <c r="B742" s="9"/>
      <c r="C742" s="9"/>
      <c r="D742" s="271">
        <f>Asset15</f>
        <v>0</v>
      </c>
      <c r="E742" s="9"/>
      <c r="F742" s="9"/>
      <c r="G742" s="204">
        <f t="shared" si="62"/>
        <v>0</v>
      </c>
      <c r="H742" s="115">
        <f t="shared" si="62"/>
        <v>0</v>
      </c>
      <c r="I742" s="115">
        <f t="shared" si="62"/>
        <v>0</v>
      </c>
      <c r="J742" s="115">
        <f t="shared" si="62"/>
        <v>0</v>
      </c>
      <c r="K742" s="115">
        <f t="shared" si="62"/>
        <v>0</v>
      </c>
      <c r="L742" s="115">
        <f t="shared" si="62"/>
        <v>0</v>
      </c>
      <c r="M742" s="115">
        <f>IF(COUNT($H742:L742)&gt;=Input!$Y$7,0,M484*M$6)</f>
        <v>0</v>
      </c>
      <c r="N742" s="115">
        <f>IF(COUNT($H742:M742)&gt;=Input!$Y$7,0,N484*N$6)</f>
        <v>0</v>
      </c>
      <c r="O742" s="115">
        <f>IF(COUNT($H742:N742)&gt;=Input!$Y$7,0,O484*O$6)</f>
        <v>0</v>
      </c>
      <c r="P742" s="115">
        <f>IF(COUNT($H742:O742)&gt;=Input!$Y$7,0,P484*P$6)</f>
        <v>0</v>
      </c>
      <c r="Q742" s="115">
        <f>IF(COUNT($H742:P742)&gt;=Input!$Y$7,0,Q484*Q$6)</f>
        <v>0</v>
      </c>
      <c r="R742" s="9"/>
      <c r="S742" s="9"/>
      <c r="T742" s="9"/>
      <c r="U742" s="9"/>
      <c r="V742" s="9"/>
      <c r="W742" s="9"/>
      <c r="X742" s="9"/>
      <c r="Y742" s="9"/>
      <c r="Z742" s="9"/>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9"/>
      <c r="BE742" s="9"/>
      <c r="BF742" s="9"/>
      <c r="BG742" s="9"/>
      <c r="BH742" s="9"/>
      <c r="BI742" s="9"/>
      <c r="BJ742" s="9"/>
      <c r="BK742" s="9"/>
      <c r="BL742" s="9"/>
    </row>
    <row r="743" spans="1:64" hidden="1" outlineLevel="1">
      <c r="A743" s="9"/>
      <c r="B743" s="9"/>
      <c r="C743" s="9"/>
      <c r="D743" s="271">
        <f>Asset16</f>
        <v>0</v>
      </c>
      <c r="E743" s="9"/>
      <c r="F743" s="9"/>
      <c r="G743" s="204">
        <f t="shared" si="62"/>
        <v>0</v>
      </c>
      <c r="H743" s="115">
        <f t="shared" si="62"/>
        <v>0</v>
      </c>
      <c r="I743" s="115">
        <f t="shared" si="62"/>
        <v>0</v>
      </c>
      <c r="J743" s="115">
        <f t="shared" si="62"/>
        <v>0</v>
      </c>
      <c r="K743" s="115">
        <f t="shared" si="62"/>
        <v>0</v>
      </c>
      <c r="L743" s="115">
        <f t="shared" si="62"/>
        <v>0</v>
      </c>
      <c r="M743" s="115">
        <f>IF(COUNT($H743:L743)&gt;=Input!$Y$7,0,M485*M$6)</f>
        <v>0</v>
      </c>
      <c r="N743" s="115">
        <f>IF(COUNT($H743:M743)&gt;=Input!$Y$7,0,N485*N$6)</f>
        <v>0</v>
      </c>
      <c r="O743" s="115">
        <f>IF(COUNT($H743:N743)&gt;=Input!$Y$7,0,O485*O$6)</f>
        <v>0</v>
      </c>
      <c r="P743" s="115">
        <f>IF(COUNT($H743:O743)&gt;=Input!$Y$7,0,P485*P$6)</f>
        <v>0</v>
      </c>
      <c r="Q743" s="115">
        <f>IF(COUNT($H743:P743)&gt;=Input!$Y$7,0,Q485*Q$6)</f>
        <v>0</v>
      </c>
      <c r="R743" s="9"/>
      <c r="S743" s="9"/>
      <c r="T743" s="9"/>
      <c r="U743" s="9"/>
      <c r="V743" s="9"/>
      <c r="W743" s="9"/>
      <c r="X743" s="9"/>
      <c r="Y743" s="9"/>
      <c r="Z743" s="9"/>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9"/>
      <c r="BE743" s="9"/>
      <c r="BF743" s="9"/>
      <c r="BG743" s="9"/>
      <c r="BH743" s="9"/>
      <c r="BI743" s="9"/>
      <c r="BJ743" s="9"/>
      <c r="BK743" s="9"/>
      <c r="BL743" s="9"/>
    </row>
    <row r="744" spans="1:64" hidden="1" outlineLevel="1">
      <c r="A744" s="9"/>
      <c r="B744" s="9"/>
      <c r="C744" s="9"/>
      <c r="D744" s="271">
        <f>Asset17</f>
        <v>0</v>
      </c>
      <c r="E744" s="9"/>
      <c r="F744" s="9"/>
      <c r="G744" s="204">
        <f t="shared" si="62"/>
        <v>0</v>
      </c>
      <c r="H744" s="115">
        <f t="shared" si="62"/>
        <v>0</v>
      </c>
      <c r="I744" s="115">
        <f t="shared" si="62"/>
        <v>0</v>
      </c>
      <c r="J744" s="115">
        <f t="shared" si="62"/>
        <v>0</v>
      </c>
      <c r="K744" s="115">
        <f t="shared" si="62"/>
        <v>0</v>
      </c>
      <c r="L744" s="115">
        <f t="shared" si="62"/>
        <v>0</v>
      </c>
      <c r="M744" s="115">
        <f>IF(COUNT($H744:L744)&gt;=Input!$Y$7,0,M486*M$6)</f>
        <v>0</v>
      </c>
      <c r="N744" s="115">
        <f>IF(COUNT($H744:M744)&gt;=Input!$Y$7,0,N486*N$6)</f>
        <v>0</v>
      </c>
      <c r="O744" s="115">
        <f>IF(COUNT($H744:N744)&gt;=Input!$Y$7,0,O486*O$6)</f>
        <v>0</v>
      </c>
      <c r="P744" s="115">
        <f>IF(COUNT($H744:O744)&gt;=Input!$Y$7,0,P486*P$6)</f>
        <v>0</v>
      </c>
      <c r="Q744" s="115">
        <f>IF(COUNT($H744:P744)&gt;=Input!$Y$7,0,Q486*Q$6)</f>
        <v>0</v>
      </c>
      <c r="R744" s="9"/>
      <c r="S744" s="9"/>
      <c r="T744" s="9"/>
      <c r="U744" s="9"/>
      <c r="V744" s="9"/>
      <c r="W744" s="9"/>
      <c r="X744" s="9"/>
      <c r="Y744" s="9"/>
      <c r="Z744" s="9"/>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9"/>
      <c r="BE744" s="9"/>
      <c r="BF744" s="9"/>
      <c r="BG744" s="9"/>
      <c r="BH744" s="9"/>
      <c r="BI744" s="9"/>
      <c r="BJ744" s="9"/>
      <c r="BK744" s="9"/>
      <c r="BL744" s="9"/>
    </row>
    <row r="745" spans="1:64" hidden="1" outlineLevel="1">
      <c r="A745" s="9"/>
      <c r="B745" s="9"/>
      <c r="C745" s="9"/>
      <c r="D745" s="271">
        <f>Asset18</f>
        <v>0</v>
      </c>
      <c r="E745" s="9"/>
      <c r="F745" s="9"/>
      <c r="G745" s="204">
        <f t="shared" si="62"/>
        <v>0</v>
      </c>
      <c r="H745" s="115">
        <f t="shared" si="62"/>
        <v>0</v>
      </c>
      <c r="I745" s="115">
        <f t="shared" si="62"/>
        <v>0</v>
      </c>
      <c r="J745" s="115">
        <f t="shared" si="62"/>
        <v>0</v>
      </c>
      <c r="K745" s="115">
        <f t="shared" si="62"/>
        <v>0</v>
      </c>
      <c r="L745" s="115">
        <f t="shared" si="62"/>
        <v>0</v>
      </c>
      <c r="M745" s="115">
        <f>IF(COUNT($H745:L745)&gt;=Input!$Y$7,0,M487*M$6)</f>
        <v>0</v>
      </c>
      <c r="N745" s="115">
        <f>IF(COUNT($H745:M745)&gt;=Input!$Y$7,0,N487*N$6)</f>
        <v>0</v>
      </c>
      <c r="O745" s="115">
        <f>IF(COUNT($H745:N745)&gt;=Input!$Y$7,0,O487*O$6)</f>
        <v>0</v>
      </c>
      <c r="P745" s="115">
        <f>IF(COUNT($H745:O745)&gt;=Input!$Y$7,0,P487*P$6)</f>
        <v>0</v>
      </c>
      <c r="Q745" s="115">
        <f>IF(COUNT($H745:P745)&gt;=Input!$Y$7,0,Q487*Q$6)</f>
        <v>0</v>
      </c>
      <c r="R745" s="9"/>
      <c r="S745" s="9"/>
      <c r="T745" s="9"/>
      <c r="U745" s="9"/>
      <c r="V745" s="9"/>
      <c r="W745" s="9"/>
      <c r="X745" s="9"/>
      <c r="Y745" s="9"/>
      <c r="Z745" s="9"/>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9"/>
      <c r="BE745" s="9"/>
      <c r="BF745" s="9"/>
      <c r="BG745" s="9"/>
      <c r="BH745" s="9"/>
      <c r="BI745" s="9"/>
      <c r="BJ745" s="9"/>
      <c r="BK745" s="9"/>
      <c r="BL745" s="9"/>
    </row>
    <row r="746" spans="1:64" hidden="1" outlineLevel="1">
      <c r="A746" s="9"/>
      <c r="B746" s="9"/>
      <c r="C746" s="9"/>
      <c r="D746" s="271">
        <f>Asset19</f>
        <v>0</v>
      </c>
      <c r="E746" s="9"/>
      <c r="F746" s="9"/>
      <c r="G746" s="204">
        <f t="shared" si="62"/>
        <v>0</v>
      </c>
      <c r="H746" s="115">
        <f t="shared" si="62"/>
        <v>0</v>
      </c>
      <c r="I746" s="115">
        <f t="shared" si="62"/>
        <v>0</v>
      </c>
      <c r="J746" s="115">
        <f t="shared" si="62"/>
        <v>0</v>
      </c>
      <c r="K746" s="115">
        <f t="shared" si="62"/>
        <v>0</v>
      </c>
      <c r="L746" s="115">
        <f t="shared" si="62"/>
        <v>0</v>
      </c>
      <c r="M746" s="115">
        <f>IF(COUNT($H746:L746)&gt;=Input!$Y$7,0,M488*M$6)</f>
        <v>0</v>
      </c>
      <c r="N746" s="115">
        <f>IF(COUNT($H746:M746)&gt;=Input!$Y$7,0,N488*N$6)</f>
        <v>0</v>
      </c>
      <c r="O746" s="115">
        <f>IF(COUNT($H746:N746)&gt;=Input!$Y$7,0,O488*O$6)</f>
        <v>0</v>
      </c>
      <c r="P746" s="115">
        <f>IF(COUNT($H746:O746)&gt;=Input!$Y$7,0,P488*P$6)</f>
        <v>0</v>
      </c>
      <c r="Q746" s="115">
        <f>IF(COUNT($H746:P746)&gt;=Input!$Y$7,0,Q488*Q$6)</f>
        <v>0</v>
      </c>
      <c r="R746" s="9"/>
      <c r="S746" s="9"/>
      <c r="T746" s="9"/>
      <c r="U746" s="9"/>
      <c r="V746" s="9"/>
      <c r="W746" s="9"/>
      <c r="X746" s="9"/>
      <c r="Y746" s="9"/>
      <c r="Z746" s="9"/>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9"/>
      <c r="BE746" s="9"/>
      <c r="BF746" s="9"/>
      <c r="BG746" s="9"/>
      <c r="BH746" s="9"/>
      <c r="BI746" s="9"/>
      <c r="BJ746" s="9"/>
      <c r="BK746" s="9"/>
      <c r="BL746" s="9"/>
    </row>
    <row r="747" spans="1:64" hidden="1" outlineLevel="1">
      <c r="A747" s="9"/>
      <c r="B747" s="9"/>
      <c r="C747" s="9"/>
      <c r="D747" s="271">
        <f>Asset20</f>
        <v>0</v>
      </c>
      <c r="E747" s="9"/>
      <c r="F747" s="9"/>
      <c r="G747" s="204">
        <f t="shared" si="62"/>
        <v>0</v>
      </c>
      <c r="H747" s="115">
        <f t="shared" si="62"/>
        <v>0</v>
      </c>
      <c r="I747" s="115">
        <f t="shared" si="62"/>
        <v>0</v>
      </c>
      <c r="J747" s="115">
        <f t="shared" si="62"/>
        <v>0</v>
      </c>
      <c r="K747" s="115">
        <f t="shared" si="62"/>
        <v>0</v>
      </c>
      <c r="L747" s="115">
        <f t="shared" si="62"/>
        <v>0</v>
      </c>
      <c r="M747" s="115">
        <f>IF(COUNT($H747:L747)&gt;=Input!$Y$7,0,M489*M$6)</f>
        <v>0</v>
      </c>
      <c r="N747" s="115">
        <f>IF(COUNT($H747:M747)&gt;=Input!$Y$7,0,N489*N$6)</f>
        <v>0</v>
      </c>
      <c r="O747" s="115">
        <f>IF(COUNT($H747:N747)&gt;=Input!$Y$7,0,O489*O$6)</f>
        <v>0</v>
      </c>
      <c r="P747" s="115">
        <f>IF(COUNT($H747:O747)&gt;=Input!$Y$7,0,P489*P$6)</f>
        <v>0</v>
      </c>
      <c r="Q747" s="115">
        <f>IF(COUNT($H747:P747)&gt;=Input!$Y$7,0,Q489*Q$6)</f>
        <v>0</v>
      </c>
      <c r="R747" s="9"/>
      <c r="S747" s="9"/>
      <c r="T747" s="9"/>
      <c r="U747" s="9"/>
      <c r="V747" s="9"/>
      <c r="W747" s="9"/>
      <c r="X747" s="9"/>
      <c r="Y747" s="9"/>
      <c r="Z747" s="9"/>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9"/>
      <c r="BE747" s="9"/>
      <c r="BF747" s="9"/>
      <c r="BG747" s="9"/>
      <c r="BH747" s="9"/>
      <c r="BI747" s="9"/>
      <c r="BJ747" s="9"/>
      <c r="BK747" s="9"/>
      <c r="BL747" s="9"/>
    </row>
    <row r="748" spans="1:64" hidden="1" outlineLevel="1">
      <c r="A748" s="9"/>
      <c r="B748" s="9"/>
      <c r="C748" s="9"/>
      <c r="D748" s="271">
        <f>Asset21</f>
        <v>0</v>
      </c>
      <c r="E748" s="9"/>
      <c r="F748" s="9"/>
      <c r="G748" s="204">
        <f t="shared" ref="G748:L757" si="63">G490*G$6</f>
        <v>0</v>
      </c>
      <c r="H748" s="115">
        <f t="shared" si="63"/>
        <v>0</v>
      </c>
      <c r="I748" s="115">
        <f t="shared" si="63"/>
        <v>0</v>
      </c>
      <c r="J748" s="115">
        <f t="shared" si="63"/>
        <v>0</v>
      </c>
      <c r="K748" s="115">
        <f t="shared" si="63"/>
        <v>0</v>
      </c>
      <c r="L748" s="115">
        <f t="shared" si="63"/>
        <v>0</v>
      </c>
      <c r="M748" s="115">
        <f>IF(COUNT($H748:L748)&gt;=Input!$Y$7,0,M490*M$6)</f>
        <v>0</v>
      </c>
      <c r="N748" s="115">
        <f>IF(COUNT($H748:M748)&gt;=Input!$Y$7,0,N490*N$6)</f>
        <v>0</v>
      </c>
      <c r="O748" s="115">
        <f>IF(COUNT($H748:N748)&gt;=Input!$Y$7,0,O490*O$6)</f>
        <v>0</v>
      </c>
      <c r="P748" s="115">
        <f>IF(COUNT($H748:O748)&gt;=Input!$Y$7,0,P490*P$6)</f>
        <v>0</v>
      </c>
      <c r="Q748" s="115">
        <f>IF(COUNT($H748:P748)&gt;=Input!$Y$7,0,Q490*Q$6)</f>
        <v>0</v>
      </c>
      <c r="R748" s="9"/>
      <c r="S748" s="9"/>
      <c r="T748" s="9"/>
      <c r="U748" s="9"/>
      <c r="V748" s="9"/>
      <c r="W748" s="9"/>
      <c r="X748" s="9"/>
      <c r="Y748" s="9"/>
      <c r="Z748" s="9"/>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9"/>
      <c r="BE748" s="9"/>
      <c r="BF748" s="9"/>
      <c r="BG748" s="9"/>
      <c r="BH748" s="9"/>
      <c r="BI748" s="9"/>
      <c r="BJ748" s="9"/>
      <c r="BK748" s="9"/>
      <c r="BL748" s="9"/>
    </row>
    <row r="749" spans="1:64" hidden="1" outlineLevel="1">
      <c r="A749" s="9"/>
      <c r="B749" s="9"/>
      <c r="C749" s="9"/>
      <c r="D749" s="271">
        <f>Asset22</f>
        <v>0</v>
      </c>
      <c r="E749" s="9"/>
      <c r="F749" s="9"/>
      <c r="G749" s="204">
        <f t="shared" si="63"/>
        <v>0</v>
      </c>
      <c r="H749" s="115">
        <f t="shared" si="63"/>
        <v>0</v>
      </c>
      <c r="I749" s="115">
        <f t="shared" si="63"/>
        <v>0</v>
      </c>
      <c r="J749" s="115">
        <f t="shared" si="63"/>
        <v>0</v>
      </c>
      <c r="K749" s="115">
        <f t="shared" si="63"/>
        <v>0</v>
      </c>
      <c r="L749" s="115">
        <f t="shared" si="63"/>
        <v>0</v>
      </c>
      <c r="M749" s="115">
        <f>IF(COUNT($H749:L749)&gt;=Input!$Y$7,0,M491*M$6)</f>
        <v>0</v>
      </c>
      <c r="N749" s="115">
        <f>IF(COUNT($H749:M749)&gt;=Input!$Y$7,0,N491*N$6)</f>
        <v>0</v>
      </c>
      <c r="O749" s="115">
        <f>IF(COUNT($H749:N749)&gt;=Input!$Y$7,0,O491*O$6)</f>
        <v>0</v>
      </c>
      <c r="P749" s="115">
        <f>IF(COUNT($H749:O749)&gt;=Input!$Y$7,0,P491*P$6)</f>
        <v>0</v>
      </c>
      <c r="Q749" s="115">
        <f>IF(COUNT($H749:P749)&gt;=Input!$Y$7,0,Q491*Q$6)</f>
        <v>0</v>
      </c>
      <c r="R749" s="9"/>
      <c r="S749" s="9"/>
      <c r="T749" s="9"/>
      <c r="U749" s="9"/>
      <c r="V749" s="9"/>
      <c r="W749" s="9"/>
      <c r="X749" s="9"/>
      <c r="Y749" s="9"/>
      <c r="Z749" s="9"/>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9"/>
      <c r="BE749" s="9"/>
      <c r="BF749" s="9"/>
      <c r="BG749" s="9"/>
      <c r="BH749" s="9"/>
      <c r="BI749" s="9"/>
      <c r="BJ749" s="9"/>
      <c r="BK749" s="9"/>
      <c r="BL749" s="9"/>
    </row>
    <row r="750" spans="1:64" hidden="1" outlineLevel="1">
      <c r="A750" s="9"/>
      <c r="B750" s="9"/>
      <c r="C750" s="9"/>
      <c r="D750" s="271">
        <f>Asset23</f>
        <v>0</v>
      </c>
      <c r="E750" s="9"/>
      <c r="F750" s="9"/>
      <c r="G750" s="204">
        <f t="shared" si="63"/>
        <v>0</v>
      </c>
      <c r="H750" s="115">
        <f t="shared" si="63"/>
        <v>0</v>
      </c>
      <c r="I750" s="115">
        <f t="shared" si="63"/>
        <v>0</v>
      </c>
      <c r="J750" s="115">
        <f t="shared" si="63"/>
        <v>0</v>
      </c>
      <c r="K750" s="115">
        <f t="shared" si="63"/>
        <v>0</v>
      </c>
      <c r="L750" s="115">
        <f t="shared" si="63"/>
        <v>0</v>
      </c>
      <c r="M750" s="115">
        <f>IF(COUNT($H750:L750)&gt;=Input!$Y$7,0,M492*M$6)</f>
        <v>0</v>
      </c>
      <c r="N750" s="115">
        <f>IF(COUNT($H750:M750)&gt;=Input!$Y$7,0,N492*N$6)</f>
        <v>0</v>
      </c>
      <c r="O750" s="115">
        <f>IF(COUNT($H750:N750)&gt;=Input!$Y$7,0,O492*O$6)</f>
        <v>0</v>
      </c>
      <c r="P750" s="115">
        <f>IF(COUNT($H750:O750)&gt;=Input!$Y$7,0,P492*P$6)</f>
        <v>0</v>
      </c>
      <c r="Q750" s="115">
        <f>IF(COUNT($H750:P750)&gt;=Input!$Y$7,0,Q492*Q$6)</f>
        <v>0</v>
      </c>
      <c r="R750" s="9"/>
      <c r="S750" s="9"/>
      <c r="T750" s="9"/>
      <c r="U750" s="9"/>
      <c r="V750" s="9"/>
      <c r="W750" s="9"/>
      <c r="X750" s="9"/>
      <c r="Y750" s="9"/>
      <c r="Z750" s="9"/>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9"/>
      <c r="BE750" s="9"/>
      <c r="BF750" s="9"/>
      <c r="BG750" s="9"/>
      <c r="BH750" s="9"/>
      <c r="BI750" s="9"/>
      <c r="BJ750" s="9"/>
      <c r="BK750" s="9"/>
      <c r="BL750" s="9"/>
    </row>
    <row r="751" spans="1:64" hidden="1" outlineLevel="1">
      <c r="A751" s="9"/>
      <c r="B751" s="9"/>
      <c r="C751" s="9"/>
      <c r="D751" s="271">
        <f>Asset24</f>
        <v>0</v>
      </c>
      <c r="E751" s="9"/>
      <c r="F751" s="9"/>
      <c r="G751" s="204">
        <f t="shared" si="63"/>
        <v>0</v>
      </c>
      <c r="H751" s="115">
        <f t="shared" si="63"/>
        <v>0</v>
      </c>
      <c r="I751" s="115">
        <f t="shared" si="63"/>
        <v>0</v>
      </c>
      <c r="J751" s="115">
        <f t="shared" si="63"/>
        <v>0</v>
      </c>
      <c r="K751" s="115">
        <f t="shared" si="63"/>
        <v>0</v>
      </c>
      <c r="L751" s="115">
        <f t="shared" si="63"/>
        <v>0</v>
      </c>
      <c r="M751" s="115">
        <f>IF(COUNT($H751:L751)&gt;=Input!$Y$7,0,M493*M$6)</f>
        <v>0</v>
      </c>
      <c r="N751" s="115">
        <f>IF(COUNT($H751:M751)&gt;=Input!$Y$7,0,N493*N$6)</f>
        <v>0</v>
      </c>
      <c r="O751" s="115">
        <f>IF(COUNT($H751:N751)&gt;=Input!$Y$7,0,O493*O$6)</f>
        <v>0</v>
      </c>
      <c r="P751" s="115">
        <f>IF(COUNT($H751:O751)&gt;=Input!$Y$7,0,P493*P$6)</f>
        <v>0</v>
      </c>
      <c r="Q751" s="115">
        <f>IF(COUNT($H751:P751)&gt;=Input!$Y$7,0,Q493*Q$6)</f>
        <v>0</v>
      </c>
      <c r="R751" s="9"/>
      <c r="S751" s="9"/>
      <c r="T751" s="9"/>
      <c r="U751" s="9"/>
      <c r="V751" s="9"/>
      <c r="W751" s="9"/>
      <c r="X751" s="9"/>
      <c r="Y751" s="9"/>
      <c r="Z751" s="9"/>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9"/>
      <c r="BE751" s="9"/>
      <c r="BF751" s="9"/>
      <c r="BG751" s="9"/>
      <c r="BH751" s="9"/>
      <c r="BI751" s="9"/>
      <c r="BJ751" s="9"/>
      <c r="BK751" s="9"/>
      <c r="BL751" s="9"/>
    </row>
    <row r="752" spans="1:64" hidden="1" outlineLevel="1">
      <c r="A752" s="9"/>
      <c r="B752" s="9"/>
      <c r="C752" s="9"/>
      <c r="D752" s="271">
        <f>Asset25</f>
        <v>0</v>
      </c>
      <c r="E752" s="9"/>
      <c r="F752" s="9"/>
      <c r="G752" s="204">
        <f t="shared" si="63"/>
        <v>0</v>
      </c>
      <c r="H752" s="115">
        <f t="shared" si="63"/>
        <v>0</v>
      </c>
      <c r="I752" s="115">
        <f t="shared" si="63"/>
        <v>0</v>
      </c>
      <c r="J752" s="115">
        <f t="shared" si="63"/>
        <v>0</v>
      </c>
      <c r="K752" s="115">
        <f t="shared" si="63"/>
        <v>0</v>
      </c>
      <c r="L752" s="115">
        <f t="shared" si="63"/>
        <v>0</v>
      </c>
      <c r="M752" s="115">
        <f>IF(COUNT($H752:L752)&gt;=Input!$Y$7,0,M494*M$6)</f>
        <v>0</v>
      </c>
      <c r="N752" s="115">
        <f>IF(COUNT($H752:M752)&gt;=Input!$Y$7,0,N494*N$6)</f>
        <v>0</v>
      </c>
      <c r="O752" s="115">
        <f>IF(COUNT($H752:N752)&gt;=Input!$Y$7,0,O494*O$6)</f>
        <v>0</v>
      </c>
      <c r="P752" s="115">
        <f>IF(COUNT($H752:O752)&gt;=Input!$Y$7,0,P494*P$6)</f>
        <v>0</v>
      </c>
      <c r="Q752" s="115">
        <f>IF(COUNT($H752:P752)&gt;=Input!$Y$7,0,Q494*Q$6)</f>
        <v>0</v>
      </c>
      <c r="R752" s="9"/>
      <c r="S752" s="9"/>
      <c r="T752" s="9"/>
      <c r="U752" s="9"/>
      <c r="V752" s="9"/>
      <c r="W752" s="9"/>
      <c r="X752" s="9"/>
      <c r="Y752" s="9"/>
      <c r="Z752" s="9"/>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9"/>
      <c r="BE752" s="9"/>
      <c r="BF752" s="9"/>
      <c r="BG752" s="9"/>
      <c r="BH752" s="9"/>
      <c r="BI752" s="9"/>
      <c r="BJ752" s="9"/>
      <c r="BK752" s="9"/>
      <c r="BL752" s="9"/>
    </row>
    <row r="753" spans="1:64" hidden="1" outlineLevel="1">
      <c r="A753" s="9"/>
      <c r="B753" s="9"/>
      <c r="C753" s="9"/>
      <c r="D753" s="271">
        <f>Asset26</f>
        <v>0</v>
      </c>
      <c r="E753" s="9"/>
      <c r="F753" s="9"/>
      <c r="G753" s="204">
        <f t="shared" si="63"/>
        <v>0</v>
      </c>
      <c r="H753" s="115">
        <f t="shared" si="63"/>
        <v>0</v>
      </c>
      <c r="I753" s="115">
        <f t="shared" si="63"/>
        <v>0</v>
      </c>
      <c r="J753" s="115">
        <f t="shared" si="63"/>
        <v>0</v>
      </c>
      <c r="K753" s="115">
        <f t="shared" si="63"/>
        <v>0</v>
      </c>
      <c r="L753" s="115">
        <f t="shared" si="63"/>
        <v>0</v>
      </c>
      <c r="M753" s="115">
        <f>IF(COUNT($H753:L753)&gt;=Input!$Y$7,0,M495*M$6)</f>
        <v>0</v>
      </c>
      <c r="N753" s="115">
        <f>IF(COUNT($H753:M753)&gt;=Input!$Y$7,0,N495*N$6)</f>
        <v>0</v>
      </c>
      <c r="O753" s="115">
        <f>IF(COUNT($H753:N753)&gt;=Input!$Y$7,0,O495*O$6)</f>
        <v>0</v>
      </c>
      <c r="P753" s="115">
        <f>IF(COUNT($H753:O753)&gt;=Input!$Y$7,0,P495*P$6)</f>
        <v>0</v>
      </c>
      <c r="Q753" s="115">
        <f>IF(COUNT($H753:P753)&gt;=Input!$Y$7,0,Q495*Q$6)</f>
        <v>0</v>
      </c>
      <c r="R753" s="9"/>
      <c r="S753" s="9"/>
      <c r="T753" s="9"/>
      <c r="U753" s="9"/>
      <c r="V753" s="9"/>
      <c r="W753" s="9"/>
      <c r="X753" s="9"/>
      <c r="Y753" s="9"/>
      <c r="Z753" s="9"/>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9"/>
      <c r="BE753" s="9"/>
      <c r="BF753" s="9"/>
      <c r="BG753" s="9"/>
      <c r="BH753" s="9"/>
      <c r="BI753" s="9"/>
      <c r="BJ753" s="9"/>
      <c r="BK753" s="9"/>
      <c r="BL753" s="9"/>
    </row>
    <row r="754" spans="1:64" hidden="1" outlineLevel="1">
      <c r="A754" s="9"/>
      <c r="B754" s="9"/>
      <c r="C754" s="9"/>
      <c r="D754" s="271">
        <f>Asset27</f>
        <v>0</v>
      </c>
      <c r="E754" s="9"/>
      <c r="F754" s="9"/>
      <c r="G754" s="204">
        <f t="shared" si="63"/>
        <v>0</v>
      </c>
      <c r="H754" s="115">
        <f t="shared" si="63"/>
        <v>0</v>
      </c>
      <c r="I754" s="115">
        <f t="shared" si="63"/>
        <v>0</v>
      </c>
      <c r="J754" s="115">
        <f t="shared" si="63"/>
        <v>0</v>
      </c>
      <c r="K754" s="115">
        <f t="shared" si="63"/>
        <v>0</v>
      </c>
      <c r="L754" s="115">
        <f t="shared" si="63"/>
        <v>0</v>
      </c>
      <c r="M754" s="115">
        <f>IF(COUNT($H754:L754)&gt;=Input!$Y$7,0,M496*M$6)</f>
        <v>0</v>
      </c>
      <c r="N754" s="115">
        <f>IF(COUNT($H754:M754)&gt;=Input!$Y$7,0,N496*N$6)</f>
        <v>0</v>
      </c>
      <c r="O754" s="115">
        <f>IF(COUNT($H754:N754)&gt;=Input!$Y$7,0,O496*O$6)</f>
        <v>0</v>
      </c>
      <c r="P754" s="115">
        <f>IF(COUNT($H754:O754)&gt;=Input!$Y$7,0,P496*P$6)</f>
        <v>0</v>
      </c>
      <c r="Q754" s="115">
        <f>IF(COUNT($H754:P754)&gt;=Input!$Y$7,0,Q496*Q$6)</f>
        <v>0</v>
      </c>
      <c r="R754" s="9"/>
      <c r="S754" s="9"/>
      <c r="T754" s="9"/>
      <c r="U754" s="9"/>
      <c r="V754" s="9"/>
      <c r="W754" s="9"/>
      <c r="X754" s="9"/>
      <c r="Y754" s="9"/>
      <c r="Z754" s="9"/>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9"/>
      <c r="BE754" s="9"/>
      <c r="BF754" s="9"/>
      <c r="BG754" s="9"/>
      <c r="BH754" s="9"/>
      <c r="BI754" s="9"/>
      <c r="BJ754" s="9"/>
      <c r="BK754" s="9"/>
      <c r="BL754" s="9"/>
    </row>
    <row r="755" spans="1:64" hidden="1" outlineLevel="1">
      <c r="A755" s="9"/>
      <c r="B755" s="9"/>
      <c r="C755" s="9"/>
      <c r="D755" s="271">
        <f>Asset28</f>
        <v>0</v>
      </c>
      <c r="E755" s="9"/>
      <c r="F755" s="9"/>
      <c r="G755" s="204">
        <f t="shared" si="63"/>
        <v>0</v>
      </c>
      <c r="H755" s="115">
        <f t="shared" si="63"/>
        <v>0</v>
      </c>
      <c r="I755" s="115">
        <f t="shared" si="63"/>
        <v>0</v>
      </c>
      <c r="J755" s="115">
        <f t="shared" si="63"/>
        <v>0</v>
      </c>
      <c r="K755" s="115">
        <f t="shared" si="63"/>
        <v>0</v>
      </c>
      <c r="L755" s="115">
        <f t="shared" si="63"/>
        <v>0</v>
      </c>
      <c r="M755" s="115">
        <f>IF(COUNT($H755:L755)&gt;=Input!$Y$7,0,M497*M$6)</f>
        <v>0</v>
      </c>
      <c r="N755" s="115">
        <f>IF(COUNT($H755:M755)&gt;=Input!$Y$7,0,N497*N$6)</f>
        <v>0</v>
      </c>
      <c r="O755" s="115">
        <f>IF(COUNT($H755:N755)&gt;=Input!$Y$7,0,O497*O$6)</f>
        <v>0</v>
      </c>
      <c r="P755" s="115">
        <f>IF(COUNT($H755:O755)&gt;=Input!$Y$7,0,P497*P$6)</f>
        <v>0</v>
      </c>
      <c r="Q755" s="115">
        <f>IF(COUNT($H755:P755)&gt;=Input!$Y$7,0,Q497*Q$6)</f>
        <v>0</v>
      </c>
      <c r="R755" s="9"/>
      <c r="S755" s="9"/>
      <c r="T755" s="9"/>
      <c r="U755" s="9"/>
      <c r="V755" s="9"/>
      <c r="W755" s="9"/>
      <c r="X755" s="9"/>
      <c r="Y755" s="9"/>
      <c r="Z755" s="9"/>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9"/>
      <c r="BE755" s="9"/>
      <c r="BF755" s="9"/>
      <c r="BG755" s="9"/>
      <c r="BH755" s="9"/>
      <c r="BI755" s="9"/>
      <c r="BJ755" s="9"/>
      <c r="BK755" s="9"/>
      <c r="BL755" s="9"/>
    </row>
    <row r="756" spans="1:64" hidden="1" outlineLevel="1">
      <c r="A756" s="9"/>
      <c r="B756" s="9"/>
      <c r="C756" s="9"/>
      <c r="D756" s="271">
        <f>Asset29</f>
        <v>0</v>
      </c>
      <c r="E756" s="9"/>
      <c r="F756" s="9"/>
      <c r="G756" s="204">
        <f t="shared" si="63"/>
        <v>0</v>
      </c>
      <c r="H756" s="115">
        <f t="shared" si="63"/>
        <v>0</v>
      </c>
      <c r="I756" s="115">
        <f t="shared" si="63"/>
        <v>0</v>
      </c>
      <c r="J756" s="115">
        <f t="shared" si="63"/>
        <v>0</v>
      </c>
      <c r="K756" s="115">
        <f t="shared" si="63"/>
        <v>0</v>
      </c>
      <c r="L756" s="115">
        <f t="shared" si="63"/>
        <v>0</v>
      </c>
      <c r="M756" s="115">
        <f>IF(COUNT($H756:L756)&gt;=Input!$Y$7,0,M498*M$6)</f>
        <v>0</v>
      </c>
      <c r="N756" s="115">
        <f>IF(COUNT($H756:M756)&gt;=Input!$Y$7,0,N498*N$6)</f>
        <v>0</v>
      </c>
      <c r="O756" s="115">
        <f>IF(COUNT($H756:N756)&gt;=Input!$Y$7,0,O498*O$6)</f>
        <v>0</v>
      </c>
      <c r="P756" s="115">
        <f>IF(COUNT($H756:O756)&gt;=Input!$Y$7,0,P498*P$6)</f>
        <v>0</v>
      </c>
      <c r="Q756" s="115">
        <f>IF(COUNT($H756:P756)&gt;=Input!$Y$7,0,Q498*Q$6)</f>
        <v>0</v>
      </c>
      <c r="R756" s="9"/>
      <c r="S756" s="9"/>
      <c r="T756" s="9"/>
      <c r="U756" s="9"/>
      <c r="V756" s="9"/>
      <c r="W756" s="9"/>
      <c r="X756" s="9"/>
      <c r="Y756" s="9"/>
      <c r="Z756" s="9"/>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9"/>
      <c r="BE756" s="9"/>
      <c r="BF756" s="9"/>
      <c r="BG756" s="9"/>
      <c r="BH756" s="9"/>
      <c r="BI756" s="9"/>
      <c r="BJ756" s="9"/>
      <c r="BK756" s="9"/>
      <c r="BL756" s="9"/>
    </row>
    <row r="757" spans="1:64" hidden="1" outlineLevel="1">
      <c r="A757" s="9"/>
      <c r="B757" s="9"/>
      <c r="C757" s="9"/>
      <c r="D757" s="271">
        <f>Asset30</f>
        <v>0</v>
      </c>
      <c r="E757" s="9"/>
      <c r="F757" s="9"/>
      <c r="G757" s="204">
        <f t="shared" si="63"/>
        <v>0</v>
      </c>
      <c r="H757" s="115">
        <f t="shared" si="63"/>
        <v>0</v>
      </c>
      <c r="I757" s="115">
        <f t="shared" si="63"/>
        <v>0</v>
      </c>
      <c r="J757" s="115">
        <f t="shared" si="63"/>
        <v>0</v>
      </c>
      <c r="K757" s="115">
        <f t="shared" si="63"/>
        <v>0</v>
      </c>
      <c r="L757" s="115">
        <f t="shared" si="63"/>
        <v>0</v>
      </c>
      <c r="M757" s="115">
        <f>IF(COUNT($H757:L757)&gt;=Input!$Y$7,0,M499*M$6)</f>
        <v>0</v>
      </c>
      <c r="N757" s="115">
        <f>IF(COUNT($H757:M757)&gt;=Input!$Y$7,0,N499*N$6)</f>
        <v>0</v>
      </c>
      <c r="O757" s="115">
        <f>IF(COUNT($H757:N757)&gt;=Input!$Y$7,0,O499*O$6)</f>
        <v>0</v>
      </c>
      <c r="P757" s="115">
        <f>IF(COUNT($H757:O757)&gt;=Input!$Y$7,0,P499*P$6)</f>
        <v>0</v>
      </c>
      <c r="Q757" s="115">
        <f>IF(COUNT($H757:P757)&gt;=Input!$Y$7,0,Q499*Q$6)</f>
        <v>0</v>
      </c>
      <c r="R757" s="9"/>
      <c r="S757" s="9"/>
      <c r="T757" s="9"/>
      <c r="U757" s="9"/>
      <c r="V757" s="9"/>
      <c r="W757" s="9"/>
      <c r="X757" s="9"/>
      <c r="Y757" s="9"/>
      <c r="Z757" s="9"/>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9"/>
      <c r="BE757" s="9"/>
      <c r="BF757" s="9"/>
      <c r="BG757" s="9"/>
      <c r="BH757" s="9"/>
      <c r="BI757" s="9"/>
      <c r="BJ757" s="9"/>
      <c r="BK757" s="9"/>
      <c r="BL757" s="9"/>
    </row>
    <row r="758" spans="1:64" ht="13.5" customHeight="1" collapsed="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9"/>
      <c r="BE758" s="9"/>
      <c r="BF758" s="9"/>
      <c r="BG758" s="9"/>
      <c r="BH758" s="9"/>
      <c r="BI758" s="9"/>
      <c r="BJ758" s="9"/>
      <c r="BK758" s="9"/>
      <c r="BL758" s="9"/>
    </row>
    <row r="759" spans="1:64" s="12" customFormat="1">
      <c r="A759" s="78"/>
      <c r="B759" s="78"/>
      <c r="C759" s="85" t="s">
        <v>74</v>
      </c>
      <c r="D759" s="78"/>
      <c r="E759" s="78"/>
      <c r="F759" s="78"/>
      <c r="G759" s="88"/>
      <c r="H759" s="121"/>
      <c r="I759" s="121"/>
      <c r="J759" s="121"/>
      <c r="K759" s="121"/>
      <c r="L759" s="121"/>
      <c r="M759" s="121"/>
      <c r="N759" s="89"/>
      <c r="O759" s="89"/>
      <c r="P759" s="89"/>
      <c r="Q759" s="89"/>
      <c r="R759" s="89"/>
      <c r="S759" s="89"/>
      <c r="T759" s="110"/>
      <c r="U759" s="110"/>
      <c r="V759" s="110"/>
      <c r="W759" s="110"/>
      <c r="X759" s="110"/>
      <c r="Y759" s="110"/>
      <c r="Z759" s="110"/>
      <c r="AA759" s="218"/>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c r="AV759" s="110"/>
      <c r="AW759" s="110"/>
      <c r="AX759" s="110"/>
      <c r="AY759" s="110"/>
      <c r="AZ759" s="110"/>
      <c r="BA759" s="110"/>
      <c r="BB759" s="110"/>
      <c r="BC759" s="110"/>
      <c r="BD759" s="110"/>
      <c r="BE759" s="110"/>
      <c r="BF759" s="110"/>
      <c r="BG759" s="110"/>
      <c r="BH759" s="110"/>
      <c r="BI759" s="110"/>
      <c r="BJ759" s="110"/>
    </row>
    <row r="760" spans="1:64">
      <c r="A760" s="9"/>
      <c r="B760" s="9"/>
      <c r="C760" s="9"/>
      <c r="D760" s="9"/>
      <c r="E760" s="9"/>
      <c r="F760" s="9"/>
      <c r="G760" s="9"/>
      <c r="H760" s="9"/>
      <c r="I760" s="9"/>
      <c r="J760" s="9"/>
      <c r="K760" s="9"/>
      <c r="L760" s="9"/>
      <c r="M760" s="9"/>
      <c r="N760" s="9"/>
      <c r="O760" s="9"/>
      <c r="P760" s="9"/>
      <c r="Q760" s="9"/>
      <c r="R760" s="9"/>
      <c r="S760" s="9"/>
      <c r="T760" s="110"/>
      <c r="U760" s="110"/>
      <c r="V760" s="110"/>
      <c r="W760" s="110"/>
      <c r="X760" s="110"/>
      <c r="Y760" s="110"/>
      <c r="Z760" s="110"/>
      <c r="AA760" s="218"/>
      <c r="AB760" s="218"/>
      <c r="AC760" s="218"/>
      <c r="AD760" s="218"/>
      <c r="AE760" s="218"/>
      <c r="AF760" s="218"/>
      <c r="AG760" s="218"/>
      <c r="AH760" s="218"/>
      <c r="AI760" s="218"/>
      <c r="AJ760" s="218"/>
      <c r="AK760" s="218"/>
      <c r="AL760" s="218"/>
      <c r="AM760" s="218"/>
      <c r="AN760" s="218"/>
      <c r="AO760" s="218"/>
      <c r="AP760" s="218"/>
      <c r="AQ760" s="218"/>
      <c r="AR760" s="218"/>
      <c r="AS760" s="218"/>
      <c r="AT760" s="218"/>
      <c r="AU760" s="218"/>
      <c r="AV760" s="218"/>
      <c r="AW760" s="218"/>
      <c r="AX760" s="218"/>
      <c r="AY760" s="218"/>
      <c r="AZ760" s="218"/>
      <c r="BA760" s="218"/>
      <c r="BB760" s="218"/>
      <c r="BC760" s="218"/>
      <c r="BD760" s="110"/>
      <c r="BE760" s="110"/>
      <c r="BF760" s="110"/>
      <c r="BG760" s="110"/>
      <c r="BH760" s="110"/>
      <c r="BI760" s="110"/>
      <c r="BJ760" s="110"/>
      <c r="BK760" s="12"/>
      <c r="BL760" s="12"/>
    </row>
    <row r="761" spans="1:64">
      <c r="A761" s="9"/>
      <c r="B761" s="9"/>
      <c r="C761" s="44" t="s">
        <v>63</v>
      </c>
      <c r="D761" s="9"/>
      <c r="E761" s="9"/>
      <c r="F761" s="9"/>
      <c r="G761" s="313">
        <f>SUM(G762:G791)</f>
        <v>1879.9814438209928</v>
      </c>
      <c r="H761" s="476">
        <f>SUM(H762:H791)</f>
        <v>2093.4385480310939</v>
      </c>
      <c r="I761" s="314">
        <f t="shared" ref="I761:Q761" si="64">SUM(I762:I791)</f>
        <v>2278.2609074570819</v>
      </c>
      <c r="J761" s="314">
        <f t="shared" si="64"/>
        <v>2563.010391265866</v>
      </c>
      <c r="K761" s="314">
        <f t="shared" si="64"/>
        <v>2858.9454715868251</v>
      </c>
      <c r="L761" s="314">
        <f t="shared" si="64"/>
        <v>3180.3896560995681</v>
      </c>
      <c r="M761" s="314">
        <f t="shared" si="64"/>
        <v>3473.524989544037</v>
      </c>
      <c r="N761" s="314">
        <f t="shared" si="64"/>
        <v>0</v>
      </c>
      <c r="O761" s="314">
        <f t="shared" si="64"/>
        <v>0</v>
      </c>
      <c r="P761" s="314">
        <f t="shared" si="64"/>
        <v>0</v>
      </c>
      <c r="Q761" s="314">
        <f t="shared" si="64"/>
        <v>0</v>
      </c>
      <c r="R761" s="314">
        <f>SUM(R762:R791)</f>
        <v>0</v>
      </c>
      <c r="S761" s="281"/>
      <c r="T761" s="103"/>
      <c r="U761" s="103"/>
      <c r="V761" s="103"/>
      <c r="W761" s="103"/>
      <c r="X761" s="103"/>
      <c r="Y761" s="103"/>
      <c r="Z761" s="10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103"/>
      <c r="BE761" s="103"/>
      <c r="BF761" s="103"/>
      <c r="BG761" s="103"/>
      <c r="BH761" s="103"/>
      <c r="BI761" s="103"/>
      <c r="BJ761" s="103"/>
      <c r="BK761" s="12"/>
      <c r="BL761" s="12"/>
    </row>
    <row r="762" spans="1:64" hidden="1" outlineLevel="1">
      <c r="A762" s="9"/>
      <c r="B762" s="9"/>
      <c r="C762" s="9"/>
      <c r="D762" s="271" t="str">
        <f>Asset1</f>
        <v>Subtransmission</v>
      </c>
      <c r="E762" s="9"/>
      <c r="F762" s="9"/>
      <c r="G762" s="204">
        <f>Input!J7</f>
        <v>221.08167189144211</v>
      </c>
      <c r="H762" s="334">
        <f>G762+G794+G826+G858+G890+G922</f>
        <v>201.86232986351726</v>
      </c>
      <c r="I762" s="115">
        <f t="shared" ref="I762:M771" si="65">H762+H794+H826</f>
        <v>223.75378048883468</v>
      </c>
      <c r="J762" s="115">
        <f t="shared" si="65"/>
        <v>270.18518567823617</v>
      </c>
      <c r="K762" s="115">
        <f t="shared" si="65"/>
        <v>333.22360899693331</v>
      </c>
      <c r="L762" s="115">
        <f t="shared" si="65"/>
        <v>395.67376420819033</v>
      </c>
      <c r="M762" s="115">
        <f t="shared" si="65"/>
        <v>458.13873531134919</v>
      </c>
      <c r="N762" s="115">
        <f>IF(COUNT($H762:M762)&gt;Input!$Y$7,0, M762+M794+M826)</f>
        <v>0</v>
      </c>
      <c r="O762" s="115">
        <f>IF(COUNT($H762:N762)&gt;Input!$Y$7,0, N762+N794+N826)</f>
        <v>0</v>
      </c>
      <c r="P762" s="115">
        <f>IF(COUNT($H762:O762)&gt;Input!$Y$7,0, O762+O794+O826)</f>
        <v>0</v>
      </c>
      <c r="Q762" s="115">
        <f>IF(COUNT($H762:P762)&gt;Input!$Y$7,0, P762+P794+P826)</f>
        <v>0</v>
      </c>
      <c r="R762" s="115">
        <f>IF(COUNT($H762:Q762)&gt;Input!$Y$7,0, Q762+Q794+Q826)</f>
        <v>0</v>
      </c>
      <c r="S762" s="9"/>
      <c r="T762" s="9"/>
      <c r="U762" s="9"/>
      <c r="V762" s="9"/>
      <c r="W762" s="9"/>
      <c r="X762" s="9"/>
      <c r="Y762" s="9"/>
      <c r="Z762" s="9"/>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9"/>
      <c r="BE762" s="9"/>
      <c r="BF762" s="9"/>
      <c r="BG762" s="9"/>
      <c r="BH762" s="9"/>
      <c r="BI762" s="9"/>
      <c r="BJ762" s="9"/>
      <c r="BK762" s="9"/>
      <c r="BL762" s="9"/>
    </row>
    <row r="763" spans="1:64" hidden="1" outlineLevel="1">
      <c r="A763" s="9"/>
      <c r="B763" s="9"/>
      <c r="C763" s="44"/>
      <c r="D763" s="271" t="str">
        <f>Asset2</f>
        <v>Distribution system assets</v>
      </c>
      <c r="E763" s="9"/>
      <c r="F763" s="9"/>
      <c r="G763" s="204">
        <f>Input!J8</f>
        <v>1560.2007896223902</v>
      </c>
      <c r="H763" s="334">
        <f t="shared" ref="H763:H791" si="66">G763+G795+G827+G859+G891+G923</f>
        <v>1751.8018003116877</v>
      </c>
      <c r="I763" s="115">
        <f t="shared" si="65"/>
        <v>1932.3104445268239</v>
      </c>
      <c r="J763" s="115">
        <f t="shared" si="65"/>
        <v>2147.2896410684702</v>
      </c>
      <c r="K763" s="115">
        <f t="shared" si="65"/>
        <v>2368.6596044689627</v>
      </c>
      <c r="L763" s="115">
        <f t="shared" si="65"/>
        <v>2633.8659916484798</v>
      </c>
      <c r="M763" s="115">
        <f t="shared" si="65"/>
        <v>2880.4832228481646</v>
      </c>
      <c r="N763" s="115">
        <f>IF(COUNT($H763:M763)&gt;Input!$Y$7,0, M763+M795+M827)</f>
        <v>0</v>
      </c>
      <c r="O763" s="115">
        <f>IF(COUNT($H763:N763)&gt;Input!$Y$7,0, N763+N795+N827)</f>
        <v>0</v>
      </c>
      <c r="P763" s="115">
        <f>IF(COUNT($H763:O763)&gt;Input!$Y$7,0, O763+O795+O827)</f>
        <v>0</v>
      </c>
      <c r="Q763" s="115">
        <f>IF(COUNT($H763:P763)&gt;Input!$Y$7,0, P763+P795+P827)</f>
        <v>0</v>
      </c>
      <c r="R763" s="115">
        <f>IF(COUNT($H763:Q763)&gt;Input!$Y$7,0, Q763+Q795+Q827)</f>
        <v>0</v>
      </c>
      <c r="S763" s="104"/>
      <c r="T763" s="104"/>
      <c r="U763" s="104"/>
      <c r="V763" s="104"/>
      <c r="W763" s="104"/>
      <c r="X763" s="104"/>
      <c r="Y763" s="104"/>
      <c r="Z763" s="104"/>
      <c r="AA763" s="231"/>
      <c r="AB763" s="231"/>
      <c r="AC763" s="231"/>
      <c r="AD763" s="231"/>
      <c r="AE763" s="231"/>
      <c r="AF763" s="231"/>
      <c r="AG763" s="231"/>
      <c r="AH763" s="231"/>
      <c r="AI763" s="231"/>
      <c r="AJ763" s="231"/>
      <c r="AK763" s="231"/>
      <c r="AL763" s="231"/>
      <c r="AM763" s="231"/>
      <c r="AN763" s="231"/>
      <c r="AO763" s="231"/>
      <c r="AP763" s="231"/>
      <c r="AQ763" s="231"/>
      <c r="AR763" s="231"/>
      <c r="AS763" s="231"/>
      <c r="AT763" s="231"/>
      <c r="AU763" s="231"/>
      <c r="AV763" s="231"/>
      <c r="AW763" s="231"/>
      <c r="AX763" s="231"/>
      <c r="AY763" s="231"/>
      <c r="AZ763" s="231"/>
      <c r="BA763" s="231"/>
      <c r="BB763" s="231"/>
      <c r="BC763" s="231"/>
      <c r="BD763" s="104"/>
      <c r="BE763" s="104"/>
      <c r="BF763" s="104"/>
      <c r="BG763" s="104"/>
      <c r="BH763" s="104"/>
      <c r="BI763" s="104"/>
      <c r="BJ763" s="104"/>
      <c r="BK763" s="12"/>
      <c r="BL763" s="12"/>
    </row>
    <row r="764" spans="1:64" hidden="1" outlineLevel="1">
      <c r="A764" s="9"/>
      <c r="B764" s="9"/>
      <c r="C764" s="44"/>
      <c r="D764" s="271" t="str">
        <f>Asset3</f>
        <v>Standard metering</v>
      </c>
      <c r="E764" s="9"/>
      <c r="F764" s="9"/>
      <c r="G764" s="204">
        <f>Input!J9</f>
        <v>14.291879766545669</v>
      </c>
      <c r="H764" s="334">
        <f t="shared" si="66"/>
        <v>15.790380770985777</v>
      </c>
      <c r="I764" s="115">
        <f t="shared" si="65"/>
        <v>0</v>
      </c>
      <c r="J764" s="115">
        <f t="shared" si="65"/>
        <v>0</v>
      </c>
      <c r="K764" s="115">
        <f t="shared" si="65"/>
        <v>0</v>
      </c>
      <c r="L764" s="115">
        <f t="shared" si="65"/>
        <v>0</v>
      </c>
      <c r="M764" s="115">
        <f t="shared" si="65"/>
        <v>0</v>
      </c>
      <c r="N764" s="115">
        <f>IF(COUNT($H764:M764)&gt;Input!$Y$7,0, M764+M796+M828)</f>
        <v>0</v>
      </c>
      <c r="O764" s="115">
        <f>IF(COUNT($H764:N764)&gt;Input!$Y$7,0, N764+N796+N828)</f>
        <v>0</v>
      </c>
      <c r="P764" s="115">
        <f>IF(COUNT($H764:O764)&gt;Input!$Y$7,0, O764+O796+O828)</f>
        <v>0</v>
      </c>
      <c r="Q764" s="115">
        <f>IF(COUNT($H764:P764)&gt;Input!$Y$7,0, P764+P796+P828)</f>
        <v>0</v>
      </c>
      <c r="R764" s="115">
        <f>IF(COUNT($H764:Q764)&gt;Input!$Y$7,0, Q764+Q796+Q828)</f>
        <v>0</v>
      </c>
      <c r="S764" s="104"/>
      <c r="T764" s="104"/>
      <c r="U764" s="104"/>
      <c r="V764" s="104"/>
      <c r="W764" s="104"/>
      <c r="X764" s="104"/>
      <c r="Y764" s="104"/>
      <c r="Z764" s="104"/>
      <c r="AA764" s="231"/>
      <c r="AB764" s="231"/>
      <c r="AC764" s="231"/>
      <c r="AD764" s="231"/>
      <c r="AE764" s="231"/>
      <c r="AF764" s="231"/>
      <c r="AG764" s="231"/>
      <c r="AH764" s="231"/>
      <c r="AI764" s="231"/>
      <c r="AJ764" s="231"/>
      <c r="AK764" s="231"/>
      <c r="AL764" s="231"/>
      <c r="AM764" s="231"/>
      <c r="AN764" s="231"/>
      <c r="AO764" s="231"/>
      <c r="AP764" s="231"/>
      <c r="AQ764" s="231"/>
      <c r="AR764" s="231"/>
      <c r="AS764" s="231"/>
      <c r="AT764" s="231"/>
      <c r="AU764" s="231"/>
      <c r="AV764" s="231"/>
      <c r="AW764" s="231"/>
      <c r="AX764" s="231"/>
      <c r="AY764" s="231"/>
      <c r="AZ764" s="231"/>
      <c r="BA764" s="231"/>
      <c r="BB764" s="231"/>
      <c r="BC764" s="231"/>
      <c r="BD764" s="104"/>
      <c r="BE764" s="104"/>
      <c r="BF764" s="104"/>
      <c r="BG764" s="104"/>
      <c r="BH764" s="104"/>
      <c r="BI764" s="104"/>
      <c r="BJ764" s="104"/>
      <c r="BK764" s="12"/>
      <c r="BL764" s="12"/>
    </row>
    <row r="765" spans="1:64" hidden="1" outlineLevel="1">
      <c r="A765" s="9"/>
      <c r="B765" s="9"/>
      <c r="C765" s="44"/>
      <c r="D765" s="271" t="str">
        <f>Asset4</f>
        <v>Public lighting</v>
      </c>
      <c r="E765" s="9"/>
      <c r="F765" s="9"/>
      <c r="G765" s="204">
        <f>Input!J10</f>
        <v>6.9278972498934959</v>
      </c>
      <c r="H765" s="334">
        <f t="shared" si="66"/>
        <v>0.38897486718899543</v>
      </c>
      <c r="I765" s="115">
        <f t="shared" si="65"/>
        <v>0</v>
      </c>
      <c r="J765" s="115">
        <f t="shared" si="65"/>
        <v>0</v>
      </c>
      <c r="K765" s="115">
        <f t="shared" si="65"/>
        <v>0</v>
      </c>
      <c r="L765" s="115">
        <f t="shared" si="65"/>
        <v>0</v>
      </c>
      <c r="M765" s="115">
        <f t="shared" si="65"/>
        <v>0</v>
      </c>
      <c r="N765" s="115">
        <f>IF(COUNT($H765:M765)&gt;Input!$Y$7,0, M765+M797+M829)</f>
        <v>0</v>
      </c>
      <c r="O765" s="115">
        <f>IF(COUNT($H765:N765)&gt;Input!$Y$7,0, N765+N797+N829)</f>
        <v>0</v>
      </c>
      <c r="P765" s="115">
        <f>IF(COUNT($H765:O765)&gt;Input!$Y$7,0, O765+O797+O829)</f>
        <v>0</v>
      </c>
      <c r="Q765" s="115">
        <f>IF(COUNT($H765:P765)&gt;Input!$Y$7,0, P765+P797+P829)</f>
        <v>0</v>
      </c>
      <c r="R765" s="115">
        <f>IF(COUNT($H765:Q765)&gt;Input!$Y$7,0, Q765+Q797+Q829)</f>
        <v>0</v>
      </c>
      <c r="S765" s="104"/>
      <c r="T765" s="104"/>
      <c r="U765" s="104"/>
      <c r="V765" s="104"/>
      <c r="W765" s="104"/>
      <c r="X765" s="104"/>
      <c r="Y765" s="104"/>
      <c r="Z765" s="104"/>
      <c r="AA765" s="231"/>
      <c r="AB765" s="231"/>
      <c r="AC765" s="231"/>
      <c r="AD765" s="231"/>
      <c r="AE765" s="231"/>
      <c r="AF765" s="231"/>
      <c r="AG765" s="231"/>
      <c r="AH765" s="231"/>
      <c r="AI765" s="231"/>
      <c r="AJ765" s="231"/>
      <c r="AK765" s="231"/>
      <c r="AL765" s="231"/>
      <c r="AM765" s="231"/>
      <c r="AN765" s="231"/>
      <c r="AO765" s="231"/>
      <c r="AP765" s="231"/>
      <c r="AQ765" s="231"/>
      <c r="AR765" s="231"/>
      <c r="AS765" s="231"/>
      <c r="AT765" s="231"/>
      <c r="AU765" s="231"/>
      <c r="AV765" s="231"/>
      <c r="AW765" s="231"/>
      <c r="AX765" s="231"/>
      <c r="AY765" s="231"/>
      <c r="AZ765" s="231"/>
      <c r="BA765" s="231"/>
      <c r="BB765" s="231"/>
      <c r="BC765" s="231"/>
      <c r="BD765" s="104"/>
      <c r="BE765" s="104"/>
      <c r="BF765" s="104"/>
      <c r="BG765" s="104"/>
      <c r="BH765" s="104"/>
      <c r="BI765" s="104"/>
      <c r="BJ765" s="104"/>
      <c r="BK765" s="12"/>
      <c r="BL765" s="12"/>
    </row>
    <row r="766" spans="1:64" hidden="1" outlineLevel="1">
      <c r="A766" s="9"/>
      <c r="B766" s="9"/>
      <c r="C766" s="44"/>
      <c r="D766" s="271" t="str">
        <f>Asset5</f>
        <v>SCADA/Network control</v>
      </c>
      <c r="E766" s="9"/>
      <c r="F766" s="9"/>
      <c r="G766" s="204">
        <f>Input!J11</f>
        <v>5.9976894044068878</v>
      </c>
      <c r="H766" s="334">
        <f t="shared" si="66"/>
        <v>1.6653345369377348E-15</v>
      </c>
      <c r="I766" s="115">
        <f t="shared" si="65"/>
        <v>1.3307440827500225</v>
      </c>
      <c r="J766" s="115">
        <f t="shared" si="65"/>
        <v>7.3256044531991531</v>
      </c>
      <c r="K766" s="115">
        <f t="shared" si="65"/>
        <v>7.9328362090936526</v>
      </c>
      <c r="L766" s="115">
        <f t="shared" si="65"/>
        <v>6.8785496287485728</v>
      </c>
      <c r="M766" s="115">
        <f t="shared" si="65"/>
        <v>7.8869050481230296</v>
      </c>
      <c r="N766" s="115">
        <f>IF(COUNT($H766:M766)&gt;Input!$Y$7,0, M766+M798+M830)</f>
        <v>0</v>
      </c>
      <c r="O766" s="115">
        <f>IF(COUNT($H766:N766)&gt;Input!$Y$7,0, N766+N798+N830)</f>
        <v>0</v>
      </c>
      <c r="P766" s="115">
        <f>IF(COUNT($H766:O766)&gt;Input!$Y$7,0, O766+O798+O830)</f>
        <v>0</v>
      </c>
      <c r="Q766" s="115">
        <f>IF(COUNT($H766:P766)&gt;Input!$Y$7,0, P766+P798+P830)</f>
        <v>0</v>
      </c>
      <c r="R766" s="115">
        <f>IF(COUNT($H766:Q766)&gt;Input!$Y$7,0, Q766+Q798+Q830)</f>
        <v>0</v>
      </c>
      <c r="S766" s="104"/>
      <c r="T766" s="104"/>
      <c r="U766" s="104"/>
      <c r="V766" s="104"/>
      <c r="W766" s="104"/>
      <c r="X766" s="104"/>
      <c r="Y766" s="104"/>
      <c r="Z766" s="104"/>
      <c r="AA766" s="231"/>
      <c r="AB766" s="231"/>
      <c r="AC766" s="231"/>
      <c r="AD766" s="231"/>
      <c r="AE766" s="231"/>
      <c r="AF766" s="231"/>
      <c r="AG766" s="231"/>
      <c r="AH766" s="231"/>
      <c r="AI766" s="231"/>
      <c r="AJ766" s="231"/>
      <c r="AK766" s="231"/>
      <c r="AL766" s="231"/>
      <c r="AM766" s="231"/>
      <c r="AN766" s="231"/>
      <c r="AO766" s="231"/>
      <c r="AP766" s="231"/>
      <c r="AQ766" s="231"/>
      <c r="AR766" s="231"/>
      <c r="AS766" s="231"/>
      <c r="AT766" s="231"/>
      <c r="AU766" s="231"/>
      <c r="AV766" s="231"/>
      <c r="AW766" s="231"/>
      <c r="AX766" s="231"/>
      <c r="AY766" s="231"/>
      <c r="AZ766" s="231"/>
      <c r="BA766" s="231"/>
      <c r="BB766" s="231"/>
      <c r="BC766" s="231"/>
      <c r="BD766" s="104"/>
      <c r="BE766" s="104"/>
      <c r="BF766" s="104"/>
      <c r="BG766" s="104"/>
      <c r="BH766" s="104"/>
      <c r="BI766" s="104"/>
      <c r="BJ766" s="104"/>
      <c r="BK766" s="12"/>
      <c r="BL766" s="12"/>
    </row>
    <row r="767" spans="1:64" hidden="1" outlineLevel="1">
      <c r="A767" s="9"/>
      <c r="B767" s="9"/>
      <c r="C767" s="44"/>
      <c r="D767" s="271" t="str">
        <f>Asset6</f>
        <v>Non-network general assets - IT</v>
      </c>
      <c r="E767" s="9"/>
      <c r="F767" s="9"/>
      <c r="G767" s="204">
        <f>Input!J12</f>
        <v>47.805445601604404</v>
      </c>
      <c r="H767" s="334">
        <f t="shared" si="66"/>
        <v>89.319417816228679</v>
      </c>
      <c r="I767" s="115">
        <f t="shared" si="65"/>
        <v>114.15739811789442</v>
      </c>
      <c r="J767" s="115">
        <f t="shared" si="65"/>
        <v>128.48028010642349</v>
      </c>
      <c r="K767" s="115">
        <f t="shared" si="65"/>
        <v>135.38391359049615</v>
      </c>
      <c r="L767" s="115">
        <f t="shared" si="65"/>
        <v>128.44507791683236</v>
      </c>
      <c r="M767" s="115">
        <f t="shared" si="65"/>
        <v>112.75206846112252</v>
      </c>
      <c r="N767" s="115">
        <f>IF(COUNT($H767:M767)&gt;Input!$Y$7,0, M767+M799+M831)</f>
        <v>0</v>
      </c>
      <c r="O767" s="115">
        <f>IF(COUNT($H767:N767)&gt;Input!$Y$7,0, N767+N799+N831)</f>
        <v>0</v>
      </c>
      <c r="P767" s="115">
        <f>IF(COUNT($H767:O767)&gt;Input!$Y$7,0, O767+O799+O831)</f>
        <v>0</v>
      </c>
      <c r="Q767" s="115">
        <f>IF(COUNT($H767:P767)&gt;Input!$Y$7,0, P767+P799+P831)</f>
        <v>0</v>
      </c>
      <c r="R767" s="115">
        <f>IF(COUNT($H767:Q767)&gt;Input!$Y$7,0, Q767+Q799+Q831)</f>
        <v>0</v>
      </c>
      <c r="S767" s="104"/>
      <c r="T767" s="104"/>
      <c r="U767" s="104"/>
      <c r="V767" s="104"/>
      <c r="W767" s="104"/>
      <c r="X767" s="104"/>
      <c r="Y767" s="104"/>
      <c r="Z767" s="104"/>
      <c r="AA767" s="231"/>
      <c r="AB767" s="231"/>
      <c r="AC767" s="231"/>
      <c r="AD767" s="231"/>
      <c r="AE767" s="231"/>
      <c r="AF767" s="231"/>
      <c r="AG767" s="231"/>
      <c r="AH767" s="231"/>
      <c r="AI767" s="231"/>
      <c r="AJ767" s="231"/>
      <c r="AK767" s="231"/>
      <c r="AL767" s="231"/>
      <c r="AM767" s="231"/>
      <c r="AN767" s="231"/>
      <c r="AO767" s="231"/>
      <c r="AP767" s="231"/>
      <c r="AQ767" s="231"/>
      <c r="AR767" s="231"/>
      <c r="AS767" s="231"/>
      <c r="AT767" s="231"/>
      <c r="AU767" s="231"/>
      <c r="AV767" s="231"/>
      <c r="AW767" s="231"/>
      <c r="AX767" s="231"/>
      <c r="AY767" s="231"/>
      <c r="AZ767" s="231"/>
      <c r="BA767" s="231"/>
      <c r="BB767" s="231"/>
      <c r="BC767" s="231"/>
      <c r="BD767" s="104"/>
      <c r="BE767" s="104"/>
      <c r="BF767" s="104"/>
      <c r="BG767" s="104"/>
      <c r="BH767" s="104"/>
      <c r="BI767" s="104"/>
      <c r="BJ767" s="104"/>
      <c r="BK767" s="12"/>
      <c r="BL767" s="12"/>
    </row>
    <row r="768" spans="1:64" hidden="1" outlineLevel="1">
      <c r="A768" s="9"/>
      <c r="B768" s="9"/>
      <c r="C768" s="44"/>
      <c r="D768" s="271" t="str">
        <f>Asset7</f>
        <v>Non-network general assets - Other</v>
      </c>
      <c r="E768" s="9"/>
      <c r="F768" s="9"/>
      <c r="G768" s="204">
        <f>Input!J13</f>
        <v>23.676070284710153</v>
      </c>
      <c r="H768" s="334">
        <f t="shared" si="66"/>
        <v>34.275644401485252</v>
      </c>
      <c r="I768" s="115">
        <f t="shared" si="65"/>
        <v>5.1531960739867984</v>
      </c>
      <c r="J768" s="115">
        <f t="shared" si="65"/>
        <v>8.1542335939644737</v>
      </c>
      <c r="K768" s="115">
        <f t="shared" si="65"/>
        <v>12.17382864237941</v>
      </c>
      <c r="L768" s="115">
        <f t="shared" si="65"/>
        <v>13.956729909764542</v>
      </c>
      <c r="M768" s="115">
        <f t="shared" si="65"/>
        <v>12.695230467373385</v>
      </c>
      <c r="N768" s="115">
        <f>IF(COUNT($H768:M768)&gt;Input!$Y$7,0, M768+M800+M832)</f>
        <v>0</v>
      </c>
      <c r="O768" s="115">
        <f>IF(COUNT($H768:N768)&gt;Input!$Y$7,0, N768+N800+N832)</f>
        <v>0</v>
      </c>
      <c r="P768" s="115">
        <f>IF(COUNT($H768:O768)&gt;Input!$Y$7,0, O768+O800+O832)</f>
        <v>0</v>
      </c>
      <c r="Q768" s="115">
        <f>IF(COUNT($H768:P768)&gt;Input!$Y$7,0, P768+P800+P832)</f>
        <v>0</v>
      </c>
      <c r="R768" s="115">
        <f>IF(COUNT($H768:Q768)&gt;Input!$Y$7,0, Q768+Q800+Q832)</f>
        <v>0</v>
      </c>
      <c r="S768" s="104"/>
      <c r="T768" s="104"/>
      <c r="U768" s="104"/>
      <c r="V768" s="104"/>
      <c r="W768" s="104"/>
      <c r="X768" s="104"/>
      <c r="Y768" s="104"/>
      <c r="Z768" s="104"/>
      <c r="AA768" s="231"/>
      <c r="AB768" s="231"/>
      <c r="AC768" s="231"/>
      <c r="AD768" s="231"/>
      <c r="AE768" s="231"/>
      <c r="AF768" s="231"/>
      <c r="AG768" s="231"/>
      <c r="AH768" s="231"/>
      <c r="AI768" s="231"/>
      <c r="AJ768" s="231"/>
      <c r="AK768" s="231"/>
      <c r="AL768" s="231"/>
      <c r="AM768" s="231"/>
      <c r="AN768" s="231"/>
      <c r="AO768" s="231"/>
      <c r="AP768" s="231"/>
      <c r="AQ768" s="231"/>
      <c r="AR768" s="231"/>
      <c r="AS768" s="231"/>
      <c r="AT768" s="231"/>
      <c r="AU768" s="231"/>
      <c r="AV768" s="231"/>
      <c r="AW768" s="231"/>
      <c r="AX768" s="231"/>
      <c r="AY768" s="231"/>
      <c r="AZ768" s="231"/>
      <c r="BA768" s="231"/>
      <c r="BB768" s="231"/>
      <c r="BC768" s="231"/>
      <c r="BD768" s="104"/>
      <c r="BE768" s="104"/>
      <c r="BF768" s="104"/>
      <c r="BG768" s="104"/>
      <c r="BH768" s="104"/>
      <c r="BI768" s="104"/>
      <c r="BJ768" s="104"/>
      <c r="BK768" s="12"/>
      <c r="BL768" s="12"/>
    </row>
    <row r="769" spans="1:64" hidden="1" outlineLevel="1">
      <c r="A769" s="9"/>
      <c r="B769" s="9"/>
      <c r="C769" s="44"/>
      <c r="D769" s="271" t="str">
        <f>Asset8</f>
        <v>Equity Raising Costs</v>
      </c>
      <c r="E769" s="9"/>
      <c r="F769" s="9"/>
      <c r="G769" s="204">
        <f>Input!J14</f>
        <v>0</v>
      </c>
      <c r="H769" s="334">
        <f t="shared" si="66"/>
        <v>0</v>
      </c>
      <c r="I769" s="115">
        <f t="shared" si="65"/>
        <v>1.5553441667922454</v>
      </c>
      <c r="J769" s="115">
        <f t="shared" si="65"/>
        <v>1.5754463655724007</v>
      </c>
      <c r="K769" s="115">
        <f t="shared" si="65"/>
        <v>1.5716796789597247</v>
      </c>
      <c r="L769" s="115">
        <f t="shared" si="65"/>
        <v>1.5695427875524555</v>
      </c>
      <c r="M769" s="115">
        <f t="shared" si="65"/>
        <v>1.5688274079042255</v>
      </c>
      <c r="N769" s="115">
        <f>IF(COUNT($H769:M769)&gt;Input!$Y$7,0, M769+M801+M833)</f>
        <v>0</v>
      </c>
      <c r="O769" s="115">
        <f>IF(COUNT($H769:N769)&gt;Input!$Y$7,0, N769+N801+N833)</f>
        <v>0</v>
      </c>
      <c r="P769" s="115">
        <f>IF(COUNT($H769:O769)&gt;Input!$Y$7,0, O769+O801+O833)</f>
        <v>0</v>
      </c>
      <c r="Q769" s="115">
        <f>IF(COUNT($H769:P769)&gt;Input!$Y$7,0, P769+P801+P833)</f>
        <v>0</v>
      </c>
      <c r="R769" s="115">
        <f>IF(COUNT($H769:Q769)&gt;Input!$Y$7,0, Q769+Q801+Q833)</f>
        <v>0</v>
      </c>
      <c r="S769" s="104"/>
      <c r="T769" s="104"/>
      <c r="U769" s="104"/>
      <c r="V769" s="104"/>
      <c r="W769" s="104"/>
      <c r="X769" s="104"/>
      <c r="Y769" s="104"/>
      <c r="Z769" s="104"/>
      <c r="AA769" s="231"/>
      <c r="AB769" s="231"/>
      <c r="AC769" s="231"/>
      <c r="AD769" s="231"/>
      <c r="AE769" s="231"/>
      <c r="AF769" s="231"/>
      <c r="AG769" s="231"/>
      <c r="AH769" s="231"/>
      <c r="AI769" s="231"/>
      <c r="AJ769" s="231"/>
      <c r="AK769" s="231"/>
      <c r="AL769" s="231"/>
      <c r="AM769" s="231"/>
      <c r="AN769" s="231"/>
      <c r="AO769" s="231"/>
      <c r="AP769" s="231"/>
      <c r="AQ769" s="231"/>
      <c r="AR769" s="231"/>
      <c r="AS769" s="231"/>
      <c r="AT769" s="231"/>
      <c r="AU769" s="231"/>
      <c r="AV769" s="231"/>
      <c r="AW769" s="231"/>
      <c r="AX769" s="231"/>
      <c r="AY769" s="231"/>
      <c r="AZ769" s="231"/>
      <c r="BA769" s="231"/>
      <c r="BB769" s="231"/>
      <c r="BC769" s="231"/>
      <c r="BD769" s="104"/>
      <c r="BE769" s="104"/>
      <c r="BF769" s="104"/>
      <c r="BG769" s="104"/>
      <c r="BH769" s="104"/>
      <c r="BI769" s="104"/>
      <c r="BJ769" s="104"/>
      <c r="BK769" s="12"/>
      <c r="BL769" s="12"/>
    </row>
    <row r="770" spans="1:64" hidden="1" outlineLevel="1">
      <c r="A770" s="9"/>
      <c r="B770" s="9"/>
      <c r="C770" s="44"/>
      <c r="D770" s="271">
        <f>Asset9</f>
        <v>0</v>
      </c>
      <c r="E770" s="9"/>
      <c r="F770" s="9"/>
      <c r="G770" s="204">
        <f>Input!J15</f>
        <v>0</v>
      </c>
      <c r="H770" s="334">
        <f t="shared" si="66"/>
        <v>0</v>
      </c>
      <c r="I770" s="115">
        <f t="shared" si="65"/>
        <v>0</v>
      </c>
      <c r="J770" s="115">
        <f t="shared" si="65"/>
        <v>0</v>
      </c>
      <c r="K770" s="115">
        <f t="shared" si="65"/>
        <v>0</v>
      </c>
      <c r="L770" s="115">
        <f t="shared" si="65"/>
        <v>0</v>
      </c>
      <c r="M770" s="115">
        <f t="shared" si="65"/>
        <v>0</v>
      </c>
      <c r="N770" s="115">
        <f>IF(COUNT($H770:M770)&gt;Input!$Y$7,0, M770+M802+M834)</f>
        <v>0</v>
      </c>
      <c r="O770" s="115">
        <f>IF(COUNT($H770:N770)&gt;Input!$Y$7,0, N770+N802+N834)</f>
        <v>0</v>
      </c>
      <c r="P770" s="115">
        <f>IF(COUNT($H770:O770)&gt;Input!$Y$7,0, O770+O802+O834)</f>
        <v>0</v>
      </c>
      <c r="Q770" s="115">
        <f>IF(COUNT($H770:P770)&gt;Input!$Y$7,0, P770+P802+P834)</f>
        <v>0</v>
      </c>
      <c r="R770" s="115">
        <f>IF(COUNT($H770:Q770)&gt;Input!$Y$7,0, Q770+Q802+Q834)</f>
        <v>0</v>
      </c>
      <c r="S770" s="104"/>
      <c r="T770" s="104"/>
      <c r="U770" s="104"/>
      <c r="V770" s="104"/>
      <c r="W770" s="104"/>
      <c r="X770" s="104"/>
      <c r="Y770" s="104"/>
      <c r="Z770" s="104"/>
      <c r="AA770" s="231"/>
      <c r="AB770" s="231"/>
      <c r="AC770" s="231"/>
      <c r="AD770" s="231"/>
      <c r="AE770" s="231"/>
      <c r="AF770" s="231"/>
      <c r="AG770" s="231"/>
      <c r="AH770" s="231"/>
      <c r="AI770" s="231"/>
      <c r="AJ770" s="231"/>
      <c r="AK770" s="231"/>
      <c r="AL770" s="231"/>
      <c r="AM770" s="231"/>
      <c r="AN770" s="231"/>
      <c r="AO770" s="231"/>
      <c r="AP770" s="231"/>
      <c r="AQ770" s="231"/>
      <c r="AR770" s="231"/>
      <c r="AS770" s="231"/>
      <c r="AT770" s="231"/>
      <c r="AU770" s="231"/>
      <c r="AV770" s="231"/>
      <c r="AW770" s="231"/>
      <c r="AX770" s="231"/>
      <c r="AY770" s="231"/>
      <c r="AZ770" s="231"/>
      <c r="BA770" s="231"/>
      <c r="BB770" s="231"/>
      <c r="BC770" s="231"/>
      <c r="BD770" s="104"/>
      <c r="BE770" s="104"/>
      <c r="BF770" s="104"/>
      <c r="BG770" s="104"/>
      <c r="BH770" s="104"/>
      <c r="BI770" s="104"/>
      <c r="BJ770" s="104"/>
      <c r="BK770" s="12"/>
      <c r="BL770" s="12"/>
    </row>
    <row r="771" spans="1:64" hidden="1" outlineLevel="1">
      <c r="A771" s="9"/>
      <c r="B771" s="9"/>
      <c r="C771" s="44"/>
      <c r="D771" s="271">
        <f>Asset10</f>
        <v>0</v>
      </c>
      <c r="E771" s="9"/>
      <c r="F771" s="9"/>
      <c r="G771" s="204">
        <f>Input!J16</f>
        <v>0</v>
      </c>
      <c r="H771" s="334">
        <f t="shared" si="66"/>
        <v>0</v>
      </c>
      <c r="I771" s="115">
        <f t="shared" si="65"/>
        <v>0</v>
      </c>
      <c r="J771" s="115">
        <f t="shared" si="65"/>
        <v>0</v>
      </c>
      <c r="K771" s="115">
        <f t="shared" si="65"/>
        <v>0</v>
      </c>
      <c r="L771" s="115">
        <f t="shared" si="65"/>
        <v>0</v>
      </c>
      <c r="M771" s="115">
        <f t="shared" si="65"/>
        <v>0</v>
      </c>
      <c r="N771" s="115">
        <f>IF(COUNT($H771:M771)&gt;Input!$Y$7,0, M771+M803+M835)</f>
        <v>0</v>
      </c>
      <c r="O771" s="115">
        <f>IF(COUNT($H771:N771)&gt;Input!$Y$7,0, N771+N803+N835)</f>
        <v>0</v>
      </c>
      <c r="P771" s="115">
        <f>IF(COUNT($H771:O771)&gt;Input!$Y$7,0, O771+O803+O835)</f>
        <v>0</v>
      </c>
      <c r="Q771" s="115">
        <f>IF(COUNT($H771:P771)&gt;Input!$Y$7,0, P771+P803+P835)</f>
        <v>0</v>
      </c>
      <c r="R771" s="115">
        <f>IF(COUNT($H771:Q771)&gt;Input!$Y$7,0, Q771+Q803+Q835)</f>
        <v>0</v>
      </c>
      <c r="S771" s="104"/>
      <c r="T771" s="104"/>
      <c r="U771" s="104"/>
      <c r="V771" s="104"/>
      <c r="W771" s="104"/>
      <c r="X771" s="104"/>
      <c r="Y771" s="104"/>
      <c r="Z771" s="104"/>
      <c r="AA771" s="231"/>
      <c r="AB771" s="231"/>
      <c r="AC771" s="231"/>
      <c r="AD771" s="231"/>
      <c r="AE771" s="231"/>
      <c r="AF771" s="231"/>
      <c r="AG771" s="231"/>
      <c r="AH771" s="231"/>
      <c r="AI771" s="231"/>
      <c r="AJ771" s="231"/>
      <c r="AK771" s="231"/>
      <c r="AL771" s="231"/>
      <c r="AM771" s="231"/>
      <c r="AN771" s="231"/>
      <c r="AO771" s="231"/>
      <c r="AP771" s="231"/>
      <c r="AQ771" s="231"/>
      <c r="AR771" s="231"/>
      <c r="AS771" s="231"/>
      <c r="AT771" s="231"/>
      <c r="AU771" s="231"/>
      <c r="AV771" s="231"/>
      <c r="AW771" s="231"/>
      <c r="AX771" s="231"/>
      <c r="AY771" s="231"/>
      <c r="AZ771" s="231"/>
      <c r="BA771" s="231"/>
      <c r="BB771" s="231"/>
      <c r="BC771" s="231"/>
      <c r="BD771" s="104"/>
      <c r="BE771" s="104"/>
      <c r="BF771" s="104"/>
      <c r="BG771" s="104"/>
      <c r="BH771" s="104"/>
      <c r="BI771" s="104"/>
      <c r="BJ771" s="104"/>
      <c r="BK771" s="12"/>
      <c r="BL771" s="12"/>
    </row>
    <row r="772" spans="1:64" hidden="1" outlineLevel="1">
      <c r="A772" s="9"/>
      <c r="B772" s="9"/>
      <c r="C772" s="44"/>
      <c r="D772" s="271">
        <f>Asset11</f>
        <v>0</v>
      </c>
      <c r="E772" s="9"/>
      <c r="F772" s="9"/>
      <c r="G772" s="204">
        <f>Input!J17</f>
        <v>0</v>
      </c>
      <c r="H772" s="334">
        <f t="shared" si="66"/>
        <v>0</v>
      </c>
      <c r="I772" s="115">
        <f t="shared" ref="I772:M781" si="67">H772+H804+H836</f>
        <v>0</v>
      </c>
      <c r="J772" s="115">
        <f t="shared" si="67"/>
        <v>0</v>
      </c>
      <c r="K772" s="115">
        <f t="shared" si="67"/>
        <v>0</v>
      </c>
      <c r="L772" s="115">
        <f t="shared" si="67"/>
        <v>0</v>
      </c>
      <c r="M772" s="115">
        <f t="shared" si="67"/>
        <v>0</v>
      </c>
      <c r="N772" s="115">
        <f>IF(COUNT($H772:M772)&gt;Input!$Y$7,0, M772+M804+M836)</f>
        <v>0</v>
      </c>
      <c r="O772" s="115">
        <f>IF(COUNT($H772:N772)&gt;Input!$Y$7,0, N772+N804+N836)</f>
        <v>0</v>
      </c>
      <c r="P772" s="115">
        <f>IF(COUNT($H772:O772)&gt;Input!$Y$7,0, O772+O804+O836)</f>
        <v>0</v>
      </c>
      <c r="Q772" s="115">
        <f>IF(COUNT($H772:P772)&gt;Input!$Y$7,0, P772+P804+P836)</f>
        <v>0</v>
      </c>
      <c r="R772" s="115">
        <f>IF(COUNT($H772:Q772)&gt;Input!$Y$7,0, Q772+Q804+Q836)</f>
        <v>0</v>
      </c>
      <c r="S772" s="104"/>
      <c r="T772" s="104"/>
      <c r="U772" s="104"/>
      <c r="V772" s="104"/>
      <c r="W772" s="104"/>
      <c r="X772" s="104"/>
      <c r="Y772" s="104"/>
      <c r="Z772" s="104"/>
      <c r="AA772" s="231"/>
      <c r="AB772" s="231"/>
      <c r="AC772" s="231"/>
      <c r="AD772" s="231"/>
      <c r="AE772" s="231"/>
      <c r="AF772" s="231"/>
      <c r="AG772" s="231"/>
      <c r="AH772" s="231"/>
      <c r="AI772" s="231"/>
      <c r="AJ772" s="231"/>
      <c r="AK772" s="231"/>
      <c r="AL772" s="231"/>
      <c r="AM772" s="231"/>
      <c r="AN772" s="231"/>
      <c r="AO772" s="231"/>
      <c r="AP772" s="231"/>
      <c r="AQ772" s="231"/>
      <c r="AR772" s="231"/>
      <c r="AS772" s="231"/>
      <c r="AT772" s="231"/>
      <c r="AU772" s="231"/>
      <c r="AV772" s="231"/>
      <c r="AW772" s="231"/>
      <c r="AX772" s="231"/>
      <c r="AY772" s="231"/>
      <c r="AZ772" s="231"/>
      <c r="BA772" s="231"/>
      <c r="BB772" s="231"/>
      <c r="BC772" s="231"/>
      <c r="BD772" s="104"/>
      <c r="BE772" s="104"/>
      <c r="BF772" s="104"/>
      <c r="BG772" s="104"/>
      <c r="BH772" s="104"/>
      <c r="BI772" s="104"/>
      <c r="BJ772" s="104"/>
      <c r="BK772" s="12"/>
      <c r="BL772" s="12"/>
    </row>
    <row r="773" spans="1:64" hidden="1" outlineLevel="1">
      <c r="A773" s="9"/>
      <c r="B773" s="9"/>
      <c r="C773" s="44"/>
      <c r="D773" s="271">
        <f>Asset12</f>
        <v>0</v>
      </c>
      <c r="E773" s="9"/>
      <c r="F773" s="9"/>
      <c r="G773" s="204">
        <f>Input!J18</f>
        <v>0</v>
      </c>
      <c r="H773" s="334">
        <f t="shared" si="66"/>
        <v>0</v>
      </c>
      <c r="I773" s="115">
        <f t="shared" si="67"/>
        <v>0</v>
      </c>
      <c r="J773" s="115">
        <f t="shared" si="67"/>
        <v>0</v>
      </c>
      <c r="K773" s="115">
        <f t="shared" si="67"/>
        <v>0</v>
      </c>
      <c r="L773" s="115">
        <f t="shared" si="67"/>
        <v>0</v>
      </c>
      <c r="M773" s="115">
        <f t="shared" si="67"/>
        <v>0</v>
      </c>
      <c r="N773" s="115">
        <f>IF(COUNT($H773:M773)&gt;Input!$Y$7,0, M773+M805+M837)</f>
        <v>0</v>
      </c>
      <c r="O773" s="115">
        <f>IF(COUNT($H773:N773)&gt;Input!$Y$7,0, N773+N805+N837)</f>
        <v>0</v>
      </c>
      <c r="P773" s="115">
        <f>IF(COUNT($H773:O773)&gt;Input!$Y$7,0, O773+O805+O837)</f>
        <v>0</v>
      </c>
      <c r="Q773" s="115">
        <f>IF(COUNT($H773:P773)&gt;Input!$Y$7,0, P773+P805+P837)</f>
        <v>0</v>
      </c>
      <c r="R773" s="115">
        <f>IF(COUNT($H773:Q773)&gt;Input!$Y$7,0, Q773+Q805+Q837)</f>
        <v>0</v>
      </c>
      <c r="S773" s="104"/>
      <c r="T773" s="104"/>
      <c r="U773" s="104"/>
      <c r="V773" s="104"/>
      <c r="W773" s="104"/>
      <c r="X773" s="104"/>
      <c r="Y773" s="104"/>
      <c r="Z773" s="104"/>
      <c r="AA773" s="231"/>
      <c r="AB773" s="231"/>
      <c r="AC773" s="231"/>
      <c r="AD773" s="231"/>
      <c r="AE773" s="231"/>
      <c r="AF773" s="231"/>
      <c r="AG773" s="231"/>
      <c r="AH773" s="231"/>
      <c r="AI773" s="231"/>
      <c r="AJ773" s="231"/>
      <c r="AK773" s="231"/>
      <c r="AL773" s="231"/>
      <c r="AM773" s="231"/>
      <c r="AN773" s="231"/>
      <c r="AO773" s="231"/>
      <c r="AP773" s="231"/>
      <c r="AQ773" s="231"/>
      <c r="AR773" s="231"/>
      <c r="AS773" s="231"/>
      <c r="AT773" s="231"/>
      <c r="AU773" s="231"/>
      <c r="AV773" s="231"/>
      <c r="AW773" s="231"/>
      <c r="AX773" s="231"/>
      <c r="AY773" s="231"/>
      <c r="AZ773" s="231"/>
      <c r="BA773" s="231"/>
      <c r="BB773" s="231"/>
      <c r="BC773" s="231"/>
      <c r="BD773" s="104"/>
      <c r="BE773" s="104"/>
      <c r="BF773" s="104"/>
      <c r="BG773" s="104"/>
      <c r="BH773" s="104"/>
      <c r="BI773" s="104"/>
      <c r="BJ773" s="104"/>
      <c r="BK773" s="12"/>
      <c r="BL773" s="12"/>
    </row>
    <row r="774" spans="1:64" hidden="1" outlineLevel="1">
      <c r="A774" s="9"/>
      <c r="B774" s="9"/>
      <c r="C774" s="44"/>
      <c r="D774" s="271">
        <f>Asset13</f>
        <v>0</v>
      </c>
      <c r="E774" s="9"/>
      <c r="F774" s="9"/>
      <c r="G774" s="204">
        <f>Input!J19</f>
        <v>0</v>
      </c>
      <c r="H774" s="334">
        <f t="shared" si="66"/>
        <v>0</v>
      </c>
      <c r="I774" s="115">
        <f t="shared" si="67"/>
        <v>0</v>
      </c>
      <c r="J774" s="115">
        <f t="shared" si="67"/>
        <v>0</v>
      </c>
      <c r="K774" s="115">
        <f t="shared" si="67"/>
        <v>0</v>
      </c>
      <c r="L774" s="115">
        <f t="shared" si="67"/>
        <v>0</v>
      </c>
      <c r="M774" s="115">
        <f t="shared" si="67"/>
        <v>0</v>
      </c>
      <c r="N774" s="115">
        <f>IF(COUNT($H774:M774)&gt;Input!$Y$7,0, M774+M806+M838)</f>
        <v>0</v>
      </c>
      <c r="O774" s="115">
        <f>IF(COUNT($H774:N774)&gt;Input!$Y$7,0, N774+N806+N838)</f>
        <v>0</v>
      </c>
      <c r="P774" s="115">
        <f>IF(COUNT($H774:O774)&gt;Input!$Y$7,0, O774+O806+O838)</f>
        <v>0</v>
      </c>
      <c r="Q774" s="115">
        <f>IF(COUNT($H774:P774)&gt;Input!$Y$7,0, P774+P806+P838)</f>
        <v>0</v>
      </c>
      <c r="R774" s="115">
        <f>IF(COUNT($H774:Q774)&gt;Input!$Y$7,0, Q774+Q806+Q838)</f>
        <v>0</v>
      </c>
      <c r="S774" s="104"/>
      <c r="T774" s="104"/>
      <c r="U774" s="104"/>
      <c r="V774" s="104"/>
      <c r="W774" s="104"/>
      <c r="X774" s="104"/>
      <c r="Y774" s="104"/>
      <c r="Z774" s="104"/>
      <c r="AA774" s="231"/>
      <c r="AB774" s="231"/>
      <c r="AC774" s="231"/>
      <c r="AD774" s="231"/>
      <c r="AE774" s="231"/>
      <c r="AF774" s="231"/>
      <c r="AG774" s="231"/>
      <c r="AH774" s="231"/>
      <c r="AI774" s="231"/>
      <c r="AJ774" s="231"/>
      <c r="AK774" s="231"/>
      <c r="AL774" s="231"/>
      <c r="AM774" s="231"/>
      <c r="AN774" s="231"/>
      <c r="AO774" s="231"/>
      <c r="AP774" s="231"/>
      <c r="AQ774" s="231"/>
      <c r="AR774" s="231"/>
      <c r="AS774" s="231"/>
      <c r="AT774" s="231"/>
      <c r="AU774" s="231"/>
      <c r="AV774" s="231"/>
      <c r="AW774" s="231"/>
      <c r="AX774" s="231"/>
      <c r="AY774" s="231"/>
      <c r="AZ774" s="231"/>
      <c r="BA774" s="231"/>
      <c r="BB774" s="231"/>
      <c r="BC774" s="231"/>
      <c r="BD774" s="104"/>
      <c r="BE774" s="104"/>
      <c r="BF774" s="104"/>
      <c r="BG774" s="104"/>
      <c r="BH774" s="104"/>
      <c r="BI774" s="104"/>
      <c r="BJ774" s="104"/>
      <c r="BK774" s="12"/>
      <c r="BL774" s="12"/>
    </row>
    <row r="775" spans="1:64" hidden="1" outlineLevel="1">
      <c r="A775" s="9"/>
      <c r="B775" s="9"/>
      <c r="C775" s="44"/>
      <c r="D775" s="271">
        <f>Asset14</f>
        <v>0</v>
      </c>
      <c r="E775" s="9"/>
      <c r="F775" s="9"/>
      <c r="G775" s="204">
        <f>Input!J20</f>
        <v>0</v>
      </c>
      <c r="H775" s="334">
        <f t="shared" si="66"/>
        <v>0</v>
      </c>
      <c r="I775" s="115">
        <f t="shared" si="67"/>
        <v>0</v>
      </c>
      <c r="J775" s="115">
        <f t="shared" si="67"/>
        <v>0</v>
      </c>
      <c r="K775" s="115">
        <f t="shared" si="67"/>
        <v>0</v>
      </c>
      <c r="L775" s="115">
        <f t="shared" si="67"/>
        <v>0</v>
      </c>
      <c r="M775" s="115">
        <f t="shared" si="67"/>
        <v>0</v>
      </c>
      <c r="N775" s="115">
        <f>IF(COUNT($H775:M775)&gt;Input!$Y$7,0, M775+M807+M839)</f>
        <v>0</v>
      </c>
      <c r="O775" s="115">
        <f>IF(COUNT($H775:N775)&gt;Input!$Y$7,0, N775+N807+N839)</f>
        <v>0</v>
      </c>
      <c r="P775" s="115">
        <f>IF(COUNT($H775:O775)&gt;Input!$Y$7,0, O775+O807+O839)</f>
        <v>0</v>
      </c>
      <c r="Q775" s="115">
        <f>IF(COUNT($H775:P775)&gt;Input!$Y$7,0, P775+P807+P839)</f>
        <v>0</v>
      </c>
      <c r="R775" s="115">
        <f>IF(COUNT($H775:Q775)&gt;Input!$Y$7,0, Q775+Q807+Q839)</f>
        <v>0</v>
      </c>
      <c r="S775" s="104"/>
      <c r="T775" s="104"/>
      <c r="U775" s="104"/>
      <c r="V775" s="104"/>
      <c r="W775" s="104"/>
      <c r="X775" s="104"/>
      <c r="Y775" s="104"/>
      <c r="Z775" s="104"/>
      <c r="AA775" s="231"/>
      <c r="AB775" s="231"/>
      <c r="AC775" s="231"/>
      <c r="AD775" s="231"/>
      <c r="AE775" s="231"/>
      <c r="AF775" s="231"/>
      <c r="AG775" s="231"/>
      <c r="AH775" s="231"/>
      <c r="AI775" s="231"/>
      <c r="AJ775" s="231"/>
      <c r="AK775" s="231"/>
      <c r="AL775" s="231"/>
      <c r="AM775" s="231"/>
      <c r="AN775" s="231"/>
      <c r="AO775" s="231"/>
      <c r="AP775" s="231"/>
      <c r="AQ775" s="231"/>
      <c r="AR775" s="231"/>
      <c r="AS775" s="231"/>
      <c r="AT775" s="231"/>
      <c r="AU775" s="231"/>
      <c r="AV775" s="231"/>
      <c r="AW775" s="231"/>
      <c r="AX775" s="231"/>
      <c r="AY775" s="231"/>
      <c r="AZ775" s="231"/>
      <c r="BA775" s="231"/>
      <c r="BB775" s="231"/>
      <c r="BC775" s="231"/>
      <c r="BD775" s="104"/>
      <c r="BE775" s="104"/>
      <c r="BF775" s="104"/>
      <c r="BG775" s="104"/>
      <c r="BH775" s="104"/>
      <c r="BI775" s="104"/>
      <c r="BJ775" s="104"/>
      <c r="BK775" s="12"/>
      <c r="BL775" s="12"/>
    </row>
    <row r="776" spans="1:64" hidden="1" outlineLevel="1">
      <c r="A776" s="9"/>
      <c r="B776" s="9"/>
      <c r="C776" s="44"/>
      <c r="D776" s="271">
        <f>Asset15</f>
        <v>0</v>
      </c>
      <c r="E776" s="9"/>
      <c r="F776" s="9"/>
      <c r="G776" s="204">
        <f>Input!J21</f>
        <v>0</v>
      </c>
      <c r="H776" s="334">
        <f t="shared" si="66"/>
        <v>0</v>
      </c>
      <c r="I776" s="115">
        <f t="shared" si="67"/>
        <v>0</v>
      </c>
      <c r="J776" s="115">
        <f t="shared" si="67"/>
        <v>0</v>
      </c>
      <c r="K776" s="115">
        <f t="shared" si="67"/>
        <v>0</v>
      </c>
      <c r="L776" s="115">
        <f t="shared" si="67"/>
        <v>0</v>
      </c>
      <c r="M776" s="115">
        <f t="shared" si="67"/>
        <v>0</v>
      </c>
      <c r="N776" s="115">
        <f>IF(COUNT($H776:M776)&gt;Input!$Y$7,0, M776+M808+M840)</f>
        <v>0</v>
      </c>
      <c r="O776" s="115">
        <f>IF(COUNT($H776:N776)&gt;Input!$Y$7,0, N776+N808+N840)</f>
        <v>0</v>
      </c>
      <c r="P776" s="115">
        <f>IF(COUNT($H776:O776)&gt;Input!$Y$7,0, O776+O808+O840)</f>
        <v>0</v>
      </c>
      <c r="Q776" s="115">
        <f>IF(COUNT($H776:P776)&gt;Input!$Y$7,0, P776+P808+P840)</f>
        <v>0</v>
      </c>
      <c r="R776" s="115">
        <f>IF(COUNT($H776:Q776)&gt;Input!$Y$7,0, Q776+Q808+Q840)</f>
        <v>0</v>
      </c>
      <c r="S776" s="104"/>
      <c r="T776" s="104"/>
      <c r="U776" s="104"/>
      <c r="V776" s="104"/>
      <c r="W776" s="104"/>
      <c r="X776" s="104"/>
      <c r="Y776" s="104"/>
      <c r="Z776" s="104"/>
      <c r="AA776" s="231"/>
      <c r="AB776" s="231"/>
      <c r="AC776" s="231"/>
      <c r="AD776" s="231"/>
      <c r="AE776" s="231"/>
      <c r="AF776" s="231"/>
      <c r="AG776" s="231"/>
      <c r="AH776" s="231"/>
      <c r="AI776" s="231"/>
      <c r="AJ776" s="231"/>
      <c r="AK776" s="231"/>
      <c r="AL776" s="231"/>
      <c r="AM776" s="231"/>
      <c r="AN776" s="231"/>
      <c r="AO776" s="231"/>
      <c r="AP776" s="231"/>
      <c r="AQ776" s="231"/>
      <c r="AR776" s="231"/>
      <c r="AS776" s="231"/>
      <c r="AT776" s="231"/>
      <c r="AU776" s="231"/>
      <c r="AV776" s="231"/>
      <c r="AW776" s="231"/>
      <c r="AX776" s="231"/>
      <c r="AY776" s="231"/>
      <c r="AZ776" s="231"/>
      <c r="BA776" s="231"/>
      <c r="BB776" s="231"/>
      <c r="BC776" s="231"/>
      <c r="BD776" s="104"/>
      <c r="BE776" s="104"/>
      <c r="BF776" s="104"/>
      <c r="BG776" s="104"/>
      <c r="BH776" s="104"/>
      <c r="BI776" s="104"/>
      <c r="BJ776" s="104"/>
      <c r="BK776" s="12"/>
      <c r="BL776" s="12"/>
    </row>
    <row r="777" spans="1:64" hidden="1" outlineLevel="1">
      <c r="A777" s="9"/>
      <c r="B777" s="9"/>
      <c r="C777" s="44"/>
      <c r="D777" s="271">
        <f>Asset16</f>
        <v>0</v>
      </c>
      <c r="E777" s="9"/>
      <c r="F777" s="9"/>
      <c r="G777" s="204">
        <f>Input!J22</f>
        <v>0</v>
      </c>
      <c r="H777" s="334">
        <f t="shared" si="66"/>
        <v>0</v>
      </c>
      <c r="I777" s="115">
        <f t="shared" si="67"/>
        <v>0</v>
      </c>
      <c r="J777" s="115">
        <f t="shared" si="67"/>
        <v>0</v>
      </c>
      <c r="K777" s="115">
        <f t="shared" si="67"/>
        <v>0</v>
      </c>
      <c r="L777" s="115">
        <f t="shared" si="67"/>
        <v>0</v>
      </c>
      <c r="M777" s="115">
        <f t="shared" si="67"/>
        <v>0</v>
      </c>
      <c r="N777" s="115">
        <f>IF(COUNT($H777:M777)&gt;Input!$Y$7,0, M777+M809+M841)</f>
        <v>0</v>
      </c>
      <c r="O777" s="115">
        <f>IF(COUNT($H777:N777)&gt;Input!$Y$7,0, N777+N809+N841)</f>
        <v>0</v>
      </c>
      <c r="P777" s="115">
        <f>IF(COUNT($H777:O777)&gt;Input!$Y$7,0, O777+O809+O841)</f>
        <v>0</v>
      </c>
      <c r="Q777" s="115">
        <f>IF(COUNT($H777:P777)&gt;Input!$Y$7,0, P777+P809+P841)</f>
        <v>0</v>
      </c>
      <c r="R777" s="115">
        <f>IF(COUNT($H777:Q777)&gt;Input!$Y$7,0, Q777+Q809+Q841)</f>
        <v>0</v>
      </c>
      <c r="S777" s="104"/>
      <c r="T777" s="104"/>
      <c r="U777" s="104"/>
      <c r="V777" s="104"/>
      <c r="W777" s="104"/>
      <c r="X777" s="104"/>
      <c r="Y777" s="104"/>
      <c r="Z777" s="104"/>
      <c r="AA777" s="231"/>
      <c r="AB777" s="231"/>
      <c r="AC777" s="231"/>
      <c r="AD777" s="231"/>
      <c r="AE777" s="231"/>
      <c r="AF777" s="231"/>
      <c r="AG777" s="231"/>
      <c r="AH777" s="231"/>
      <c r="AI777" s="231"/>
      <c r="AJ777" s="231"/>
      <c r="AK777" s="231"/>
      <c r="AL777" s="231"/>
      <c r="AM777" s="231"/>
      <c r="AN777" s="231"/>
      <c r="AO777" s="231"/>
      <c r="AP777" s="231"/>
      <c r="AQ777" s="231"/>
      <c r="AR777" s="231"/>
      <c r="AS777" s="231"/>
      <c r="AT777" s="231"/>
      <c r="AU777" s="231"/>
      <c r="AV777" s="231"/>
      <c r="AW777" s="231"/>
      <c r="AX777" s="231"/>
      <c r="AY777" s="231"/>
      <c r="AZ777" s="231"/>
      <c r="BA777" s="231"/>
      <c r="BB777" s="231"/>
      <c r="BC777" s="231"/>
      <c r="BD777" s="104"/>
      <c r="BE777" s="104"/>
      <c r="BF777" s="104"/>
      <c r="BG777" s="104"/>
      <c r="BH777" s="104"/>
      <c r="BI777" s="104"/>
      <c r="BJ777" s="104"/>
      <c r="BK777" s="12"/>
      <c r="BL777" s="12"/>
    </row>
    <row r="778" spans="1:64" hidden="1" outlineLevel="1">
      <c r="A778" s="9"/>
      <c r="B778" s="9"/>
      <c r="C778" s="44"/>
      <c r="D778" s="271">
        <f>Asset17</f>
        <v>0</v>
      </c>
      <c r="E778" s="9"/>
      <c r="F778" s="9"/>
      <c r="G778" s="204">
        <f>Input!J23</f>
        <v>0</v>
      </c>
      <c r="H778" s="334">
        <f t="shared" si="66"/>
        <v>0</v>
      </c>
      <c r="I778" s="115">
        <f t="shared" si="67"/>
        <v>0</v>
      </c>
      <c r="J778" s="115">
        <f t="shared" si="67"/>
        <v>0</v>
      </c>
      <c r="K778" s="115">
        <f t="shared" si="67"/>
        <v>0</v>
      </c>
      <c r="L778" s="115">
        <f t="shared" si="67"/>
        <v>0</v>
      </c>
      <c r="M778" s="115">
        <f t="shared" si="67"/>
        <v>0</v>
      </c>
      <c r="N778" s="115">
        <f>IF(COUNT($H778:M778)&gt;Input!$Y$7,0, M778+M810+M842)</f>
        <v>0</v>
      </c>
      <c r="O778" s="115">
        <f>IF(COUNT($H778:N778)&gt;Input!$Y$7,0, N778+N810+N842)</f>
        <v>0</v>
      </c>
      <c r="P778" s="115">
        <f>IF(COUNT($H778:O778)&gt;Input!$Y$7,0, O778+O810+O842)</f>
        <v>0</v>
      </c>
      <c r="Q778" s="115">
        <f>IF(COUNT($H778:P778)&gt;Input!$Y$7,0, P778+P810+P842)</f>
        <v>0</v>
      </c>
      <c r="R778" s="115">
        <f>IF(COUNT($H778:Q778)&gt;Input!$Y$7,0, Q778+Q810+Q842)</f>
        <v>0</v>
      </c>
      <c r="S778" s="104"/>
      <c r="T778" s="104"/>
      <c r="U778" s="104"/>
      <c r="V778" s="104"/>
      <c r="W778" s="104"/>
      <c r="X778" s="104"/>
      <c r="Y778" s="104"/>
      <c r="Z778" s="104"/>
      <c r="AA778" s="231"/>
      <c r="AB778" s="231"/>
      <c r="AC778" s="231"/>
      <c r="AD778" s="231"/>
      <c r="AE778" s="231"/>
      <c r="AF778" s="231"/>
      <c r="AG778" s="231"/>
      <c r="AH778" s="231"/>
      <c r="AI778" s="231"/>
      <c r="AJ778" s="231"/>
      <c r="AK778" s="231"/>
      <c r="AL778" s="231"/>
      <c r="AM778" s="231"/>
      <c r="AN778" s="231"/>
      <c r="AO778" s="231"/>
      <c r="AP778" s="231"/>
      <c r="AQ778" s="231"/>
      <c r="AR778" s="231"/>
      <c r="AS778" s="231"/>
      <c r="AT778" s="231"/>
      <c r="AU778" s="231"/>
      <c r="AV778" s="231"/>
      <c r="AW778" s="231"/>
      <c r="AX778" s="231"/>
      <c r="AY778" s="231"/>
      <c r="AZ778" s="231"/>
      <c r="BA778" s="231"/>
      <c r="BB778" s="231"/>
      <c r="BC778" s="231"/>
      <c r="BD778" s="104"/>
      <c r="BE778" s="104"/>
      <c r="BF778" s="104"/>
      <c r="BG778" s="104"/>
      <c r="BH778" s="104"/>
      <c r="BI778" s="104"/>
      <c r="BJ778" s="104"/>
      <c r="BK778" s="12"/>
      <c r="BL778" s="12"/>
    </row>
    <row r="779" spans="1:64" hidden="1" outlineLevel="1">
      <c r="A779" s="9"/>
      <c r="B779" s="9"/>
      <c r="C779" s="44"/>
      <c r="D779" s="271">
        <f>Asset18</f>
        <v>0</v>
      </c>
      <c r="E779" s="9"/>
      <c r="F779" s="9"/>
      <c r="G779" s="204">
        <f>Input!J24</f>
        <v>0</v>
      </c>
      <c r="H779" s="334">
        <f t="shared" si="66"/>
        <v>0</v>
      </c>
      <c r="I779" s="115">
        <f t="shared" si="67"/>
        <v>0</v>
      </c>
      <c r="J779" s="115">
        <f t="shared" si="67"/>
        <v>0</v>
      </c>
      <c r="K779" s="115">
        <f t="shared" si="67"/>
        <v>0</v>
      </c>
      <c r="L779" s="115">
        <f t="shared" si="67"/>
        <v>0</v>
      </c>
      <c r="M779" s="115">
        <f t="shared" si="67"/>
        <v>0</v>
      </c>
      <c r="N779" s="115">
        <f>IF(COUNT($H779:M779)&gt;Input!$Y$7,0, M779+M811+M843)</f>
        <v>0</v>
      </c>
      <c r="O779" s="115">
        <f>IF(COUNT($H779:N779)&gt;Input!$Y$7,0, N779+N811+N843)</f>
        <v>0</v>
      </c>
      <c r="P779" s="115">
        <f>IF(COUNT($H779:O779)&gt;Input!$Y$7,0, O779+O811+O843)</f>
        <v>0</v>
      </c>
      <c r="Q779" s="115">
        <f>IF(COUNT($H779:P779)&gt;Input!$Y$7,0, P779+P811+P843)</f>
        <v>0</v>
      </c>
      <c r="R779" s="115">
        <f>IF(COUNT($H779:Q779)&gt;Input!$Y$7,0, Q779+Q811+Q843)</f>
        <v>0</v>
      </c>
      <c r="S779" s="104"/>
      <c r="T779" s="104"/>
      <c r="U779" s="104"/>
      <c r="V779" s="104"/>
      <c r="W779" s="104"/>
      <c r="X779" s="104"/>
      <c r="Y779" s="104"/>
      <c r="Z779" s="104"/>
      <c r="AA779" s="231"/>
      <c r="AB779" s="231"/>
      <c r="AC779" s="231"/>
      <c r="AD779" s="231"/>
      <c r="AE779" s="231"/>
      <c r="AF779" s="231"/>
      <c r="AG779" s="231"/>
      <c r="AH779" s="231"/>
      <c r="AI779" s="231"/>
      <c r="AJ779" s="231"/>
      <c r="AK779" s="231"/>
      <c r="AL779" s="231"/>
      <c r="AM779" s="231"/>
      <c r="AN779" s="231"/>
      <c r="AO779" s="231"/>
      <c r="AP779" s="231"/>
      <c r="AQ779" s="231"/>
      <c r="AR779" s="231"/>
      <c r="AS779" s="231"/>
      <c r="AT779" s="231"/>
      <c r="AU779" s="231"/>
      <c r="AV779" s="231"/>
      <c r="AW779" s="231"/>
      <c r="AX779" s="231"/>
      <c r="AY779" s="231"/>
      <c r="AZ779" s="231"/>
      <c r="BA779" s="231"/>
      <c r="BB779" s="231"/>
      <c r="BC779" s="231"/>
      <c r="BD779" s="104"/>
      <c r="BE779" s="104"/>
      <c r="BF779" s="104"/>
      <c r="BG779" s="104"/>
      <c r="BH779" s="104"/>
      <c r="BI779" s="104"/>
      <c r="BJ779" s="104"/>
      <c r="BK779" s="12"/>
      <c r="BL779" s="12"/>
    </row>
    <row r="780" spans="1:64" hidden="1" outlineLevel="1">
      <c r="A780" s="9"/>
      <c r="B780" s="9"/>
      <c r="C780" s="44"/>
      <c r="D780" s="271">
        <f>Asset19</f>
        <v>0</v>
      </c>
      <c r="E780" s="9"/>
      <c r="F780" s="9"/>
      <c r="G780" s="204">
        <f>Input!J25</f>
        <v>0</v>
      </c>
      <c r="H780" s="334">
        <f t="shared" si="66"/>
        <v>0</v>
      </c>
      <c r="I780" s="115">
        <f t="shared" si="67"/>
        <v>0</v>
      </c>
      <c r="J780" s="115">
        <f t="shared" si="67"/>
        <v>0</v>
      </c>
      <c r="K780" s="115">
        <f t="shared" si="67"/>
        <v>0</v>
      </c>
      <c r="L780" s="115">
        <f t="shared" si="67"/>
        <v>0</v>
      </c>
      <c r="M780" s="115">
        <f t="shared" si="67"/>
        <v>0</v>
      </c>
      <c r="N780" s="115">
        <f>IF(COUNT($H780:M780)&gt;Input!$Y$7,0, M780+M812+M844)</f>
        <v>0</v>
      </c>
      <c r="O780" s="115">
        <f>IF(COUNT($H780:N780)&gt;Input!$Y$7,0, N780+N812+N844)</f>
        <v>0</v>
      </c>
      <c r="P780" s="115">
        <f>IF(COUNT($H780:O780)&gt;Input!$Y$7,0, O780+O812+O844)</f>
        <v>0</v>
      </c>
      <c r="Q780" s="115">
        <f>IF(COUNT($H780:P780)&gt;Input!$Y$7,0, P780+P812+P844)</f>
        <v>0</v>
      </c>
      <c r="R780" s="115">
        <f>IF(COUNT($H780:Q780)&gt;Input!$Y$7,0, Q780+Q812+Q844)</f>
        <v>0</v>
      </c>
      <c r="S780" s="104"/>
      <c r="T780" s="104"/>
      <c r="U780" s="104"/>
      <c r="V780" s="104"/>
      <c r="W780" s="104"/>
      <c r="X780" s="104"/>
      <c r="Y780" s="104"/>
      <c r="Z780" s="104"/>
      <c r="AA780" s="231"/>
      <c r="AB780" s="231"/>
      <c r="AC780" s="231"/>
      <c r="AD780" s="231"/>
      <c r="AE780" s="231"/>
      <c r="AF780" s="231"/>
      <c r="AG780" s="231"/>
      <c r="AH780" s="231"/>
      <c r="AI780" s="231"/>
      <c r="AJ780" s="231"/>
      <c r="AK780" s="231"/>
      <c r="AL780" s="231"/>
      <c r="AM780" s="231"/>
      <c r="AN780" s="231"/>
      <c r="AO780" s="231"/>
      <c r="AP780" s="231"/>
      <c r="AQ780" s="231"/>
      <c r="AR780" s="231"/>
      <c r="AS780" s="231"/>
      <c r="AT780" s="231"/>
      <c r="AU780" s="231"/>
      <c r="AV780" s="231"/>
      <c r="AW780" s="231"/>
      <c r="AX780" s="231"/>
      <c r="AY780" s="231"/>
      <c r="AZ780" s="231"/>
      <c r="BA780" s="231"/>
      <c r="BB780" s="231"/>
      <c r="BC780" s="231"/>
      <c r="BD780" s="104"/>
      <c r="BE780" s="104"/>
      <c r="BF780" s="104"/>
      <c r="BG780" s="104"/>
      <c r="BH780" s="104"/>
      <c r="BI780" s="104"/>
      <c r="BJ780" s="104"/>
      <c r="BK780" s="12"/>
      <c r="BL780" s="12"/>
    </row>
    <row r="781" spans="1:64" hidden="1" outlineLevel="1">
      <c r="A781" s="9"/>
      <c r="B781" s="9"/>
      <c r="C781" s="44"/>
      <c r="D781" s="271">
        <f>Asset20</f>
        <v>0</v>
      </c>
      <c r="E781" s="9"/>
      <c r="F781" s="9"/>
      <c r="G781" s="204">
        <f>Input!J26</f>
        <v>0</v>
      </c>
      <c r="H781" s="334">
        <f t="shared" si="66"/>
        <v>0</v>
      </c>
      <c r="I781" s="115">
        <f t="shared" si="67"/>
        <v>0</v>
      </c>
      <c r="J781" s="115">
        <f t="shared" si="67"/>
        <v>0</v>
      </c>
      <c r="K781" s="115">
        <f t="shared" si="67"/>
        <v>0</v>
      </c>
      <c r="L781" s="115">
        <f t="shared" si="67"/>
        <v>0</v>
      </c>
      <c r="M781" s="115">
        <f t="shared" si="67"/>
        <v>0</v>
      </c>
      <c r="N781" s="115">
        <f>IF(COUNT($H781:M781)&gt;Input!$Y$7,0, M781+M813+M845)</f>
        <v>0</v>
      </c>
      <c r="O781" s="115">
        <f>IF(COUNT($H781:N781)&gt;Input!$Y$7,0, N781+N813+N845)</f>
        <v>0</v>
      </c>
      <c r="P781" s="115">
        <f>IF(COUNT($H781:O781)&gt;Input!$Y$7,0, O781+O813+O845)</f>
        <v>0</v>
      </c>
      <c r="Q781" s="115">
        <f>IF(COUNT($H781:P781)&gt;Input!$Y$7,0, P781+P813+P845)</f>
        <v>0</v>
      </c>
      <c r="R781" s="115">
        <f>IF(COUNT($H781:Q781)&gt;Input!$Y$7,0, Q781+Q813+Q845)</f>
        <v>0</v>
      </c>
      <c r="S781" s="104"/>
      <c r="T781" s="104"/>
      <c r="U781" s="104"/>
      <c r="V781" s="104"/>
      <c r="W781" s="104"/>
      <c r="X781" s="104"/>
      <c r="Y781" s="104"/>
      <c r="Z781" s="104"/>
      <c r="AA781" s="231"/>
      <c r="AB781" s="231"/>
      <c r="AC781" s="231"/>
      <c r="AD781" s="231"/>
      <c r="AE781" s="231"/>
      <c r="AF781" s="231"/>
      <c r="AG781" s="231"/>
      <c r="AH781" s="231"/>
      <c r="AI781" s="231"/>
      <c r="AJ781" s="231"/>
      <c r="AK781" s="231"/>
      <c r="AL781" s="231"/>
      <c r="AM781" s="231"/>
      <c r="AN781" s="231"/>
      <c r="AO781" s="231"/>
      <c r="AP781" s="231"/>
      <c r="AQ781" s="231"/>
      <c r="AR781" s="231"/>
      <c r="AS781" s="231"/>
      <c r="AT781" s="231"/>
      <c r="AU781" s="231"/>
      <c r="AV781" s="231"/>
      <c r="AW781" s="231"/>
      <c r="AX781" s="231"/>
      <c r="AY781" s="231"/>
      <c r="AZ781" s="231"/>
      <c r="BA781" s="231"/>
      <c r="BB781" s="231"/>
      <c r="BC781" s="231"/>
      <c r="BD781" s="104"/>
      <c r="BE781" s="104"/>
      <c r="BF781" s="104"/>
      <c r="BG781" s="104"/>
      <c r="BH781" s="104"/>
      <c r="BI781" s="104"/>
      <c r="BJ781" s="104"/>
      <c r="BK781" s="12"/>
      <c r="BL781" s="12"/>
    </row>
    <row r="782" spans="1:64" hidden="1" outlineLevel="1">
      <c r="A782" s="9"/>
      <c r="B782" s="9"/>
      <c r="C782" s="44"/>
      <c r="D782" s="271">
        <f>Asset21</f>
        <v>0</v>
      </c>
      <c r="E782" s="9"/>
      <c r="F782" s="9"/>
      <c r="G782" s="204">
        <f>Input!J27</f>
        <v>0</v>
      </c>
      <c r="H782" s="334">
        <f t="shared" si="66"/>
        <v>0</v>
      </c>
      <c r="I782" s="115">
        <f>H782+H814+H846</f>
        <v>0</v>
      </c>
      <c r="J782" s="115">
        <f>I782+I814+I846</f>
        <v>0</v>
      </c>
      <c r="K782" s="115">
        <f>J782+J814+J846</f>
        <v>0</v>
      </c>
      <c r="L782" s="115">
        <f>K782+K814+K846</f>
        <v>0</v>
      </c>
      <c r="M782" s="115">
        <f>L782+L814+L846</f>
        <v>0</v>
      </c>
      <c r="N782" s="115">
        <f>IF(COUNT($H782:M782)&gt;Input!$Y$7,0, M782+M814+M846)</f>
        <v>0</v>
      </c>
      <c r="O782" s="115">
        <f>IF(COUNT($H782:N782)&gt;Input!$Y$7,0, N782+N814+N846)</f>
        <v>0</v>
      </c>
      <c r="P782" s="115">
        <f>IF(COUNT($H782:O782)&gt;Input!$Y$7,0, O782+O814+O846)</f>
        <v>0</v>
      </c>
      <c r="Q782" s="115">
        <f>IF(COUNT($H782:P782)&gt;Input!$Y$7,0, P782+P814+P846)</f>
        <v>0</v>
      </c>
      <c r="R782" s="115">
        <f>IF(COUNT($H782:Q782)&gt;Input!$Y$7,0, Q782+Q814+Q846)</f>
        <v>0</v>
      </c>
      <c r="S782" s="104"/>
      <c r="T782" s="104"/>
      <c r="U782" s="104"/>
      <c r="V782" s="104"/>
      <c r="W782" s="104"/>
      <c r="X782" s="104"/>
      <c r="Y782" s="104"/>
      <c r="Z782" s="104"/>
      <c r="AA782" s="231"/>
      <c r="AB782" s="231"/>
      <c r="AC782" s="231"/>
      <c r="AD782" s="231"/>
      <c r="AE782" s="231"/>
      <c r="AF782" s="231"/>
      <c r="AG782" s="231"/>
      <c r="AH782" s="231"/>
      <c r="AI782" s="231"/>
      <c r="AJ782" s="231"/>
      <c r="AK782" s="231"/>
      <c r="AL782" s="231"/>
      <c r="AM782" s="231"/>
      <c r="AN782" s="231"/>
      <c r="AO782" s="231"/>
      <c r="AP782" s="231"/>
      <c r="AQ782" s="231"/>
      <c r="AR782" s="231"/>
      <c r="AS782" s="231"/>
      <c r="AT782" s="231"/>
      <c r="AU782" s="231"/>
      <c r="AV782" s="231"/>
      <c r="AW782" s="231"/>
      <c r="AX782" s="231"/>
      <c r="AY782" s="231"/>
      <c r="AZ782" s="231"/>
      <c r="BA782" s="231"/>
      <c r="BB782" s="231"/>
      <c r="BC782" s="231"/>
      <c r="BD782" s="104"/>
      <c r="BE782" s="104"/>
      <c r="BF782" s="104"/>
      <c r="BG782" s="104"/>
      <c r="BH782" s="104"/>
      <c r="BI782" s="104"/>
      <c r="BJ782" s="104"/>
      <c r="BK782" s="12"/>
      <c r="BL782" s="12"/>
    </row>
    <row r="783" spans="1:64" hidden="1" outlineLevel="1">
      <c r="A783" s="9"/>
      <c r="B783" s="9"/>
      <c r="C783" s="44"/>
      <c r="D783" s="271">
        <f>Asset22</f>
        <v>0</v>
      </c>
      <c r="E783" s="9"/>
      <c r="F783" s="9"/>
      <c r="G783" s="204">
        <f>Input!J28</f>
        <v>0</v>
      </c>
      <c r="H783" s="334">
        <f t="shared" si="66"/>
        <v>0</v>
      </c>
      <c r="I783" s="115">
        <f t="shared" ref="I783:I791" si="68">H783+H815+H847</f>
        <v>0</v>
      </c>
      <c r="J783" s="115">
        <f t="shared" ref="J783:M791" si="69">I783+I815+I847</f>
        <v>0</v>
      </c>
      <c r="K783" s="115">
        <f t="shared" si="69"/>
        <v>0</v>
      </c>
      <c r="L783" s="115">
        <f t="shared" si="69"/>
        <v>0</v>
      </c>
      <c r="M783" s="115">
        <f t="shared" si="69"/>
        <v>0</v>
      </c>
      <c r="N783" s="115">
        <f>IF(COUNT($H783:M783)&gt;Input!$Y$7,0, M783+M815+M847)</f>
        <v>0</v>
      </c>
      <c r="O783" s="115">
        <f>IF(COUNT($H783:N783)&gt;Input!$Y$7,0, N783+N815+N847)</f>
        <v>0</v>
      </c>
      <c r="P783" s="115">
        <f>IF(COUNT($H783:O783)&gt;Input!$Y$7,0, O783+O815+O847)</f>
        <v>0</v>
      </c>
      <c r="Q783" s="115">
        <f>IF(COUNT($H783:P783)&gt;Input!$Y$7,0, P783+P815+P847)</f>
        <v>0</v>
      </c>
      <c r="R783" s="115">
        <f>IF(COUNT($H783:Q783)&gt;Input!$Y$7,0, Q783+Q815+Q847)</f>
        <v>0</v>
      </c>
      <c r="S783" s="104"/>
      <c r="T783" s="104"/>
      <c r="U783" s="104"/>
      <c r="V783" s="104"/>
      <c r="W783" s="104"/>
      <c r="X783" s="104"/>
      <c r="Y783" s="104"/>
      <c r="Z783" s="104"/>
      <c r="AA783" s="231"/>
      <c r="AB783" s="231"/>
      <c r="AC783" s="231"/>
      <c r="AD783" s="231"/>
      <c r="AE783" s="231"/>
      <c r="AF783" s="231"/>
      <c r="AG783" s="231"/>
      <c r="AH783" s="231"/>
      <c r="AI783" s="231"/>
      <c r="AJ783" s="231"/>
      <c r="AK783" s="231"/>
      <c r="AL783" s="231"/>
      <c r="AM783" s="231"/>
      <c r="AN783" s="231"/>
      <c r="AO783" s="231"/>
      <c r="AP783" s="231"/>
      <c r="AQ783" s="231"/>
      <c r="AR783" s="231"/>
      <c r="AS783" s="231"/>
      <c r="AT783" s="231"/>
      <c r="AU783" s="231"/>
      <c r="AV783" s="231"/>
      <c r="AW783" s="231"/>
      <c r="AX783" s="231"/>
      <c r="AY783" s="231"/>
      <c r="AZ783" s="231"/>
      <c r="BA783" s="231"/>
      <c r="BB783" s="231"/>
      <c r="BC783" s="231"/>
      <c r="BD783" s="104"/>
      <c r="BE783" s="104"/>
      <c r="BF783" s="104"/>
      <c r="BG783" s="104"/>
      <c r="BH783" s="104"/>
      <c r="BI783" s="104"/>
      <c r="BJ783" s="104"/>
      <c r="BK783" s="12"/>
      <c r="BL783" s="12"/>
    </row>
    <row r="784" spans="1:64" hidden="1" outlineLevel="1">
      <c r="A784" s="9"/>
      <c r="B784" s="9"/>
      <c r="C784" s="44"/>
      <c r="D784" s="271">
        <f>Asset23</f>
        <v>0</v>
      </c>
      <c r="E784" s="9"/>
      <c r="F784" s="9"/>
      <c r="G784" s="204">
        <f>Input!J29</f>
        <v>0</v>
      </c>
      <c r="H784" s="334">
        <f t="shared" si="66"/>
        <v>0</v>
      </c>
      <c r="I784" s="115">
        <f t="shared" si="68"/>
        <v>0</v>
      </c>
      <c r="J784" s="115">
        <f t="shared" si="69"/>
        <v>0</v>
      </c>
      <c r="K784" s="115">
        <f t="shared" si="69"/>
        <v>0</v>
      </c>
      <c r="L784" s="115">
        <f t="shared" si="69"/>
        <v>0</v>
      </c>
      <c r="M784" s="115">
        <f t="shared" si="69"/>
        <v>0</v>
      </c>
      <c r="N784" s="115">
        <f>IF(COUNT($H784:M784)&gt;Input!$Y$7,0, M784+M816+M848)</f>
        <v>0</v>
      </c>
      <c r="O784" s="115">
        <f>IF(COUNT($H784:N784)&gt;Input!$Y$7,0, N784+N816+N848)</f>
        <v>0</v>
      </c>
      <c r="P784" s="115">
        <f>IF(COUNT($H784:O784)&gt;Input!$Y$7,0, O784+O816+O848)</f>
        <v>0</v>
      </c>
      <c r="Q784" s="115">
        <f>IF(COUNT($H784:P784)&gt;Input!$Y$7,0, P784+P816+P848)</f>
        <v>0</v>
      </c>
      <c r="R784" s="115">
        <f>IF(COUNT($H784:Q784)&gt;Input!$Y$7,0, Q784+Q816+Q848)</f>
        <v>0</v>
      </c>
      <c r="S784" s="104"/>
      <c r="T784" s="104"/>
      <c r="U784" s="104"/>
      <c r="V784" s="104"/>
      <c r="W784" s="104"/>
      <c r="X784" s="104"/>
      <c r="Y784" s="104"/>
      <c r="Z784" s="104"/>
      <c r="AA784" s="231"/>
      <c r="AB784" s="231"/>
      <c r="AC784" s="231"/>
      <c r="AD784" s="231"/>
      <c r="AE784" s="231"/>
      <c r="AF784" s="231"/>
      <c r="AG784" s="231"/>
      <c r="AH784" s="231"/>
      <c r="AI784" s="231"/>
      <c r="AJ784" s="231"/>
      <c r="AK784" s="231"/>
      <c r="AL784" s="231"/>
      <c r="AM784" s="231"/>
      <c r="AN784" s="231"/>
      <c r="AO784" s="231"/>
      <c r="AP784" s="231"/>
      <c r="AQ784" s="231"/>
      <c r="AR784" s="231"/>
      <c r="AS784" s="231"/>
      <c r="AT784" s="231"/>
      <c r="AU784" s="231"/>
      <c r="AV784" s="231"/>
      <c r="AW784" s="231"/>
      <c r="AX784" s="231"/>
      <c r="AY784" s="231"/>
      <c r="AZ784" s="231"/>
      <c r="BA784" s="231"/>
      <c r="BB784" s="231"/>
      <c r="BC784" s="231"/>
      <c r="BD784" s="104"/>
      <c r="BE784" s="104"/>
      <c r="BF784" s="104"/>
      <c r="BG784" s="104"/>
      <c r="BH784" s="104"/>
      <c r="BI784" s="104"/>
      <c r="BJ784" s="104"/>
      <c r="BK784" s="12"/>
      <c r="BL784" s="12"/>
    </row>
    <row r="785" spans="1:64" hidden="1" outlineLevel="1">
      <c r="A785" s="9"/>
      <c r="B785" s="9"/>
      <c r="C785" s="44"/>
      <c r="D785" s="271">
        <f>Asset24</f>
        <v>0</v>
      </c>
      <c r="E785" s="9"/>
      <c r="F785" s="9"/>
      <c r="G785" s="204">
        <f>Input!J30</f>
        <v>0</v>
      </c>
      <c r="H785" s="334">
        <f t="shared" si="66"/>
        <v>0</v>
      </c>
      <c r="I785" s="115">
        <f t="shared" si="68"/>
        <v>0</v>
      </c>
      <c r="J785" s="115">
        <f t="shared" si="69"/>
        <v>0</v>
      </c>
      <c r="K785" s="115">
        <f t="shared" si="69"/>
        <v>0</v>
      </c>
      <c r="L785" s="115">
        <f t="shared" si="69"/>
        <v>0</v>
      </c>
      <c r="M785" s="115">
        <f t="shared" si="69"/>
        <v>0</v>
      </c>
      <c r="N785" s="115">
        <f>IF(COUNT($H785:M785)&gt;Input!$Y$7,0, M785+M817+M849)</f>
        <v>0</v>
      </c>
      <c r="O785" s="115">
        <f>IF(COUNT($H785:N785)&gt;Input!$Y$7,0, N785+N817+N849)</f>
        <v>0</v>
      </c>
      <c r="P785" s="115">
        <f>IF(COUNT($H785:O785)&gt;Input!$Y$7,0, O785+O817+O849)</f>
        <v>0</v>
      </c>
      <c r="Q785" s="115">
        <f>IF(COUNT($H785:P785)&gt;Input!$Y$7,0, P785+P817+P849)</f>
        <v>0</v>
      </c>
      <c r="R785" s="115">
        <f>IF(COUNT($H785:Q785)&gt;Input!$Y$7,0, Q785+Q817+Q849)</f>
        <v>0</v>
      </c>
      <c r="S785" s="104"/>
      <c r="T785" s="104"/>
      <c r="U785" s="104"/>
      <c r="V785" s="104"/>
      <c r="W785" s="104"/>
      <c r="X785" s="104"/>
      <c r="Y785" s="104"/>
      <c r="Z785" s="104"/>
      <c r="AA785" s="231"/>
      <c r="AB785" s="231"/>
      <c r="AC785" s="231"/>
      <c r="AD785" s="231"/>
      <c r="AE785" s="231"/>
      <c r="AF785" s="231"/>
      <c r="AG785" s="231"/>
      <c r="AH785" s="231"/>
      <c r="AI785" s="231"/>
      <c r="AJ785" s="231"/>
      <c r="AK785" s="231"/>
      <c r="AL785" s="231"/>
      <c r="AM785" s="231"/>
      <c r="AN785" s="231"/>
      <c r="AO785" s="231"/>
      <c r="AP785" s="231"/>
      <c r="AQ785" s="231"/>
      <c r="AR785" s="231"/>
      <c r="AS785" s="231"/>
      <c r="AT785" s="231"/>
      <c r="AU785" s="231"/>
      <c r="AV785" s="231"/>
      <c r="AW785" s="231"/>
      <c r="AX785" s="231"/>
      <c r="AY785" s="231"/>
      <c r="AZ785" s="231"/>
      <c r="BA785" s="231"/>
      <c r="BB785" s="231"/>
      <c r="BC785" s="231"/>
      <c r="BD785" s="104"/>
      <c r="BE785" s="104"/>
      <c r="BF785" s="104"/>
      <c r="BG785" s="104"/>
      <c r="BH785" s="104"/>
      <c r="BI785" s="104"/>
      <c r="BJ785" s="104"/>
      <c r="BK785" s="12"/>
      <c r="BL785" s="12"/>
    </row>
    <row r="786" spans="1:64" hidden="1" outlineLevel="1">
      <c r="A786" s="9"/>
      <c r="B786" s="9"/>
      <c r="C786" s="44"/>
      <c r="D786" s="271">
        <f>Asset25</f>
        <v>0</v>
      </c>
      <c r="E786" s="9"/>
      <c r="F786" s="9"/>
      <c r="G786" s="204">
        <f>Input!J31</f>
        <v>0</v>
      </c>
      <c r="H786" s="334">
        <f t="shared" si="66"/>
        <v>0</v>
      </c>
      <c r="I786" s="115">
        <f t="shared" si="68"/>
        <v>0</v>
      </c>
      <c r="J786" s="115">
        <f t="shared" si="69"/>
        <v>0</v>
      </c>
      <c r="K786" s="115">
        <f t="shared" si="69"/>
        <v>0</v>
      </c>
      <c r="L786" s="115">
        <f t="shared" si="69"/>
        <v>0</v>
      </c>
      <c r="M786" s="115">
        <f t="shared" si="69"/>
        <v>0</v>
      </c>
      <c r="N786" s="115">
        <f>IF(COUNT($H786:M786)&gt;Input!$Y$7,0, M786+M818+M850)</f>
        <v>0</v>
      </c>
      <c r="O786" s="115">
        <f>IF(COUNT($H786:N786)&gt;Input!$Y$7,0, N786+N818+N850)</f>
        <v>0</v>
      </c>
      <c r="P786" s="115">
        <f>IF(COUNT($H786:O786)&gt;Input!$Y$7,0, O786+O818+O850)</f>
        <v>0</v>
      </c>
      <c r="Q786" s="115">
        <f>IF(COUNT($H786:P786)&gt;Input!$Y$7,0, P786+P818+P850)</f>
        <v>0</v>
      </c>
      <c r="R786" s="115">
        <f>IF(COUNT($H786:Q786)&gt;Input!$Y$7,0, Q786+Q818+Q850)</f>
        <v>0</v>
      </c>
      <c r="S786" s="104"/>
      <c r="T786" s="104"/>
      <c r="U786" s="104"/>
      <c r="V786" s="104"/>
      <c r="W786" s="104"/>
      <c r="X786" s="104"/>
      <c r="Y786" s="104"/>
      <c r="Z786" s="104"/>
      <c r="AA786" s="231"/>
      <c r="AB786" s="231"/>
      <c r="AC786" s="231"/>
      <c r="AD786" s="231"/>
      <c r="AE786" s="231"/>
      <c r="AF786" s="231"/>
      <c r="AG786" s="231"/>
      <c r="AH786" s="231"/>
      <c r="AI786" s="231"/>
      <c r="AJ786" s="231"/>
      <c r="AK786" s="231"/>
      <c r="AL786" s="231"/>
      <c r="AM786" s="231"/>
      <c r="AN786" s="231"/>
      <c r="AO786" s="231"/>
      <c r="AP786" s="231"/>
      <c r="AQ786" s="231"/>
      <c r="AR786" s="231"/>
      <c r="AS786" s="231"/>
      <c r="AT786" s="231"/>
      <c r="AU786" s="231"/>
      <c r="AV786" s="231"/>
      <c r="AW786" s="231"/>
      <c r="AX786" s="231"/>
      <c r="AY786" s="231"/>
      <c r="AZ786" s="231"/>
      <c r="BA786" s="231"/>
      <c r="BB786" s="231"/>
      <c r="BC786" s="231"/>
      <c r="BD786" s="104"/>
      <c r="BE786" s="104"/>
      <c r="BF786" s="104"/>
      <c r="BG786" s="104"/>
      <c r="BH786" s="104"/>
      <c r="BI786" s="104"/>
      <c r="BJ786" s="104"/>
      <c r="BK786" s="12"/>
      <c r="BL786" s="12"/>
    </row>
    <row r="787" spans="1:64" hidden="1" outlineLevel="1">
      <c r="A787" s="9"/>
      <c r="B787" s="9"/>
      <c r="C787" s="44"/>
      <c r="D787" s="271">
        <f>Asset26</f>
        <v>0</v>
      </c>
      <c r="E787" s="9"/>
      <c r="F787" s="9"/>
      <c r="G787" s="204">
        <f>Input!J32</f>
        <v>0</v>
      </c>
      <c r="H787" s="334">
        <f t="shared" si="66"/>
        <v>0</v>
      </c>
      <c r="I787" s="115">
        <f t="shared" si="68"/>
        <v>0</v>
      </c>
      <c r="J787" s="115">
        <f t="shared" si="69"/>
        <v>0</v>
      </c>
      <c r="K787" s="115">
        <f t="shared" si="69"/>
        <v>0</v>
      </c>
      <c r="L787" s="115">
        <f t="shared" si="69"/>
        <v>0</v>
      </c>
      <c r="M787" s="115">
        <f t="shared" si="69"/>
        <v>0</v>
      </c>
      <c r="N787" s="115">
        <f>IF(COUNT($H787:M787)&gt;Input!$Y$7,0, M787+M819+M851)</f>
        <v>0</v>
      </c>
      <c r="O787" s="115">
        <f>IF(COUNT($H787:N787)&gt;Input!$Y$7,0, N787+N819+N851)</f>
        <v>0</v>
      </c>
      <c r="P787" s="115">
        <f>IF(COUNT($H787:O787)&gt;Input!$Y$7,0, O787+O819+O851)</f>
        <v>0</v>
      </c>
      <c r="Q787" s="115">
        <f>IF(COUNT($H787:P787)&gt;Input!$Y$7,0, P787+P819+P851)</f>
        <v>0</v>
      </c>
      <c r="R787" s="115">
        <f>IF(COUNT($H787:Q787)&gt;Input!$Y$7,0, Q787+Q819+Q851)</f>
        <v>0</v>
      </c>
      <c r="S787" s="104"/>
      <c r="T787" s="104"/>
      <c r="U787" s="104"/>
      <c r="V787" s="104"/>
      <c r="W787" s="104"/>
      <c r="X787" s="104"/>
      <c r="Y787" s="104"/>
      <c r="Z787" s="104"/>
      <c r="AA787" s="231"/>
      <c r="AB787" s="231"/>
      <c r="AC787" s="231"/>
      <c r="AD787" s="231"/>
      <c r="AE787" s="231"/>
      <c r="AF787" s="231"/>
      <c r="AG787" s="231"/>
      <c r="AH787" s="231"/>
      <c r="AI787" s="231"/>
      <c r="AJ787" s="231"/>
      <c r="AK787" s="231"/>
      <c r="AL787" s="231"/>
      <c r="AM787" s="231"/>
      <c r="AN787" s="231"/>
      <c r="AO787" s="231"/>
      <c r="AP787" s="231"/>
      <c r="AQ787" s="231"/>
      <c r="AR787" s="231"/>
      <c r="AS787" s="231"/>
      <c r="AT787" s="231"/>
      <c r="AU787" s="231"/>
      <c r="AV787" s="231"/>
      <c r="AW787" s="231"/>
      <c r="AX787" s="231"/>
      <c r="AY787" s="231"/>
      <c r="AZ787" s="231"/>
      <c r="BA787" s="231"/>
      <c r="BB787" s="231"/>
      <c r="BC787" s="231"/>
      <c r="BD787" s="104"/>
      <c r="BE787" s="104"/>
      <c r="BF787" s="104"/>
      <c r="BG787" s="104"/>
      <c r="BH787" s="104"/>
      <c r="BI787" s="104"/>
      <c r="BJ787" s="104"/>
      <c r="BK787" s="12"/>
      <c r="BL787" s="12"/>
    </row>
    <row r="788" spans="1:64" hidden="1" outlineLevel="1">
      <c r="A788" s="9"/>
      <c r="B788" s="9"/>
      <c r="C788" s="44"/>
      <c r="D788" s="271">
        <f>Asset27</f>
        <v>0</v>
      </c>
      <c r="E788" s="9"/>
      <c r="F788" s="9"/>
      <c r="G788" s="204">
        <f>Input!J33</f>
        <v>0</v>
      </c>
      <c r="H788" s="334">
        <f t="shared" si="66"/>
        <v>0</v>
      </c>
      <c r="I788" s="115">
        <f t="shared" si="68"/>
        <v>0</v>
      </c>
      <c r="J788" s="115">
        <f t="shared" si="69"/>
        <v>0</v>
      </c>
      <c r="K788" s="115">
        <f t="shared" si="69"/>
        <v>0</v>
      </c>
      <c r="L788" s="115">
        <f t="shared" si="69"/>
        <v>0</v>
      </c>
      <c r="M788" s="115">
        <f t="shared" si="69"/>
        <v>0</v>
      </c>
      <c r="N788" s="115">
        <f>IF(COUNT($H788:M788)&gt;Input!$Y$7,0, M788+M820+M852)</f>
        <v>0</v>
      </c>
      <c r="O788" s="115">
        <f>IF(COUNT($H788:N788)&gt;Input!$Y$7,0, N788+N820+N852)</f>
        <v>0</v>
      </c>
      <c r="P788" s="115">
        <f>IF(COUNT($H788:O788)&gt;Input!$Y$7,0, O788+O820+O852)</f>
        <v>0</v>
      </c>
      <c r="Q788" s="115">
        <f>IF(COUNT($H788:P788)&gt;Input!$Y$7,0, P788+P820+P852)</f>
        <v>0</v>
      </c>
      <c r="R788" s="115">
        <f>IF(COUNT($H788:Q788)&gt;Input!$Y$7,0, Q788+Q820+Q852)</f>
        <v>0</v>
      </c>
      <c r="S788" s="104"/>
      <c r="T788" s="104"/>
      <c r="U788" s="104"/>
      <c r="V788" s="104"/>
      <c r="W788" s="104"/>
      <c r="X788" s="104"/>
      <c r="Y788" s="104"/>
      <c r="Z788" s="104"/>
      <c r="AA788" s="231"/>
      <c r="AB788" s="231"/>
      <c r="AC788" s="231"/>
      <c r="AD788" s="231"/>
      <c r="AE788" s="231"/>
      <c r="AF788" s="231"/>
      <c r="AG788" s="231"/>
      <c r="AH788" s="231"/>
      <c r="AI788" s="231"/>
      <c r="AJ788" s="231"/>
      <c r="AK788" s="231"/>
      <c r="AL788" s="231"/>
      <c r="AM788" s="231"/>
      <c r="AN788" s="231"/>
      <c r="AO788" s="231"/>
      <c r="AP788" s="231"/>
      <c r="AQ788" s="231"/>
      <c r="AR788" s="231"/>
      <c r="AS788" s="231"/>
      <c r="AT788" s="231"/>
      <c r="AU788" s="231"/>
      <c r="AV788" s="231"/>
      <c r="AW788" s="231"/>
      <c r="AX788" s="231"/>
      <c r="AY788" s="231"/>
      <c r="AZ788" s="231"/>
      <c r="BA788" s="231"/>
      <c r="BB788" s="231"/>
      <c r="BC788" s="231"/>
      <c r="BD788" s="104"/>
      <c r="BE788" s="104"/>
      <c r="BF788" s="104"/>
      <c r="BG788" s="104"/>
      <c r="BH788" s="104"/>
      <c r="BI788" s="104"/>
      <c r="BJ788" s="104"/>
      <c r="BK788" s="12"/>
      <c r="BL788" s="12"/>
    </row>
    <row r="789" spans="1:64" hidden="1" outlineLevel="1">
      <c r="A789" s="9"/>
      <c r="B789" s="9"/>
      <c r="C789" s="44"/>
      <c r="D789" s="271">
        <f>Asset28</f>
        <v>0</v>
      </c>
      <c r="E789" s="9"/>
      <c r="F789" s="9"/>
      <c r="G789" s="204">
        <f>Input!J34</f>
        <v>0</v>
      </c>
      <c r="H789" s="334">
        <f t="shared" si="66"/>
        <v>0</v>
      </c>
      <c r="I789" s="115">
        <f t="shared" si="68"/>
        <v>0</v>
      </c>
      <c r="J789" s="115">
        <f t="shared" si="69"/>
        <v>0</v>
      </c>
      <c r="K789" s="115">
        <f t="shared" si="69"/>
        <v>0</v>
      </c>
      <c r="L789" s="115">
        <f t="shared" si="69"/>
        <v>0</v>
      </c>
      <c r="M789" s="115">
        <f t="shared" si="69"/>
        <v>0</v>
      </c>
      <c r="N789" s="115">
        <f>IF(COUNT($H789:M789)&gt;Input!$Y$7,0, M789+M821+M853)</f>
        <v>0</v>
      </c>
      <c r="O789" s="115">
        <f>IF(COUNT($H789:N789)&gt;Input!$Y$7,0, N789+N821+N853)</f>
        <v>0</v>
      </c>
      <c r="P789" s="115">
        <f>IF(COUNT($H789:O789)&gt;Input!$Y$7,0, O789+O821+O853)</f>
        <v>0</v>
      </c>
      <c r="Q789" s="115">
        <f>IF(COUNT($H789:P789)&gt;Input!$Y$7,0, P789+P821+P853)</f>
        <v>0</v>
      </c>
      <c r="R789" s="115">
        <f>IF(COUNT($H789:Q789)&gt;Input!$Y$7,0, Q789+Q821+Q853)</f>
        <v>0</v>
      </c>
      <c r="S789" s="104"/>
      <c r="T789" s="104"/>
      <c r="U789" s="104"/>
      <c r="V789" s="104"/>
      <c r="W789" s="104"/>
      <c r="X789" s="104"/>
      <c r="Y789" s="104"/>
      <c r="Z789" s="104"/>
      <c r="AA789" s="231"/>
      <c r="AB789" s="231"/>
      <c r="AC789" s="231"/>
      <c r="AD789" s="231"/>
      <c r="AE789" s="231"/>
      <c r="AF789" s="231"/>
      <c r="AG789" s="231"/>
      <c r="AH789" s="231"/>
      <c r="AI789" s="231"/>
      <c r="AJ789" s="231"/>
      <c r="AK789" s="231"/>
      <c r="AL789" s="231"/>
      <c r="AM789" s="231"/>
      <c r="AN789" s="231"/>
      <c r="AO789" s="231"/>
      <c r="AP789" s="231"/>
      <c r="AQ789" s="231"/>
      <c r="AR789" s="231"/>
      <c r="AS789" s="231"/>
      <c r="AT789" s="231"/>
      <c r="AU789" s="231"/>
      <c r="AV789" s="231"/>
      <c r="AW789" s="231"/>
      <c r="AX789" s="231"/>
      <c r="AY789" s="231"/>
      <c r="AZ789" s="231"/>
      <c r="BA789" s="231"/>
      <c r="BB789" s="231"/>
      <c r="BC789" s="231"/>
      <c r="BD789" s="104"/>
      <c r="BE789" s="104"/>
      <c r="BF789" s="104"/>
      <c r="BG789" s="104"/>
      <c r="BH789" s="104"/>
      <c r="BI789" s="104"/>
      <c r="BJ789" s="104"/>
      <c r="BK789" s="12"/>
      <c r="BL789" s="12"/>
    </row>
    <row r="790" spans="1:64" hidden="1" outlineLevel="1">
      <c r="A790" s="9"/>
      <c r="B790" s="9"/>
      <c r="C790" s="44"/>
      <c r="D790" s="271">
        <f>Asset29</f>
        <v>0</v>
      </c>
      <c r="E790" s="9"/>
      <c r="F790" s="9"/>
      <c r="G790" s="204">
        <f>Input!J35</f>
        <v>0</v>
      </c>
      <c r="H790" s="334">
        <f t="shared" si="66"/>
        <v>0</v>
      </c>
      <c r="I790" s="115">
        <f t="shared" si="68"/>
        <v>0</v>
      </c>
      <c r="J790" s="115">
        <f t="shared" si="69"/>
        <v>0</v>
      </c>
      <c r="K790" s="115">
        <f t="shared" si="69"/>
        <v>0</v>
      </c>
      <c r="L790" s="115">
        <f t="shared" si="69"/>
        <v>0</v>
      </c>
      <c r="M790" s="115">
        <f t="shared" si="69"/>
        <v>0</v>
      </c>
      <c r="N790" s="115">
        <f>IF(COUNT($H790:M790)&gt;Input!$Y$7,0, M790+M822+M854)</f>
        <v>0</v>
      </c>
      <c r="O790" s="115">
        <f>IF(COUNT($H790:N790)&gt;Input!$Y$7,0, N790+N822+N854)</f>
        <v>0</v>
      </c>
      <c r="P790" s="115">
        <f>IF(COUNT($H790:O790)&gt;Input!$Y$7,0, O790+O822+O854)</f>
        <v>0</v>
      </c>
      <c r="Q790" s="115">
        <f>IF(COUNT($H790:P790)&gt;Input!$Y$7,0, P790+P822+P854)</f>
        <v>0</v>
      </c>
      <c r="R790" s="115">
        <f>IF(COUNT($H790:Q790)&gt;Input!$Y$7,0, Q790+Q822+Q854)</f>
        <v>0</v>
      </c>
      <c r="S790" s="104"/>
      <c r="T790" s="104"/>
      <c r="U790" s="104"/>
      <c r="V790" s="104"/>
      <c r="W790" s="104"/>
      <c r="X790" s="104"/>
      <c r="Y790" s="104"/>
      <c r="Z790" s="104"/>
      <c r="AA790" s="231"/>
      <c r="AB790" s="231"/>
      <c r="AC790" s="231"/>
      <c r="AD790" s="231"/>
      <c r="AE790" s="231"/>
      <c r="AF790" s="231"/>
      <c r="AG790" s="231"/>
      <c r="AH790" s="231"/>
      <c r="AI790" s="231"/>
      <c r="AJ790" s="231"/>
      <c r="AK790" s="231"/>
      <c r="AL790" s="231"/>
      <c r="AM790" s="231"/>
      <c r="AN790" s="231"/>
      <c r="AO790" s="231"/>
      <c r="AP790" s="231"/>
      <c r="AQ790" s="231"/>
      <c r="AR790" s="231"/>
      <c r="AS790" s="231"/>
      <c r="AT790" s="231"/>
      <c r="AU790" s="231"/>
      <c r="AV790" s="231"/>
      <c r="AW790" s="231"/>
      <c r="AX790" s="231"/>
      <c r="AY790" s="231"/>
      <c r="AZ790" s="231"/>
      <c r="BA790" s="231"/>
      <c r="BB790" s="231"/>
      <c r="BC790" s="231"/>
      <c r="BD790" s="104"/>
      <c r="BE790" s="104"/>
      <c r="BF790" s="104"/>
      <c r="BG790" s="104"/>
      <c r="BH790" s="104"/>
      <c r="BI790" s="104"/>
      <c r="BJ790" s="104"/>
      <c r="BK790" s="12"/>
      <c r="BL790" s="12"/>
    </row>
    <row r="791" spans="1:64" hidden="1" outlineLevel="1">
      <c r="A791" s="9"/>
      <c r="B791" s="9"/>
      <c r="C791" s="44"/>
      <c r="D791" s="271">
        <f>Asset30</f>
        <v>0</v>
      </c>
      <c r="E791" s="9"/>
      <c r="F791" s="9"/>
      <c r="G791" s="204">
        <f>Input!J36</f>
        <v>0</v>
      </c>
      <c r="H791" s="334">
        <f t="shared" si="66"/>
        <v>0</v>
      </c>
      <c r="I791" s="115">
        <f t="shared" si="68"/>
        <v>0</v>
      </c>
      <c r="J791" s="115">
        <f t="shared" si="69"/>
        <v>0</v>
      </c>
      <c r="K791" s="115">
        <f t="shared" si="69"/>
        <v>0</v>
      </c>
      <c r="L791" s="115">
        <f>K791+K823+K855</f>
        <v>0</v>
      </c>
      <c r="M791" s="115">
        <f>L791+L823+L855</f>
        <v>0</v>
      </c>
      <c r="N791" s="115">
        <f>IF(COUNT($H791:M791)&gt;Input!$Y$7,0, M791+M823+M855)</f>
        <v>0</v>
      </c>
      <c r="O791" s="115">
        <f>IF(COUNT($H791:N791)&gt;Input!$Y$7,0, N791+N823+N855)</f>
        <v>0</v>
      </c>
      <c r="P791" s="115">
        <f>IF(COUNT($H791:O791)&gt;Input!$Y$7,0, O791+O823+O855)</f>
        <v>0</v>
      </c>
      <c r="Q791" s="115">
        <f>IF(COUNT($H791:P791)&gt;Input!$Y$7,0, P791+P823+P855)</f>
        <v>0</v>
      </c>
      <c r="R791" s="115">
        <f>IF(COUNT($H791:Q791)&gt;Input!$Y$7,0, Q791+Q823+Q855)</f>
        <v>0</v>
      </c>
      <c r="S791" s="104"/>
      <c r="T791" s="104"/>
      <c r="U791" s="104"/>
      <c r="V791" s="104"/>
      <c r="W791" s="104"/>
      <c r="X791" s="104"/>
      <c r="Y791" s="104"/>
      <c r="Z791" s="104"/>
      <c r="AA791" s="231"/>
      <c r="AB791" s="231"/>
      <c r="AC791" s="231"/>
      <c r="AD791" s="231"/>
      <c r="AE791" s="231"/>
      <c r="AF791" s="231"/>
      <c r="AG791" s="231"/>
      <c r="AH791" s="231"/>
      <c r="AI791" s="231"/>
      <c r="AJ791" s="231"/>
      <c r="AK791" s="231"/>
      <c r="AL791" s="231"/>
      <c r="AM791" s="231"/>
      <c r="AN791" s="231"/>
      <c r="AO791" s="231"/>
      <c r="AP791" s="231"/>
      <c r="AQ791" s="231"/>
      <c r="AR791" s="231"/>
      <c r="AS791" s="231"/>
      <c r="AT791" s="231"/>
      <c r="AU791" s="231"/>
      <c r="AV791" s="231"/>
      <c r="AW791" s="231"/>
      <c r="AX791" s="231"/>
      <c r="AY791" s="231"/>
      <c r="AZ791" s="231"/>
      <c r="BA791" s="231"/>
      <c r="BB791" s="231"/>
      <c r="BC791" s="231"/>
      <c r="BD791" s="104"/>
      <c r="BE791" s="104"/>
      <c r="BF791" s="104"/>
      <c r="BG791" s="104"/>
      <c r="BH791" s="104"/>
      <c r="BI791" s="104"/>
      <c r="BJ791" s="104"/>
      <c r="BK791" s="12"/>
      <c r="BL791" s="12"/>
    </row>
    <row r="792" spans="1:64" collapsed="1">
      <c r="A792" s="9"/>
      <c r="B792" s="9"/>
      <c r="C792" s="44"/>
      <c r="D792" s="271"/>
      <c r="E792" s="9"/>
      <c r="F792" s="9"/>
      <c r="G792" s="282"/>
      <c r="H792" s="35"/>
      <c r="I792" s="35"/>
      <c r="J792" s="35"/>
      <c r="K792" s="35"/>
      <c r="L792" s="35"/>
      <c r="M792" s="35"/>
      <c r="N792" s="29"/>
      <c r="O792" s="29"/>
      <c r="P792" s="29"/>
      <c r="Q792" s="29"/>
      <c r="R792" s="29"/>
      <c r="S792" s="104"/>
      <c r="T792" s="104"/>
      <c r="U792" s="104"/>
      <c r="V792" s="104"/>
      <c r="W792" s="104"/>
      <c r="X792" s="104"/>
      <c r="Y792" s="104"/>
      <c r="Z792" s="104"/>
      <c r="AA792" s="231"/>
      <c r="AB792" s="231"/>
      <c r="AC792" s="231"/>
      <c r="AD792" s="231"/>
      <c r="AE792" s="231"/>
      <c r="AF792" s="231"/>
      <c r="AG792" s="231"/>
      <c r="AH792" s="231"/>
      <c r="AI792" s="231"/>
      <c r="AJ792" s="231"/>
      <c r="AK792" s="231"/>
      <c r="AL792" s="231"/>
      <c r="AM792" s="231"/>
      <c r="AN792" s="231"/>
      <c r="AO792" s="231"/>
      <c r="AP792" s="231"/>
      <c r="AQ792" s="231"/>
      <c r="AR792" s="231"/>
      <c r="AS792" s="231"/>
      <c r="AT792" s="231"/>
      <c r="AU792" s="231"/>
      <c r="AV792" s="231"/>
      <c r="AW792" s="231"/>
      <c r="AX792" s="231"/>
      <c r="AY792" s="231"/>
      <c r="AZ792" s="231"/>
      <c r="BA792" s="231"/>
      <c r="BB792" s="231"/>
      <c r="BC792" s="231"/>
      <c r="BD792" s="104"/>
      <c r="BE792" s="104"/>
      <c r="BF792" s="104"/>
      <c r="BG792" s="104"/>
      <c r="BH792" s="104"/>
      <c r="BI792" s="104"/>
      <c r="BJ792" s="104"/>
      <c r="BK792" s="12"/>
      <c r="BL792" s="12"/>
    </row>
    <row r="793" spans="1:64">
      <c r="A793" s="9"/>
      <c r="B793" s="9"/>
      <c r="C793" s="44" t="s">
        <v>10</v>
      </c>
      <c r="D793" s="9"/>
      <c r="E793" s="9"/>
      <c r="F793" s="9"/>
      <c r="G793" s="205">
        <f>SUM(G794:G823)</f>
        <v>256.13131134785033</v>
      </c>
      <c r="H793" s="35">
        <f>SUM(H794:H823)</f>
        <v>273.82759092251814</v>
      </c>
      <c r="I793" s="35">
        <f t="shared" ref="I793:P793" si="70">SUM(I794:I823)</f>
        <v>319.46355928702627</v>
      </c>
      <c r="J793" s="35">
        <f t="shared" si="70"/>
        <v>379.05562881142396</v>
      </c>
      <c r="K793" s="35">
        <f t="shared" si="70"/>
        <v>400.5282162554243</v>
      </c>
      <c r="L793" s="35">
        <f t="shared" si="70"/>
        <v>366.10899757493087</v>
      </c>
      <c r="M793" s="35">
        <f t="shared" si="70"/>
        <v>0</v>
      </c>
      <c r="N793" s="35">
        <f t="shared" si="70"/>
        <v>0</v>
      </c>
      <c r="O793" s="35">
        <f t="shared" si="70"/>
        <v>0</v>
      </c>
      <c r="P793" s="35">
        <f t="shared" si="70"/>
        <v>0</v>
      </c>
      <c r="Q793" s="35">
        <f>SUM(Q794:Q823)</f>
        <v>0</v>
      </c>
      <c r="R793" s="29"/>
      <c r="S793" s="104"/>
      <c r="T793" s="104"/>
      <c r="U793" s="104"/>
      <c r="V793" s="104"/>
      <c r="W793" s="104"/>
      <c r="X793" s="104"/>
      <c r="Y793" s="104"/>
      <c r="Z793" s="104"/>
      <c r="AA793" s="231"/>
      <c r="AB793" s="231"/>
      <c r="AC793" s="231"/>
      <c r="AD793" s="231"/>
      <c r="AE793" s="231"/>
      <c r="AF793" s="231"/>
      <c r="AG793" s="231"/>
      <c r="AH793" s="231"/>
      <c r="AI793" s="231"/>
      <c r="AJ793" s="231"/>
      <c r="AK793" s="231"/>
      <c r="AL793" s="231"/>
      <c r="AM793" s="231"/>
      <c r="AN793" s="231"/>
      <c r="AO793" s="231"/>
      <c r="AP793" s="231"/>
      <c r="AQ793" s="231"/>
      <c r="AR793" s="231"/>
      <c r="AS793" s="231"/>
      <c r="AT793" s="231"/>
      <c r="AU793" s="231"/>
      <c r="AV793" s="231"/>
      <c r="AW793" s="231"/>
      <c r="AX793" s="231"/>
      <c r="AY793" s="231"/>
      <c r="AZ793" s="231"/>
      <c r="BA793" s="231"/>
      <c r="BB793" s="231"/>
      <c r="BC793" s="231"/>
      <c r="BD793" s="104"/>
      <c r="BE793" s="104"/>
      <c r="BF793" s="104"/>
      <c r="BG793" s="104"/>
      <c r="BH793" s="104"/>
      <c r="BI793" s="104"/>
      <c r="BJ793" s="104"/>
      <c r="BK793" s="12"/>
      <c r="BL793" s="12"/>
    </row>
    <row r="794" spans="1:64" hidden="1" outlineLevel="1">
      <c r="A794" s="9"/>
      <c r="B794" s="9"/>
      <c r="C794" s="44"/>
      <c r="D794" s="271" t="str">
        <f>Asset1</f>
        <v>Subtransmission</v>
      </c>
      <c r="E794" s="9"/>
      <c r="F794" s="9"/>
      <c r="G794" s="207">
        <f>'Adjustment for previous period'!G528</f>
        <v>26.463578654632183</v>
      </c>
      <c r="H794" s="115">
        <f t="shared" ref="H794:Q794" si="71">H44*H$7</f>
        <v>23.303623231324877</v>
      </c>
      <c r="I794" s="115">
        <f t="shared" si="71"/>
        <v>46.378760314540145</v>
      </c>
      <c r="J794" s="115">
        <f t="shared" si="71"/>
        <v>66.655244555600063</v>
      </c>
      <c r="K794" s="115">
        <f t="shared" si="71"/>
        <v>65.988628238562669</v>
      </c>
      <c r="L794" s="115">
        <f t="shared" si="71"/>
        <v>65.82190228729435</v>
      </c>
      <c r="M794" s="115">
        <f t="shared" si="71"/>
        <v>0</v>
      </c>
      <c r="N794" s="115">
        <f t="shared" si="71"/>
        <v>0</v>
      </c>
      <c r="O794" s="115">
        <f t="shared" si="71"/>
        <v>0</v>
      </c>
      <c r="P794" s="115">
        <f t="shared" si="71"/>
        <v>0</v>
      </c>
      <c r="Q794" s="115">
        <f t="shared" si="71"/>
        <v>0</v>
      </c>
      <c r="R794" s="29"/>
      <c r="S794" s="104"/>
      <c r="T794" s="104"/>
      <c r="U794" s="104"/>
      <c r="V794" s="104"/>
      <c r="W794" s="104"/>
      <c r="X794" s="104"/>
      <c r="Y794" s="104"/>
      <c r="Z794" s="104"/>
      <c r="AA794" s="231"/>
      <c r="AB794" s="231"/>
      <c r="AC794" s="231"/>
      <c r="AD794" s="231"/>
      <c r="AE794" s="231"/>
      <c r="AF794" s="231"/>
      <c r="AG794" s="231"/>
      <c r="AH794" s="231"/>
      <c r="AI794" s="231"/>
      <c r="AJ794" s="231"/>
      <c r="AK794" s="231"/>
      <c r="AL794" s="231"/>
      <c r="AM794" s="231"/>
      <c r="AN794" s="231"/>
      <c r="AO794" s="231"/>
      <c r="AP794" s="231"/>
      <c r="AQ794" s="231"/>
      <c r="AR794" s="231"/>
      <c r="AS794" s="231"/>
      <c r="AT794" s="231"/>
      <c r="AU794" s="231"/>
      <c r="AV794" s="231"/>
      <c r="AW794" s="231"/>
      <c r="AX794" s="231"/>
      <c r="AY794" s="231"/>
      <c r="AZ794" s="231"/>
      <c r="BA794" s="231"/>
      <c r="BB794" s="231"/>
      <c r="BC794" s="231"/>
      <c r="BD794" s="104"/>
      <c r="BE794" s="104"/>
      <c r="BF794" s="104"/>
      <c r="BG794" s="104"/>
      <c r="BH794" s="104"/>
      <c r="BI794" s="104"/>
      <c r="BJ794" s="104"/>
      <c r="BK794" s="12"/>
      <c r="BL794" s="12"/>
    </row>
    <row r="795" spans="1:64" hidden="1" outlineLevel="1">
      <c r="A795" s="9"/>
      <c r="B795" s="9"/>
      <c r="C795" s="44"/>
      <c r="D795" s="271" t="str">
        <f>Asset2</f>
        <v>Distribution system assets</v>
      </c>
      <c r="E795" s="9"/>
      <c r="F795" s="9"/>
      <c r="G795" s="207">
        <f>'Adjustment for previous period'!G529</f>
        <v>172.58288269321812</v>
      </c>
      <c r="H795" s="115">
        <f t="shared" ref="H795:Q795" si="72">H45*H$7</f>
        <v>193.59505286296888</v>
      </c>
      <c r="I795" s="115">
        <f t="shared" si="72"/>
        <v>215.07213538798695</v>
      </c>
      <c r="J795" s="115">
        <f t="shared" si="72"/>
        <v>252.19913275839346</v>
      </c>
      <c r="K795" s="115">
        <f t="shared" si="72"/>
        <v>294.62750465602994</v>
      </c>
      <c r="L795" s="115">
        <f t="shared" si="72"/>
        <v>274.33470113397988</v>
      </c>
      <c r="M795" s="115">
        <f t="shared" si="72"/>
        <v>0</v>
      </c>
      <c r="N795" s="115">
        <f t="shared" si="72"/>
        <v>0</v>
      </c>
      <c r="O795" s="115">
        <f t="shared" si="72"/>
        <v>0</v>
      </c>
      <c r="P795" s="115">
        <f t="shared" si="72"/>
        <v>0</v>
      </c>
      <c r="Q795" s="115">
        <f t="shared" si="72"/>
        <v>0</v>
      </c>
      <c r="R795" s="29"/>
      <c r="S795" s="104"/>
      <c r="T795" s="104"/>
      <c r="U795" s="104"/>
      <c r="V795" s="104"/>
      <c r="W795" s="104"/>
      <c r="X795" s="104"/>
      <c r="Y795" s="104"/>
      <c r="Z795" s="104"/>
      <c r="AA795" s="231"/>
      <c r="AB795" s="231"/>
      <c r="AC795" s="231"/>
      <c r="AD795" s="231"/>
      <c r="AE795" s="231"/>
      <c r="AF795" s="231"/>
      <c r="AG795" s="231"/>
      <c r="AH795" s="231"/>
      <c r="AI795" s="231"/>
      <c r="AJ795" s="231"/>
      <c r="AK795" s="231"/>
      <c r="AL795" s="231"/>
      <c r="AM795" s="231"/>
      <c r="AN795" s="231"/>
      <c r="AO795" s="231"/>
      <c r="AP795" s="231"/>
      <c r="AQ795" s="231"/>
      <c r="AR795" s="231"/>
      <c r="AS795" s="231"/>
      <c r="AT795" s="231"/>
      <c r="AU795" s="231"/>
      <c r="AV795" s="231"/>
      <c r="AW795" s="231"/>
      <c r="AX795" s="231"/>
      <c r="AY795" s="231"/>
      <c r="AZ795" s="231"/>
      <c r="BA795" s="231"/>
      <c r="BB795" s="231"/>
      <c r="BC795" s="231"/>
      <c r="BD795" s="104"/>
      <c r="BE795" s="104"/>
      <c r="BF795" s="104"/>
      <c r="BG795" s="104"/>
      <c r="BH795" s="104"/>
      <c r="BI795" s="104"/>
      <c r="BJ795" s="104"/>
      <c r="BK795" s="12"/>
      <c r="BL795" s="12"/>
    </row>
    <row r="796" spans="1:64" hidden="1" outlineLevel="1">
      <c r="A796" s="9"/>
      <c r="B796" s="9"/>
      <c r="C796" s="44"/>
      <c r="D796" s="271" t="str">
        <f>Asset3</f>
        <v>Standard metering</v>
      </c>
      <c r="E796" s="9"/>
      <c r="F796" s="9"/>
      <c r="G796" s="207">
        <f>'Adjustment for previous period'!G530</f>
        <v>0</v>
      </c>
      <c r="H796" s="115">
        <f t="shared" ref="H796:Q796" si="73">H46*H$7</f>
        <v>0</v>
      </c>
      <c r="I796" s="115">
        <f t="shared" si="73"/>
        <v>0</v>
      </c>
      <c r="J796" s="115">
        <f t="shared" si="73"/>
        <v>0</v>
      </c>
      <c r="K796" s="115">
        <f t="shared" si="73"/>
        <v>0</v>
      </c>
      <c r="L796" s="115">
        <f t="shared" si="73"/>
        <v>0</v>
      </c>
      <c r="M796" s="115">
        <f t="shared" si="73"/>
        <v>0</v>
      </c>
      <c r="N796" s="115">
        <f t="shared" si="73"/>
        <v>0</v>
      </c>
      <c r="O796" s="115">
        <f t="shared" si="73"/>
        <v>0</v>
      </c>
      <c r="P796" s="115">
        <f t="shared" si="73"/>
        <v>0</v>
      </c>
      <c r="Q796" s="115">
        <f t="shared" si="73"/>
        <v>0</v>
      </c>
      <c r="R796" s="29"/>
      <c r="S796" s="104"/>
      <c r="T796" s="104"/>
      <c r="U796" s="104"/>
      <c r="V796" s="104"/>
      <c r="W796" s="104"/>
      <c r="X796" s="104"/>
      <c r="Y796" s="104"/>
      <c r="Z796" s="104"/>
      <c r="AA796" s="231"/>
      <c r="AB796" s="231"/>
      <c r="AC796" s="231"/>
      <c r="AD796" s="231"/>
      <c r="AE796" s="231"/>
      <c r="AF796" s="231"/>
      <c r="AG796" s="231"/>
      <c r="AH796" s="231"/>
      <c r="AI796" s="231"/>
      <c r="AJ796" s="231"/>
      <c r="AK796" s="231"/>
      <c r="AL796" s="231"/>
      <c r="AM796" s="231"/>
      <c r="AN796" s="231"/>
      <c r="AO796" s="231"/>
      <c r="AP796" s="231"/>
      <c r="AQ796" s="231"/>
      <c r="AR796" s="231"/>
      <c r="AS796" s="231"/>
      <c r="AT796" s="231"/>
      <c r="AU796" s="231"/>
      <c r="AV796" s="231"/>
      <c r="AW796" s="231"/>
      <c r="AX796" s="231"/>
      <c r="AY796" s="231"/>
      <c r="AZ796" s="231"/>
      <c r="BA796" s="231"/>
      <c r="BB796" s="231"/>
      <c r="BC796" s="231"/>
      <c r="BD796" s="104"/>
      <c r="BE796" s="104"/>
      <c r="BF796" s="104"/>
      <c r="BG796" s="104"/>
      <c r="BH796" s="104"/>
      <c r="BI796" s="104"/>
      <c r="BJ796" s="104"/>
      <c r="BK796" s="12"/>
      <c r="BL796" s="12"/>
    </row>
    <row r="797" spans="1:64" hidden="1" outlineLevel="1">
      <c r="A797" s="9"/>
      <c r="B797" s="9"/>
      <c r="C797" s="44"/>
      <c r="D797" s="271" t="str">
        <f>Asset4</f>
        <v>Public lighting</v>
      </c>
      <c r="E797" s="9"/>
      <c r="F797" s="9"/>
      <c r="G797" s="207">
        <f>'Adjustment for previous period'!G531</f>
        <v>0</v>
      </c>
      <c r="H797" s="115">
        <f t="shared" ref="H797:Q797" si="74">H47*H$7</f>
        <v>0</v>
      </c>
      <c r="I797" s="115">
        <f t="shared" si="74"/>
        <v>0</v>
      </c>
      <c r="J797" s="115">
        <f t="shared" si="74"/>
        <v>0</v>
      </c>
      <c r="K797" s="115">
        <f t="shared" si="74"/>
        <v>0</v>
      </c>
      <c r="L797" s="115">
        <f t="shared" si="74"/>
        <v>0</v>
      </c>
      <c r="M797" s="115">
        <f t="shared" si="74"/>
        <v>0</v>
      </c>
      <c r="N797" s="115">
        <f t="shared" si="74"/>
        <v>0</v>
      </c>
      <c r="O797" s="115">
        <f t="shared" si="74"/>
        <v>0</v>
      </c>
      <c r="P797" s="115">
        <f t="shared" si="74"/>
        <v>0</v>
      </c>
      <c r="Q797" s="115">
        <f t="shared" si="74"/>
        <v>0</v>
      </c>
      <c r="R797" s="29"/>
      <c r="S797" s="104"/>
      <c r="T797" s="104"/>
      <c r="U797" s="104"/>
      <c r="V797" s="104"/>
      <c r="W797" s="104"/>
      <c r="X797" s="104"/>
      <c r="Y797" s="104"/>
      <c r="Z797" s="104"/>
      <c r="AA797" s="231"/>
      <c r="AB797" s="231"/>
      <c r="AC797" s="231"/>
      <c r="AD797" s="231"/>
      <c r="AE797" s="231"/>
      <c r="AF797" s="231"/>
      <c r="AG797" s="231"/>
      <c r="AH797" s="231"/>
      <c r="AI797" s="231"/>
      <c r="AJ797" s="231"/>
      <c r="AK797" s="231"/>
      <c r="AL797" s="231"/>
      <c r="AM797" s="231"/>
      <c r="AN797" s="231"/>
      <c r="AO797" s="231"/>
      <c r="AP797" s="231"/>
      <c r="AQ797" s="231"/>
      <c r="AR797" s="231"/>
      <c r="AS797" s="231"/>
      <c r="AT797" s="231"/>
      <c r="AU797" s="231"/>
      <c r="AV797" s="231"/>
      <c r="AW797" s="231"/>
      <c r="AX797" s="231"/>
      <c r="AY797" s="231"/>
      <c r="AZ797" s="231"/>
      <c r="BA797" s="231"/>
      <c r="BB797" s="231"/>
      <c r="BC797" s="231"/>
      <c r="BD797" s="104"/>
      <c r="BE797" s="104"/>
      <c r="BF797" s="104"/>
      <c r="BG797" s="104"/>
      <c r="BH797" s="104"/>
      <c r="BI797" s="104"/>
      <c r="BJ797" s="104"/>
      <c r="BK797" s="12"/>
      <c r="BL797" s="12"/>
    </row>
    <row r="798" spans="1:64" hidden="1" outlineLevel="1">
      <c r="A798" s="9"/>
      <c r="B798" s="9"/>
      <c r="C798" s="44"/>
      <c r="D798" s="271" t="str">
        <f>Asset5</f>
        <v>SCADA/Network control</v>
      </c>
      <c r="E798" s="9"/>
      <c r="F798" s="9"/>
      <c r="G798" s="207">
        <f>'Adjustment for previous period'!G532</f>
        <v>1.96</v>
      </c>
      <c r="H798" s="115">
        <f t="shared" ref="H798:Q798" si="75">H48*H$7</f>
        <v>1.3307440827500228</v>
      </c>
      <c r="I798" s="115">
        <f t="shared" si="75"/>
        <v>6.2235364165212346</v>
      </c>
      <c r="J798" s="115">
        <f t="shared" si="75"/>
        <v>2.0111157645861524</v>
      </c>
      <c r="K798" s="115">
        <f t="shared" si="75"/>
        <v>0.76939414652789528</v>
      </c>
      <c r="L798" s="115">
        <f t="shared" si="75"/>
        <v>3.0482079713681767</v>
      </c>
      <c r="M798" s="115">
        <f t="shared" si="75"/>
        <v>0</v>
      </c>
      <c r="N798" s="115">
        <f t="shared" si="75"/>
        <v>0</v>
      </c>
      <c r="O798" s="115">
        <f t="shared" si="75"/>
        <v>0</v>
      </c>
      <c r="P798" s="115">
        <f t="shared" si="75"/>
        <v>0</v>
      </c>
      <c r="Q798" s="115">
        <f t="shared" si="75"/>
        <v>0</v>
      </c>
      <c r="R798" s="29"/>
      <c r="S798" s="104"/>
      <c r="T798" s="104"/>
      <c r="U798" s="104"/>
      <c r="V798" s="104"/>
      <c r="W798" s="104"/>
      <c r="X798" s="104"/>
      <c r="Y798" s="104"/>
      <c r="Z798" s="104"/>
      <c r="AA798" s="231"/>
      <c r="AB798" s="231"/>
      <c r="AC798" s="231"/>
      <c r="AD798" s="231"/>
      <c r="AE798" s="231"/>
      <c r="AF798" s="231"/>
      <c r="AG798" s="231"/>
      <c r="AH798" s="231"/>
      <c r="AI798" s="231"/>
      <c r="AJ798" s="231"/>
      <c r="AK798" s="231"/>
      <c r="AL798" s="231"/>
      <c r="AM798" s="231"/>
      <c r="AN798" s="231"/>
      <c r="AO798" s="231"/>
      <c r="AP798" s="231"/>
      <c r="AQ798" s="231"/>
      <c r="AR798" s="231"/>
      <c r="AS798" s="231"/>
      <c r="AT798" s="231"/>
      <c r="AU798" s="231"/>
      <c r="AV798" s="231"/>
      <c r="AW798" s="231"/>
      <c r="AX798" s="231"/>
      <c r="AY798" s="231"/>
      <c r="AZ798" s="231"/>
      <c r="BA798" s="231"/>
      <c r="BB798" s="231"/>
      <c r="BC798" s="231"/>
      <c r="BD798" s="104"/>
      <c r="BE798" s="104"/>
      <c r="BF798" s="104"/>
      <c r="BG798" s="104"/>
      <c r="BH798" s="104"/>
      <c r="BI798" s="104"/>
      <c r="BJ798" s="104"/>
      <c r="BK798" s="12"/>
      <c r="BL798" s="12"/>
    </row>
    <row r="799" spans="1:64" hidden="1" outlineLevel="1">
      <c r="A799" s="9"/>
      <c r="B799" s="9"/>
      <c r="C799" s="44"/>
      <c r="D799" s="271" t="str">
        <f>Asset6</f>
        <v>Non-network general assets - IT</v>
      </c>
      <c r="E799" s="9"/>
      <c r="F799" s="9"/>
      <c r="G799" s="207">
        <f>'Adjustment for previous period'!G533</f>
        <v>48.754849999999998</v>
      </c>
      <c r="H799" s="115">
        <f t="shared" ref="H799:Q799" si="76">H49*H$7</f>
        <v>48.88963050469534</v>
      </c>
      <c r="I799" s="115">
        <f t="shared" si="76"/>
        <v>47.902560628477289</v>
      </c>
      <c r="J799" s="115">
        <f t="shared" si="76"/>
        <v>52.452763589315062</v>
      </c>
      <c r="K799" s="115">
        <f t="shared" si="76"/>
        <v>34.528761120489946</v>
      </c>
      <c r="L799" s="115">
        <f t="shared" si="76"/>
        <v>20.378165210085136</v>
      </c>
      <c r="M799" s="115">
        <f t="shared" si="76"/>
        <v>0</v>
      </c>
      <c r="N799" s="115">
        <f t="shared" si="76"/>
        <v>0</v>
      </c>
      <c r="O799" s="115">
        <f t="shared" si="76"/>
        <v>0</v>
      </c>
      <c r="P799" s="115">
        <f t="shared" si="76"/>
        <v>0</v>
      </c>
      <c r="Q799" s="115">
        <f t="shared" si="76"/>
        <v>0</v>
      </c>
      <c r="R799" s="29"/>
      <c r="S799" s="104"/>
      <c r="T799" s="104"/>
      <c r="U799" s="104"/>
      <c r="V799" s="104"/>
      <c r="W799" s="104"/>
      <c r="X799" s="104"/>
      <c r="Y799" s="104"/>
      <c r="Z799" s="104"/>
      <c r="AA799" s="231"/>
      <c r="AB799" s="231"/>
      <c r="AC799" s="231"/>
      <c r="AD799" s="231"/>
      <c r="AE799" s="231"/>
      <c r="AF799" s="231"/>
      <c r="AG799" s="231"/>
      <c r="AH799" s="231"/>
      <c r="AI799" s="231"/>
      <c r="AJ799" s="231"/>
      <c r="AK799" s="231"/>
      <c r="AL799" s="231"/>
      <c r="AM799" s="231"/>
      <c r="AN799" s="231"/>
      <c r="AO799" s="231"/>
      <c r="AP799" s="231"/>
      <c r="AQ799" s="231"/>
      <c r="AR799" s="231"/>
      <c r="AS799" s="231"/>
      <c r="AT799" s="231"/>
      <c r="AU799" s="231"/>
      <c r="AV799" s="231"/>
      <c r="AW799" s="231"/>
      <c r="AX799" s="231"/>
      <c r="AY799" s="231"/>
      <c r="AZ799" s="231"/>
      <c r="BA799" s="231"/>
      <c r="BB799" s="231"/>
      <c r="BC799" s="231"/>
      <c r="BD799" s="104"/>
      <c r="BE799" s="104"/>
      <c r="BF799" s="104"/>
      <c r="BG799" s="104"/>
      <c r="BH799" s="104"/>
      <c r="BI799" s="104"/>
      <c r="BJ799" s="104"/>
      <c r="BK799" s="12"/>
      <c r="BL799" s="12"/>
    </row>
    <row r="800" spans="1:64" hidden="1" outlineLevel="1">
      <c r="A800" s="9"/>
      <c r="B800" s="9"/>
      <c r="C800" s="44"/>
      <c r="D800" s="271" t="str">
        <f>Asset7</f>
        <v>Non-network general assets - Other</v>
      </c>
      <c r="E800" s="9"/>
      <c r="F800" s="9"/>
      <c r="G800" s="207">
        <f>'Adjustment for previous period'!G534</f>
        <v>6.37</v>
      </c>
      <c r="H800" s="115">
        <f t="shared" ref="H800:Q800" si="77">H50*H$7</f>
        <v>5.1531960739867975</v>
      </c>
      <c r="I800" s="115">
        <f t="shared" si="77"/>
        <v>3.8865665395006244</v>
      </c>
      <c r="J800" s="115">
        <f t="shared" si="77"/>
        <v>5.7373721435292522</v>
      </c>
      <c r="K800" s="115">
        <f t="shared" si="77"/>
        <v>4.613928093813831</v>
      </c>
      <c r="L800" s="115">
        <f t="shared" si="77"/>
        <v>2.5260209722033289</v>
      </c>
      <c r="M800" s="115">
        <f t="shared" si="77"/>
        <v>0</v>
      </c>
      <c r="N800" s="115">
        <f t="shared" si="77"/>
        <v>0</v>
      </c>
      <c r="O800" s="115">
        <f t="shared" si="77"/>
        <v>0</v>
      </c>
      <c r="P800" s="115">
        <f t="shared" si="77"/>
        <v>0</v>
      </c>
      <c r="Q800" s="115">
        <f t="shared" si="77"/>
        <v>0</v>
      </c>
      <c r="R800" s="29"/>
      <c r="S800" s="104"/>
      <c r="T800" s="104"/>
      <c r="U800" s="104"/>
      <c r="V800" s="104"/>
      <c r="W800" s="104"/>
      <c r="X800" s="104"/>
      <c r="Y800" s="104"/>
      <c r="Z800" s="104"/>
      <c r="AA800" s="231"/>
      <c r="AB800" s="231"/>
      <c r="AC800" s="231"/>
      <c r="AD800" s="231"/>
      <c r="AE800" s="231"/>
      <c r="AF800" s="231"/>
      <c r="AG800" s="231"/>
      <c r="AH800" s="231"/>
      <c r="AI800" s="231"/>
      <c r="AJ800" s="231"/>
      <c r="AK800" s="231"/>
      <c r="AL800" s="231"/>
      <c r="AM800" s="231"/>
      <c r="AN800" s="231"/>
      <c r="AO800" s="231"/>
      <c r="AP800" s="231"/>
      <c r="AQ800" s="231"/>
      <c r="AR800" s="231"/>
      <c r="AS800" s="231"/>
      <c r="AT800" s="231"/>
      <c r="AU800" s="231"/>
      <c r="AV800" s="231"/>
      <c r="AW800" s="231"/>
      <c r="AX800" s="231"/>
      <c r="AY800" s="231"/>
      <c r="AZ800" s="231"/>
      <c r="BA800" s="231"/>
      <c r="BB800" s="231"/>
      <c r="BC800" s="231"/>
      <c r="BD800" s="104"/>
      <c r="BE800" s="104"/>
      <c r="BF800" s="104"/>
      <c r="BG800" s="104"/>
      <c r="BH800" s="104"/>
      <c r="BI800" s="104"/>
      <c r="BJ800" s="104"/>
      <c r="BK800" s="12"/>
      <c r="BL800" s="12"/>
    </row>
    <row r="801" spans="1:64" hidden="1" outlineLevel="1">
      <c r="A801" s="9"/>
      <c r="B801" s="9"/>
      <c r="C801" s="44"/>
      <c r="D801" s="271" t="str">
        <f>Asset8</f>
        <v>Equity Raising Costs</v>
      </c>
      <c r="E801" s="9"/>
      <c r="F801" s="9"/>
      <c r="G801" s="207">
        <f>'Adjustment for previous period'!G535</f>
        <v>0</v>
      </c>
      <c r="H801" s="115">
        <f t="shared" ref="H801:Q801" si="78">H51*H$7</f>
        <v>1.5553441667922454</v>
      </c>
      <c r="I801" s="115">
        <f t="shared" si="78"/>
        <v>0</v>
      </c>
      <c r="J801" s="115">
        <f t="shared" si="78"/>
        <v>0</v>
      </c>
      <c r="K801" s="115">
        <f t="shared" si="78"/>
        <v>0</v>
      </c>
      <c r="L801" s="115">
        <f t="shared" si="78"/>
        <v>0</v>
      </c>
      <c r="M801" s="115">
        <f t="shared" si="78"/>
        <v>0</v>
      </c>
      <c r="N801" s="115">
        <f t="shared" si="78"/>
        <v>0</v>
      </c>
      <c r="O801" s="115">
        <f t="shared" si="78"/>
        <v>0</v>
      </c>
      <c r="P801" s="115">
        <f t="shared" si="78"/>
        <v>0</v>
      </c>
      <c r="Q801" s="115">
        <f t="shared" si="78"/>
        <v>0</v>
      </c>
      <c r="R801" s="29"/>
      <c r="S801" s="104"/>
      <c r="T801" s="104"/>
      <c r="U801" s="104"/>
      <c r="V801" s="104"/>
      <c r="W801" s="104"/>
      <c r="X801" s="104"/>
      <c r="Y801" s="104"/>
      <c r="Z801" s="104"/>
      <c r="AA801" s="231"/>
      <c r="AB801" s="231"/>
      <c r="AC801" s="231"/>
      <c r="AD801" s="231"/>
      <c r="AE801" s="231"/>
      <c r="AF801" s="231"/>
      <c r="AG801" s="231"/>
      <c r="AH801" s="231"/>
      <c r="AI801" s="231"/>
      <c r="AJ801" s="231"/>
      <c r="AK801" s="231"/>
      <c r="AL801" s="231"/>
      <c r="AM801" s="231"/>
      <c r="AN801" s="231"/>
      <c r="AO801" s="231"/>
      <c r="AP801" s="231"/>
      <c r="AQ801" s="231"/>
      <c r="AR801" s="231"/>
      <c r="AS801" s="231"/>
      <c r="AT801" s="231"/>
      <c r="AU801" s="231"/>
      <c r="AV801" s="231"/>
      <c r="AW801" s="231"/>
      <c r="AX801" s="231"/>
      <c r="AY801" s="231"/>
      <c r="AZ801" s="231"/>
      <c r="BA801" s="231"/>
      <c r="BB801" s="231"/>
      <c r="BC801" s="231"/>
      <c r="BD801" s="104"/>
      <c r="BE801" s="104"/>
      <c r="BF801" s="104"/>
      <c r="BG801" s="104"/>
      <c r="BH801" s="104"/>
      <c r="BI801" s="104"/>
      <c r="BJ801" s="104"/>
      <c r="BK801" s="12"/>
      <c r="BL801" s="12"/>
    </row>
    <row r="802" spans="1:64" hidden="1" outlineLevel="1">
      <c r="A802" s="9"/>
      <c r="B802" s="9"/>
      <c r="C802" s="44"/>
      <c r="D802" s="271">
        <f>Asset9</f>
        <v>0</v>
      </c>
      <c r="E802" s="9"/>
      <c r="F802" s="9"/>
      <c r="G802" s="207">
        <f>'Adjustment for previous period'!G536</f>
        <v>0</v>
      </c>
      <c r="H802" s="115">
        <f t="shared" ref="H802:Q802" si="79">H52*H$7</f>
        <v>0</v>
      </c>
      <c r="I802" s="115">
        <f t="shared" si="79"/>
        <v>0</v>
      </c>
      <c r="J802" s="115">
        <f t="shared" si="79"/>
        <v>0</v>
      </c>
      <c r="K802" s="115">
        <f t="shared" si="79"/>
        <v>0</v>
      </c>
      <c r="L802" s="115">
        <f t="shared" si="79"/>
        <v>0</v>
      </c>
      <c r="M802" s="115">
        <f t="shared" si="79"/>
        <v>0</v>
      </c>
      <c r="N802" s="115">
        <f t="shared" si="79"/>
        <v>0</v>
      </c>
      <c r="O802" s="115">
        <f t="shared" si="79"/>
        <v>0</v>
      </c>
      <c r="P802" s="115">
        <f t="shared" si="79"/>
        <v>0</v>
      </c>
      <c r="Q802" s="115">
        <f t="shared" si="79"/>
        <v>0</v>
      </c>
      <c r="R802" s="29"/>
      <c r="S802" s="104"/>
      <c r="T802" s="104"/>
      <c r="U802" s="104"/>
      <c r="V802" s="104"/>
      <c r="W802" s="104"/>
      <c r="X802" s="104"/>
      <c r="Y802" s="104"/>
      <c r="Z802" s="104"/>
      <c r="AA802" s="231"/>
      <c r="AB802" s="231"/>
      <c r="AC802" s="231"/>
      <c r="AD802" s="231"/>
      <c r="AE802" s="231"/>
      <c r="AF802" s="231"/>
      <c r="AG802" s="231"/>
      <c r="AH802" s="231"/>
      <c r="AI802" s="231"/>
      <c r="AJ802" s="231"/>
      <c r="AK802" s="231"/>
      <c r="AL802" s="231"/>
      <c r="AM802" s="231"/>
      <c r="AN802" s="231"/>
      <c r="AO802" s="231"/>
      <c r="AP802" s="231"/>
      <c r="AQ802" s="231"/>
      <c r="AR802" s="231"/>
      <c r="AS802" s="231"/>
      <c r="AT802" s="231"/>
      <c r="AU802" s="231"/>
      <c r="AV802" s="231"/>
      <c r="AW802" s="231"/>
      <c r="AX802" s="231"/>
      <c r="AY802" s="231"/>
      <c r="AZ802" s="231"/>
      <c r="BA802" s="231"/>
      <c r="BB802" s="231"/>
      <c r="BC802" s="231"/>
      <c r="BD802" s="104"/>
      <c r="BE802" s="104"/>
      <c r="BF802" s="104"/>
      <c r="BG802" s="104"/>
      <c r="BH802" s="104"/>
      <c r="BI802" s="104"/>
      <c r="BJ802" s="104"/>
      <c r="BK802" s="12"/>
      <c r="BL802" s="12"/>
    </row>
    <row r="803" spans="1:64" hidden="1" outlineLevel="1">
      <c r="A803" s="9"/>
      <c r="B803" s="9"/>
      <c r="C803" s="44"/>
      <c r="D803" s="271">
        <f>Asset10</f>
        <v>0</v>
      </c>
      <c r="E803" s="9"/>
      <c r="F803" s="9"/>
      <c r="G803" s="207">
        <f>'Adjustment for previous period'!G537</f>
        <v>0</v>
      </c>
      <c r="H803" s="115">
        <f t="shared" ref="H803:Q803" si="80">H53*H$7</f>
        <v>0</v>
      </c>
      <c r="I803" s="115">
        <f t="shared" si="80"/>
        <v>0</v>
      </c>
      <c r="J803" s="115">
        <f t="shared" si="80"/>
        <v>0</v>
      </c>
      <c r="K803" s="115">
        <f t="shared" si="80"/>
        <v>0</v>
      </c>
      <c r="L803" s="115">
        <f t="shared" si="80"/>
        <v>0</v>
      </c>
      <c r="M803" s="115">
        <f t="shared" si="80"/>
        <v>0</v>
      </c>
      <c r="N803" s="115">
        <f t="shared" si="80"/>
        <v>0</v>
      </c>
      <c r="O803" s="115">
        <f t="shared" si="80"/>
        <v>0</v>
      </c>
      <c r="P803" s="115">
        <f t="shared" si="80"/>
        <v>0</v>
      </c>
      <c r="Q803" s="115">
        <f t="shared" si="80"/>
        <v>0</v>
      </c>
      <c r="R803" s="29"/>
      <c r="S803" s="104"/>
      <c r="T803" s="104"/>
      <c r="U803" s="104"/>
      <c r="V803" s="104"/>
      <c r="W803" s="104"/>
      <c r="X803" s="104"/>
      <c r="Y803" s="104"/>
      <c r="Z803" s="104"/>
      <c r="AA803" s="231"/>
      <c r="AB803" s="231"/>
      <c r="AC803" s="231"/>
      <c r="AD803" s="231"/>
      <c r="AE803" s="231"/>
      <c r="AF803" s="231"/>
      <c r="AG803" s="231"/>
      <c r="AH803" s="231"/>
      <c r="AI803" s="231"/>
      <c r="AJ803" s="231"/>
      <c r="AK803" s="231"/>
      <c r="AL803" s="231"/>
      <c r="AM803" s="231"/>
      <c r="AN803" s="231"/>
      <c r="AO803" s="231"/>
      <c r="AP803" s="231"/>
      <c r="AQ803" s="231"/>
      <c r="AR803" s="231"/>
      <c r="AS803" s="231"/>
      <c r="AT803" s="231"/>
      <c r="AU803" s="231"/>
      <c r="AV803" s="231"/>
      <c r="AW803" s="231"/>
      <c r="AX803" s="231"/>
      <c r="AY803" s="231"/>
      <c r="AZ803" s="231"/>
      <c r="BA803" s="231"/>
      <c r="BB803" s="231"/>
      <c r="BC803" s="231"/>
      <c r="BD803" s="104"/>
      <c r="BE803" s="104"/>
      <c r="BF803" s="104"/>
      <c r="BG803" s="104"/>
      <c r="BH803" s="104"/>
      <c r="BI803" s="104"/>
      <c r="BJ803" s="104"/>
      <c r="BK803" s="12"/>
      <c r="BL803" s="12"/>
    </row>
    <row r="804" spans="1:64" hidden="1" outlineLevel="1">
      <c r="A804" s="9"/>
      <c r="B804" s="9"/>
      <c r="C804" s="44"/>
      <c r="D804" s="271">
        <f>Asset11</f>
        <v>0</v>
      </c>
      <c r="E804" s="9"/>
      <c r="F804" s="9"/>
      <c r="G804" s="207">
        <f>'Adjustment for previous period'!G538</f>
        <v>0</v>
      </c>
      <c r="H804" s="115">
        <f t="shared" ref="H804:Q804" si="81">H54*H$7</f>
        <v>0</v>
      </c>
      <c r="I804" s="115">
        <f t="shared" si="81"/>
        <v>0</v>
      </c>
      <c r="J804" s="115">
        <f t="shared" si="81"/>
        <v>0</v>
      </c>
      <c r="K804" s="115">
        <f t="shared" si="81"/>
        <v>0</v>
      </c>
      <c r="L804" s="115">
        <f t="shared" si="81"/>
        <v>0</v>
      </c>
      <c r="M804" s="115">
        <f t="shared" si="81"/>
        <v>0</v>
      </c>
      <c r="N804" s="115">
        <f t="shared" si="81"/>
        <v>0</v>
      </c>
      <c r="O804" s="115">
        <f t="shared" si="81"/>
        <v>0</v>
      </c>
      <c r="P804" s="115">
        <f t="shared" si="81"/>
        <v>0</v>
      </c>
      <c r="Q804" s="115">
        <f t="shared" si="81"/>
        <v>0</v>
      </c>
      <c r="R804" s="29"/>
      <c r="S804" s="104"/>
      <c r="T804" s="104"/>
      <c r="U804" s="104"/>
      <c r="V804" s="104"/>
      <c r="W804" s="104"/>
      <c r="X804" s="104"/>
      <c r="Y804" s="104"/>
      <c r="Z804" s="104"/>
      <c r="AA804" s="231"/>
      <c r="AB804" s="231"/>
      <c r="AC804" s="231"/>
      <c r="AD804" s="231"/>
      <c r="AE804" s="231"/>
      <c r="AF804" s="231"/>
      <c r="AG804" s="231"/>
      <c r="AH804" s="231"/>
      <c r="AI804" s="231"/>
      <c r="AJ804" s="231"/>
      <c r="AK804" s="231"/>
      <c r="AL804" s="231"/>
      <c r="AM804" s="231"/>
      <c r="AN804" s="231"/>
      <c r="AO804" s="231"/>
      <c r="AP804" s="231"/>
      <c r="AQ804" s="231"/>
      <c r="AR804" s="231"/>
      <c r="AS804" s="231"/>
      <c r="AT804" s="231"/>
      <c r="AU804" s="231"/>
      <c r="AV804" s="231"/>
      <c r="AW804" s="231"/>
      <c r="AX804" s="231"/>
      <c r="AY804" s="231"/>
      <c r="AZ804" s="231"/>
      <c r="BA804" s="231"/>
      <c r="BB804" s="231"/>
      <c r="BC804" s="231"/>
      <c r="BD804" s="104"/>
      <c r="BE804" s="104"/>
      <c r="BF804" s="104"/>
      <c r="BG804" s="104"/>
      <c r="BH804" s="104"/>
      <c r="BI804" s="104"/>
      <c r="BJ804" s="104"/>
      <c r="BK804" s="12"/>
      <c r="BL804" s="12"/>
    </row>
    <row r="805" spans="1:64" hidden="1" outlineLevel="1">
      <c r="A805" s="9"/>
      <c r="B805" s="9"/>
      <c r="C805" s="44"/>
      <c r="D805" s="271">
        <f>Asset12</f>
        <v>0</v>
      </c>
      <c r="E805" s="9"/>
      <c r="F805" s="9"/>
      <c r="G805" s="207">
        <f>'Adjustment for previous period'!G539</f>
        <v>0</v>
      </c>
      <c r="H805" s="115">
        <f t="shared" ref="H805:Q805" si="82">H55*H$7</f>
        <v>0</v>
      </c>
      <c r="I805" s="115">
        <f t="shared" si="82"/>
        <v>0</v>
      </c>
      <c r="J805" s="115">
        <f t="shared" si="82"/>
        <v>0</v>
      </c>
      <c r="K805" s="115">
        <f t="shared" si="82"/>
        <v>0</v>
      </c>
      <c r="L805" s="115">
        <f t="shared" si="82"/>
        <v>0</v>
      </c>
      <c r="M805" s="115">
        <f t="shared" si="82"/>
        <v>0</v>
      </c>
      <c r="N805" s="115">
        <f t="shared" si="82"/>
        <v>0</v>
      </c>
      <c r="O805" s="115">
        <f t="shared" si="82"/>
        <v>0</v>
      </c>
      <c r="P805" s="115">
        <f t="shared" si="82"/>
        <v>0</v>
      </c>
      <c r="Q805" s="115">
        <f t="shared" si="82"/>
        <v>0</v>
      </c>
      <c r="R805" s="29"/>
      <c r="S805" s="104"/>
      <c r="T805" s="104"/>
      <c r="U805" s="104"/>
      <c r="V805" s="104"/>
      <c r="W805" s="104"/>
      <c r="X805" s="104"/>
      <c r="Y805" s="104"/>
      <c r="Z805" s="104"/>
      <c r="AA805" s="231"/>
      <c r="AB805" s="231"/>
      <c r="AC805" s="231"/>
      <c r="AD805" s="231"/>
      <c r="AE805" s="231"/>
      <c r="AF805" s="231"/>
      <c r="AG805" s="231"/>
      <c r="AH805" s="231"/>
      <c r="AI805" s="231"/>
      <c r="AJ805" s="231"/>
      <c r="AK805" s="231"/>
      <c r="AL805" s="231"/>
      <c r="AM805" s="231"/>
      <c r="AN805" s="231"/>
      <c r="AO805" s="231"/>
      <c r="AP805" s="231"/>
      <c r="AQ805" s="231"/>
      <c r="AR805" s="231"/>
      <c r="AS805" s="231"/>
      <c r="AT805" s="231"/>
      <c r="AU805" s="231"/>
      <c r="AV805" s="231"/>
      <c r="AW805" s="231"/>
      <c r="AX805" s="231"/>
      <c r="AY805" s="231"/>
      <c r="AZ805" s="231"/>
      <c r="BA805" s="231"/>
      <c r="BB805" s="231"/>
      <c r="BC805" s="231"/>
      <c r="BD805" s="104"/>
      <c r="BE805" s="104"/>
      <c r="BF805" s="104"/>
      <c r="BG805" s="104"/>
      <c r="BH805" s="104"/>
      <c r="BI805" s="104"/>
      <c r="BJ805" s="104"/>
      <c r="BK805" s="12"/>
      <c r="BL805" s="12"/>
    </row>
    <row r="806" spans="1:64" hidden="1" outlineLevel="1">
      <c r="A806" s="9"/>
      <c r="B806" s="9"/>
      <c r="C806" s="44"/>
      <c r="D806" s="271">
        <f>Asset13</f>
        <v>0</v>
      </c>
      <c r="E806" s="9"/>
      <c r="F806" s="9"/>
      <c r="G806" s="207">
        <f>'Adjustment for previous period'!G540</f>
        <v>0</v>
      </c>
      <c r="H806" s="115">
        <f t="shared" ref="H806:Q806" si="83">H56*H$7</f>
        <v>0</v>
      </c>
      <c r="I806" s="115">
        <f t="shared" si="83"/>
        <v>0</v>
      </c>
      <c r="J806" s="115">
        <f t="shared" si="83"/>
        <v>0</v>
      </c>
      <c r="K806" s="115">
        <f t="shared" si="83"/>
        <v>0</v>
      </c>
      <c r="L806" s="115">
        <f t="shared" si="83"/>
        <v>0</v>
      </c>
      <c r="M806" s="115">
        <f t="shared" si="83"/>
        <v>0</v>
      </c>
      <c r="N806" s="115">
        <f t="shared" si="83"/>
        <v>0</v>
      </c>
      <c r="O806" s="115">
        <f t="shared" si="83"/>
        <v>0</v>
      </c>
      <c r="P806" s="115">
        <f t="shared" si="83"/>
        <v>0</v>
      </c>
      <c r="Q806" s="115">
        <f t="shared" si="83"/>
        <v>0</v>
      </c>
      <c r="R806" s="29"/>
      <c r="S806" s="104"/>
      <c r="T806" s="104"/>
      <c r="U806" s="104"/>
      <c r="V806" s="104"/>
      <c r="W806" s="104"/>
      <c r="X806" s="104"/>
      <c r="Y806" s="104"/>
      <c r="Z806" s="104"/>
      <c r="AA806" s="231"/>
      <c r="AB806" s="231"/>
      <c r="AC806" s="231"/>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104"/>
      <c r="BE806" s="104"/>
      <c r="BF806" s="104"/>
      <c r="BG806" s="104"/>
      <c r="BH806" s="104"/>
      <c r="BI806" s="104"/>
      <c r="BJ806" s="104"/>
      <c r="BK806" s="12"/>
      <c r="BL806" s="12"/>
    </row>
    <row r="807" spans="1:64" hidden="1" outlineLevel="1">
      <c r="A807" s="9"/>
      <c r="B807" s="9"/>
      <c r="C807" s="44"/>
      <c r="D807" s="271">
        <f>Asset14</f>
        <v>0</v>
      </c>
      <c r="E807" s="9"/>
      <c r="F807" s="9"/>
      <c r="G807" s="207">
        <f>'Adjustment for previous period'!G541</f>
        <v>0</v>
      </c>
      <c r="H807" s="115">
        <f t="shared" ref="H807:Q807" si="84">H57*H$7</f>
        <v>0</v>
      </c>
      <c r="I807" s="115">
        <f t="shared" si="84"/>
        <v>0</v>
      </c>
      <c r="J807" s="115">
        <f t="shared" si="84"/>
        <v>0</v>
      </c>
      <c r="K807" s="115">
        <f t="shared" si="84"/>
        <v>0</v>
      </c>
      <c r="L807" s="115">
        <f t="shared" si="84"/>
        <v>0</v>
      </c>
      <c r="M807" s="115">
        <f t="shared" si="84"/>
        <v>0</v>
      </c>
      <c r="N807" s="115">
        <f t="shared" si="84"/>
        <v>0</v>
      </c>
      <c r="O807" s="115">
        <f t="shared" si="84"/>
        <v>0</v>
      </c>
      <c r="P807" s="115">
        <f t="shared" si="84"/>
        <v>0</v>
      </c>
      <c r="Q807" s="115">
        <f t="shared" si="84"/>
        <v>0</v>
      </c>
      <c r="R807" s="29"/>
      <c r="S807" s="104"/>
      <c r="T807" s="104"/>
      <c r="U807" s="104"/>
      <c r="V807" s="104"/>
      <c r="W807" s="104"/>
      <c r="X807" s="104"/>
      <c r="Y807" s="104"/>
      <c r="Z807" s="104"/>
      <c r="AA807" s="231"/>
      <c r="AB807" s="231"/>
      <c r="AC807" s="231"/>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104"/>
      <c r="BE807" s="104"/>
      <c r="BF807" s="104"/>
      <c r="BG807" s="104"/>
      <c r="BH807" s="104"/>
      <c r="BI807" s="104"/>
      <c r="BJ807" s="104"/>
      <c r="BK807" s="12"/>
      <c r="BL807" s="12"/>
    </row>
    <row r="808" spans="1:64" hidden="1" outlineLevel="1">
      <c r="A808" s="9"/>
      <c r="B808" s="9"/>
      <c r="C808" s="44"/>
      <c r="D808" s="271">
        <f>Asset15</f>
        <v>0</v>
      </c>
      <c r="E808" s="9"/>
      <c r="F808" s="9"/>
      <c r="G808" s="207">
        <f>'Adjustment for previous period'!G542</f>
        <v>0</v>
      </c>
      <c r="H808" s="115">
        <f t="shared" ref="H808:Q808" si="85">H58*H$7</f>
        <v>0</v>
      </c>
      <c r="I808" s="115">
        <f t="shared" si="85"/>
        <v>0</v>
      </c>
      <c r="J808" s="115">
        <f t="shared" si="85"/>
        <v>0</v>
      </c>
      <c r="K808" s="115">
        <f t="shared" si="85"/>
        <v>0</v>
      </c>
      <c r="L808" s="115">
        <f t="shared" si="85"/>
        <v>0</v>
      </c>
      <c r="M808" s="115">
        <f t="shared" si="85"/>
        <v>0</v>
      </c>
      <c r="N808" s="115">
        <f t="shared" si="85"/>
        <v>0</v>
      </c>
      <c r="O808" s="115">
        <f t="shared" si="85"/>
        <v>0</v>
      </c>
      <c r="P808" s="115">
        <f t="shared" si="85"/>
        <v>0</v>
      </c>
      <c r="Q808" s="115">
        <f t="shared" si="85"/>
        <v>0</v>
      </c>
      <c r="R808" s="29"/>
      <c r="S808" s="104"/>
      <c r="T808" s="104"/>
      <c r="U808" s="104"/>
      <c r="V808" s="104"/>
      <c r="W808" s="104"/>
      <c r="X808" s="104"/>
      <c r="Y808" s="104"/>
      <c r="Z808" s="104"/>
      <c r="AA808" s="231"/>
      <c r="AB808" s="231"/>
      <c r="AC808" s="231"/>
      <c r="AD808" s="231"/>
      <c r="AE808" s="231"/>
      <c r="AF808" s="231"/>
      <c r="AG808" s="231"/>
      <c r="AH808" s="231"/>
      <c r="AI808" s="231"/>
      <c r="AJ808" s="231"/>
      <c r="AK808" s="231"/>
      <c r="AL808" s="231"/>
      <c r="AM808" s="231"/>
      <c r="AN808" s="231"/>
      <c r="AO808" s="231"/>
      <c r="AP808" s="231"/>
      <c r="AQ808" s="231"/>
      <c r="AR808" s="231"/>
      <c r="AS808" s="231"/>
      <c r="AT808" s="231"/>
      <c r="AU808" s="231"/>
      <c r="AV808" s="231"/>
      <c r="AW808" s="231"/>
      <c r="AX808" s="231"/>
      <c r="AY808" s="231"/>
      <c r="AZ808" s="231"/>
      <c r="BA808" s="231"/>
      <c r="BB808" s="231"/>
      <c r="BC808" s="231"/>
      <c r="BD808" s="104"/>
      <c r="BE808" s="104"/>
      <c r="BF808" s="104"/>
      <c r="BG808" s="104"/>
      <c r="BH808" s="104"/>
      <c r="BI808" s="104"/>
      <c r="BJ808" s="104"/>
      <c r="BK808" s="12"/>
      <c r="BL808" s="12"/>
    </row>
    <row r="809" spans="1:64" hidden="1" outlineLevel="1">
      <c r="A809" s="9"/>
      <c r="B809" s="9"/>
      <c r="C809" s="44"/>
      <c r="D809" s="271">
        <f>Asset16</f>
        <v>0</v>
      </c>
      <c r="E809" s="9"/>
      <c r="F809" s="9"/>
      <c r="G809" s="207">
        <f>'Adjustment for previous period'!G543</f>
        <v>0</v>
      </c>
      <c r="H809" s="115">
        <f t="shared" ref="H809:Q809" si="86">H59*H$7</f>
        <v>0</v>
      </c>
      <c r="I809" s="115">
        <f t="shared" si="86"/>
        <v>0</v>
      </c>
      <c r="J809" s="115">
        <f t="shared" si="86"/>
        <v>0</v>
      </c>
      <c r="K809" s="115">
        <f t="shared" si="86"/>
        <v>0</v>
      </c>
      <c r="L809" s="115">
        <f t="shared" si="86"/>
        <v>0</v>
      </c>
      <c r="M809" s="115">
        <f t="shared" si="86"/>
        <v>0</v>
      </c>
      <c r="N809" s="115">
        <f t="shared" si="86"/>
        <v>0</v>
      </c>
      <c r="O809" s="115">
        <f t="shared" si="86"/>
        <v>0</v>
      </c>
      <c r="P809" s="115">
        <f t="shared" si="86"/>
        <v>0</v>
      </c>
      <c r="Q809" s="115">
        <f t="shared" si="86"/>
        <v>0</v>
      </c>
      <c r="R809" s="29"/>
      <c r="S809" s="104"/>
      <c r="T809" s="104"/>
      <c r="U809" s="104"/>
      <c r="V809" s="104"/>
      <c r="W809" s="104"/>
      <c r="X809" s="104"/>
      <c r="Y809" s="104"/>
      <c r="Z809" s="104"/>
      <c r="AA809" s="231"/>
      <c r="AB809" s="231"/>
      <c r="AC809" s="231"/>
      <c r="AD809" s="231"/>
      <c r="AE809" s="231"/>
      <c r="AF809" s="231"/>
      <c r="AG809" s="231"/>
      <c r="AH809" s="231"/>
      <c r="AI809" s="231"/>
      <c r="AJ809" s="231"/>
      <c r="AK809" s="231"/>
      <c r="AL809" s="231"/>
      <c r="AM809" s="231"/>
      <c r="AN809" s="231"/>
      <c r="AO809" s="231"/>
      <c r="AP809" s="231"/>
      <c r="AQ809" s="231"/>
      <c r="AR809" s="231"/>
      <c r="AS809" s="231"/>
      <c r="AT809" s="231"/>
      <c r="AU809" s="231"/>
      <c r="AV809" s="231"/>
      <c r="AW809" s="231"/>
      <c r="AX809" s="231"/>
      <c r="AY809" s="231"/>
      <c r="AZ809" s="231"/>
      <c r="BA809" s="231"/>
      <c r="BB809" s="231"/>
      <c r="BC809" s="231"/>
      <c r="BD809" s="104"/>
      <c r="BE809" s="104"/>
      <c r="BF809" s="104"/>
      <c r="BG809" s="104"/>
      <c r="BH809" s="104"/>
      <c r="BI809" s="104"/>
      <c r="BJ809" s="104"/>
      <c r="BK809" s="12"/>
      <c r="BL809" s="12"/>
    </row>
    <row r="810" spans="1:64" hidden="1" outlineLevel="1">
      <c r="A810" s="9"/>
      <c r="B810" s="9"/>
      <c r="C810" s="44"/>
      <c r="D810" s="271">
        <f>Asset17</f>
        <v>0</v>
      </c>
      <c r="E810" s="9"/>
      <c r="F810" s="9"/>
      <c r="G810" s="207">
        <f>'Adjustment for previous period'!G544</f>
        <v>0</v>
      </c>
      <c r="H810" s="115">
        <f t="shared" ref="H810:Q810" si="87">H60*H$7</f>
        <v>0</v>
      </c>
      <c r="I810" s="115">
        <f t="shared" si="87"/>
        <v>0</v>
      </c>
      <c r="J810" s="115">
        <f t="shared" si="87"/>
        <v>0</v>
      </c>
      <c r="K810" s="115">
        <f t="shared" si="87"/>
        <v>0</v>
      </c>
      <c r="L810" s="115">
        <f t="shared" si="87"/>
        <v>0</v>
      </c>
      <c r="M810" s="115">
        <f t="shared" si="87"/>
        <v>0</v>
      </c>
      <c r="N810" s="115">
        <f t="shared" si="87"/>
        <v>0</v>
      </c>
      <c r="O810" s="115">
        <f t="shared" si="87"/>
        <v>0</v>
      </c>
      <c r="P810" s="115">
        <f t="shared" si="87"/>
        <v>0</v>
      </c>
      <c r="Q810" s="115">
        <f t="shared" si="87"/>
        <v>0</v>
      </c>
      <c r="R810" s="29"/>
      <c r="S810" s="104"/>
      <c r="T810" s="104"/>
      <c r="U810" s="104"/>
      <c r="V810" s="104"/>
      <c r="W810" s="104"/>
      <c r="X810" s="104"/>
      <c r="Y810" s="104"/>
      <c r="Z810" s="104"/>
      <c r="AA810" s="231"/>
      <c r="AB810" s="231"/>
      <c r="AC810" s="231"/>
      <c r="AD810" s="231"/>
      <c r="AE810" s="231"/>
      <c r="AF810" s="231"/>
      <c r="AG810" s="231"/>
      <c r="AH810" s="231"/>
      <c r="AI810" s="231"/>
      <c r="AJ810" s="231"/>
      <c r="AK810" s="231"/>
      <c r="AL810" s="231"/>
      <c r="AM810" s="231"/>
      <c r="AN810" s="231"/>
      <c r="AO810" s="231"/>
      <c r="AP810" s="231"/>
      <c r="AQ810" s="231"/>
      <c r="AR810" s="231"/>
      <c r="AS810" s="231"/>
      <c r="AT810" s="231"/>
      <c r="AU810" s="231"/>
      <c r="AV810" s="231"/>
      <c r="AW810" s="231"/>
      <c r="AX810" s="231"/>
      <c r="AY810" s="231"/>
      <c r="AZ810" s="231"/>
      <c r="BA810" s="231"/>
      <c r="BB810" s="231"/>
      <c r="BC810" s="231"/>
      <c r="BD810" s="104"/>
      <c r="BE810" s="104"/>
      <c r="BF810" s="104"/>
      <c r="BG810" s="104"/>
      <c r="BH810" s="104"/>
      <c r="BI810" s="104"/>
      <c r="BJ810" s="104"/>
      <c r="BK810" s="12"/>
      <c r="BL810" s="12"/>
    </row>
    <row r="811" spans="1:64" hidden="1" outlineLevel="1">
      <c r="A811" s="9"/>
      <c r="B811" s="9"/>
      <c r="C811" s="44"/>
      <c r="D811" s="271">
        <f>Asset18</f>
        <v>0</v>
      </c>
      <c r="E811" s="9"/>
      <c r="F811" s="9"/>
      <c r="G811" s="207">
        <f>'Adjustment for previous period'!G545</f>
        <v>0</v>
      </c>
      <c r="H811" s="115">
        <f t="shared" ref="H811:Q811" si="88">H61*H$7</f>
        <v>0</v>
      </c>
      <c r="I811" s="115">
        <f t="shared" si="88"/>
        <v>0</v>
      </c>
      <c r="J811" s="115">
        <f t="shared" si="88"/>
        <v>0</v>
      </c>
      <c r="K811" s="115">
        <f t="shared" si="88"/>
        <v>0</v>
      </c>
      <c r="L811" s="115">
        <f t="shared" si="88"/>
        <v>0</v>
      </c>
      <c r="M811" s="115">
        <f t="shared" si="88"/>
        <v>0</v>
      </c>
      <c r="N811" s="115">
        <f t="shared" si="88"/>
        <v>0</v>
      </c>
      <c r="O811" s="115">
        <f t="shared" si="88"/>
        <v>0</v>
      </c>
      <c r="P811" s="115">
        <f t="shared" si="88"/>
        <v>0</v>
      </c>
      <c r="Q811" s="115">
        <f t="shared" si="88"/>
        <v>0</v>
      </c>
      <c r="R811" s="29"/>
      <c r="S811" s="104"/>
      <c r="T811" s="104"/>
      <c r="U811" s="104"/>
      <c r="V811" s="104"/>
      <c r="W811" s="104"/>
      <c r="X811" s="104"/>
      <c r="Y811" s="104"/>
      <c r="Z811" s="104"/>
      <c r="AA811" s="231"/>
      <c r="AB811" s="231"/>
      <c r="AC811" s="231"/>
      <c r="AD811" s="231"/>
      <c r="AE811" s="231"/>
      <c r="AF811" s="231"/>
      <c r="AG811" s="231"/>
      <c r="AH811" s="231"/>
      <c r="AI811" s="231"/>
      <c r="AJ811" s="231"/>
      <c r="AK811" s="231"/>
      <c r="AL811" s="231"/>
      <c r="AM811" s="231"/>
      <c r="AN811" s="231"/>
      <c r="AO811" s="231"/>
      <c r="AP811" s="231"/>
      <c r="AQ811" s="231"/>
      <c r="AR811" s="231"/>
      <c r="AS811" s="231"/>
      <c r="AT811" s="231"/>
      <c r="AU811" s="231"/>
      <c r="AV811" s="231"/>
      <c r="AW811" s="231"/>
      <c r="AX811" s="231"/>
      <c r="AY811" s="231"/>
      <c r="AZ811" s="231"/>
      <c r="BA811" s="231"/>
      <c r="BB811" s="231"/>
      <c r="BC811" s="231"/>
      <c r="BD811" s="104"/>
      <c r="BE811" s="104"/>
      <c r="BF811" s="104"/>
      <c r="BG811" s="104"/>
      <c r="BH811" s="104"/>
      <c r="BI811" s="104"/>
      <c r="BJ811" s="104"/>
      <c r="BK811" s="12"/>
      <c r="BL811" s="12"/>
    </row>
    <row r="812" spans="1:64" hidden="1" outlineLevel="1">
      <c r="A812" s="9"/>
      <c r="B812" s="9"/>
      <c r="C812" s="44"/>
      <c r="D812" s="271">
        <f>Asset19</f>
        <v>0</v>
      </c>
      <c r="E812" s="9"/>
      <c r="F812" s="9"/>
      <c r="G812" s="207">
        <f>'Adjustment for previous period'!G546</f>
        <v>0</v>
      </c>
      <c r="H812" s="115">
        <f t="shared" ref="H812:Q812" si="89">H62*H$7</f>
        <v>0</v>
      </c>
      <c r="I812" s="115">
        <f t="shared" si="89"/>
        <v>0</v>
      </c>
      <c r="J812" s="115">
        <f t="shared" si="89"/>
        <v>0</v>
      </c>
      <c r="K812" s="115">
        <f t="shared" si="89"/>
        <v>0</v>
      </c>
      <c r="L812" s="115">
        <f t="shared" si="89"/>
        <v>0</v>
      </c>
      <c r="M812" s="115">
        <f t="shared" si="89"/>
        <v>0</v>
      </c>
      <c r="N812" s="115">
        <f t="shared" si="89"/>
        <v>0</v>
      </c>
      <c r="O812" s="115">
        <f t="shared" si="89"/>
        <v>0</v>
      </c>
      <c r="P812" s="115">
        <f t="shared" si="89"/>
        <v>0</v>
      </c>
      <c r="Q812" s="115">
        <f t="shared" si="89"/>
        <v>0</v>
      </c>
      <c r="R812" s="29"/>
      <c r="S812" s="104"/>
      <c r="T812" s="104"/>
      <c r="U812" s="104"/>
      <c r="V812" s="104"/>
      <c r="W812" s="104"/>
      <c r="X812" s="104"/>
      <c r="Y812" s="104"/>
      <c r="Z812" s="104"/>
      <c r="AA812" s="231"/>
      <c r="AB812" s="231"/>
      <c r="AC812" s="231"/>
      <c r="AD812" s="231"/>
      <c r="AE812" s="231"/>
      <c r="AF812" s="231"/>
      <c r="AG812" s="231"/>
      <c r="AH812" s="231"/>
      <c r="AI812" s="231"/>
      <c r="AJ812" s="231"/>
      <c r="AK812" s="231"/>
      <c r="AL812" s="231"/>
      <c r="AM812" s="231"/>
      <c r="AN812" s="231"/>
      <c r="AO812" s="231"/>
      <c r="AP812" s="231"/>
      <c r="AQ812" s="231"/>
      <c r="AR812" s="231"/>
      <c r="AS812" s="231"/>
      <c r="AT812" s="231"/>
      <c r="AU812" s="231"/>
      <c r="AV812" s="231"/>
      <c r="AW812" s="231"/>
      <c r="AX812" s="231"/>
      <c r="AY812" s="231"/>
      <c r="AZ812" s="231"/>
      <c r="BA812" s="231"/>
      <c r="BB812" s="231"/>
      <c r="BC812" s="231"/>
      <c r="BD812" s="104"/>
      <c r="BE812" s="104"/>
      <c r="BF812" s="104"/>
      <c r="BG812" s="104"/>
      <c r="BH812" s="104"/>
      <c r="BI812" s="104"/>
      <c r="BJ812" s="104"/>
      <c r="BK812" s="12"/>
      <c r="BL812" s="12"/>
    </row>
    <row r="813" spans="1:64" hidden="1" outlineLevel="1">
      <c r="A813" s="9"/>
      <c r="B813" s="9"/>
      <c r="C813" s="44"/>
      <c r="D813" s="271">
        <f>Asset20</f>
        <v>0</v>
      </c>
      <c r="E813" s="9"/>
      <c r="F813" s="9"/>
      <c r="G813" s="207">
        <f>'Adjustment for previous period'!G547</f>
        <v>0</v>
      </c>
      <c r="H813" s="115">
        <f t="shared" ref="H813:Q813" si="90">H63*H$7</f>
        <v>0</v>
      </c>
      <c r="I813" s="115">
        <f t="shared" si="90"/>
        <v>0</v>
      </c>
      <c r="J813" s="115">
        <f t="shared" si="90"/>
        <v>0</v>
      </c>
      <c r="K813" s="115">
        <f t="shared" si="90"/>
        <v>0</v>
      </c>
      <c r="L813" s="115">
        <f t="shared" si="90"/>
        <v>0</v>
      </c>
      <c r="M813" s="115">
        <f t="shared" si="90"/>
        <v>0</v>
      </c>
      <c r="N813" s="115">
        <f t="shared" si="90"/>
        <v>0</v>
      </c>
      <c r="O813" s="115">
        <f t="shared" si="90"/>
        <v>0</v>
      </c>
      <c r="P813" s="115">
        <f t="shared" si="90"/>
        <v>0</v>
      </c>
      <c r="Q813" s="115">
        <f t="shared" si="90"/>
        <v>0</v>
      </c>
      <c r="R813" s="29"/>
      <c r="S813" s="104"/>
      <c r="T813" s="104"/>
      <c r="U813" s="104"/>
      <c r="V813" s="104"/>
      <c r="W813" s="104"/>
      <c r="X813" s="104"/>
      <c r="Y813" s="104"/>
      <c r="Z813" s="104"/>
      <c r="AA813" s="231"/>
      <c r="AB813" s="231"/>
      <c r="AC813" s="231"/>
      <c r="AD813" s="231"/>
      <c r="AE813" s="231"/>
      <c r="AF813" s="231"/>
      <c r="AG813" s="231"/>
      <c r="AH813" s="231"/>
      <c r="AI813" s="231"/>
      <c r="AJ813" s="231"/>
      <c r="AK813" s="231"/>
      <c r="AL813" s="231"/>
      <c r="AM813" s="231"/>
      <c r="AN813" s="231"/>
      <c r="AO813" s="231"/>
      <c r="AP813" s="231"/>
      <c r="AQ813" s="231"/>
      <c r="AR813" s="231"/>
      <c r="AS813" s="231"/>
      <c r="AT813" s="231"/>
      <c r="AU813" s="231"/>
      <c r="AV813" s="231"/>
      <c r="AW813" s="231"/>
      <c r="AX813" s="231"/>
      <c r="AY813" s="231"/>
      <c r="AZ813" s="231"/>
      <c r="BA813" s="231"/>
      <c r="BB813" s="231"/>
      <c r="BC813" s="231"/>
      <c r="BD813" s="104"/>
      <c r="BE813" s="104"/>
      <c r="BF813" s="104"/>
      <c r="BG813" s="104"/>
      <c r="BH813" s="104"/>
      <c r="BI813" s="104"/>
      <c r="BJ813" s="104"/>
      <c r="BK813" s="12"/>
      <c r="BL813" s="12"/>
    </row>
    <row r="814" spans="1:64" hidden="1" outlineLevel="1">
      <c r="A814" s="9"/>
      <c r="B814" s="9"/>
      <c r="C814" s="44"/>
      <c r="D814" s="271">
        <f>Asset21</f>
        <v>0</v>
      </c>
      <c r="E814" s="9"/>
      <c r="F814" s="9"/>
      <c r="G814" s="207">
        <f>'Adjustment for previous period'!G548</f>
        <v>0</v>
      </c>
      <c r="H814" s="115">
        <f t="shared" ref="H814:Q814" si="91">H64*H$7</f>
        <v>0</v>
      </c>
      <c r="I814" s="115">
        <f t="shared" si="91"/>
        <v>0</v>
      </c>
      <c r="J814" s="115">
        <f t="shared" si="91"/>
        <v>0</v>
      </c>
      <c r="K814" s="115">
        <f t="shared" si="91"/>
        <v>0</v>
      </c>
      <c r="L814" s="115">
        <f t="shared" si="91"/>
        <v>0</v>
      </c>
      <c r="M814" s="115">
        <f t="shared" si="91"/>
        <v>0</v>
      </c>
      <c r="N814" s="115">
        <f t="shared" si="91"/>
        <v>0</v>
      </c>
      <c r="O814" s="115">
        <f t="shared" si="91"/>
        <v>0</v>
      </c>
      <c r="P814" s="115">
        <f t="shared" si="91"/>
        <v>0</v>
      </c>
      <c r="Q814" s="115">
        <f t="shared" si="91"/>
        <v>0</v>
      </c>
      <c r="R814" s="29"/>
      <c r="S814" s="104"/>
      <c r="T814" s="104"/>
      <c r="U814" s="104"/>
      <c r="V814" s="104"/>
      <c r="W814" s="104"/>
      <c r="X814" s="104"/>
      <c r="Y814" s="104"/>
      <c r="Z814" s="104"/>
      <c r="AA814" s="231"/>
      <c r="AB814" s="231"/>
      <c r="AC814" s="231"/>
      <c r="AD814" s="231"/>
      <c r="AE814" s="231"/>
      <c r="AF814" s="231"/>
      <c r="AG814" s="231"/>
      <c r="AH814" s="231"/>
      <c r="AI814" s="231"/>
      <c r="AJ814" s="231"/>
      <c r="AK814" s="231"/>
      <c r="AL814" s="231"/>
      <c r="AM814" s="231"/>
      <c r="AN814" s="231"/>
      <c r="AO814" s="231"/>
      <c r="AP814" s="231"/>
      <c r="AQ814" s="231"/>
      <c r="AR814" s="231"/>
      <c r="AS814" s="231"/>
      <c r="AT814" s="231"/>
      <c r="AU814" s="231"/>
      <c r="AV814" s="231"/>
      <c r="AW814" s="231"/>
      <c r="AX814" s="231"/>
      <c r="AY814" s="231"/>
      <c r="AZ814" s="231"/>
      <c r="BA814" s="231"/>
      <c r="BB814" s="231"/>
      <c r="BC814" s="231"/>
      <c r="BD814" s="104"/>
      <c r="BE814" s="104"/>
      <c r="BF814" s="104"/>
      <c r="BG814" s="104"/>
      <c r="BH814" s="104"/>
      <c r="BI814" s="104"/>
      <c r="BJ814" s="104"/>
      <c r="BK814" s="12"/>
      <c r="BL814" s="12"/>
    </row>
    <row r="815" spans="1:64" hidden="1" outlineLevel="1">
      <c r="A815" s="9"/>
      <c r="B815" s="9"/>
      <c r="C815" s="44"/>
      <c r="D815" s="271">
        <f>Asset22</f>
        <v>0</v>
      </c>
      <c r="E815" s="9"/>
      <c r="F815" s="9"/>
      <c r="G815" s="207">
        <f>'Adjustment for previous period'!G549</f>
        <v>0</v>
      </c>
      <c r="H815" s="115">
        <f t="shared" ref="H815:Q815" si="92">H65*H$7</f>
        <v>0</v>
      </c>
      <c r="I815" s="115">
        <f t="shared" si="92"/>
        <v>0</v>
      </c>
      <c r="J815" s="115">
        <f t="shared" si="92"/>
        <v>0</v>
      </c>
      <c r="K815" s="115">
        <f t="shared" si="92"/>
        <v>0</v>
      </c>
      <c r="L815" s="115">
        <f t="shared" si="92"/>
        <v>0</v>
      </c>
      <c r="M815" s="115">
        <f t="shared" si="92"/>
        <v>0</v>
      </c>
      <c r="N815" s="115">
        <f t="shared" si="92"/>
        <v>0</v>
      </c>
      <c r="O815" s="115">
        <f t="shared" si="92"/>
        <v>0</v>
      </c>
      <c r="P815" s="115">
        <f t="shared" si="92"/>
        <v>0</v>
      </c>
      <c r="Q815" s="115">
        <f t="shared" si="92"/>
        <v>0</v>
      </c>
      <c r="R815" s="29"/>
      <c r="S815" s="104"/>
      <c r="T815" s="104"/>
      <c r="U815" s="104"/>
      <c r="V815" s="104"/>
      <c r="W815" s="104"/>
      <c r="X815" s="104"/>
      <c r="Y815" s="104"/>
      <c r="Z815" s="104"/>
      <c r="AA815" s="231"/>
      <c r="AB815" s="231"/>
      <c r="AC815" s="231"/>
      <c r="AD815" s="231"/>
      <c r="AE815" s="231"/>
      <c r="AF815" s="231"/>
      <c r="AG815" s="231"/>
      <c r="AH815" s="231"/>
      <c r="AI815" s="231"/>
      <c r="AJ815" s="231"/>
      <c r="AK815" s="231"/>
      <c r="AL815" s="231"/>
      <c r="AM815" s="231"/>
      <c r="AN815" s="231"/>
      <c r="AO815" s="231"/>
      <c r="AP815" s="231"/>
      <c r="AQ815" s="231"/>
      <c r="AR815" s="231"/>
      <c r="AS815" s="231"/>
      <c r="AT815" s="231"/>
      <c r="AU815" s="231"/>
      <c r="AV815" s="231"/>
      <c r="AW815" s="231"/>
      <c r="AX815" s="231"/>
      <c r="AY815" s="231"/>
      <c r="AZ815" s="231"/>
      <c r="BA815" s="231"/>
      <c r="BB815" s="231"/>
      <c r="BC815" s="231"/>
      <c r="BD815" s="104"/>
      <c r="BE815" s="104"/>
      <c r="BF815" s="104"/>
      <c r="BG815" s="104"/>
      <c r="BH815" s="104"/>
      <c r="BI815" s="104"/>
      <c r="BJ815" s="104"/>
      <c r="BK815" s="12"/>
      <c r="BL815" s="12"/>
    </row>
    <row r="816" spans="1:64" hidden="1" outlineLevel="1">
      <c r="A816" s="9"/>
      <c r="B816" s="9"/>
      <c r="C816" s="44"/>
      <c r="D816" s="271">
        <f>Asset23</f>
        <v>0</v>
      </c>
      <c r="E816" s="9"/>
      <c r="F816" s="9"/>
      <c r="G816" s="207">
        <f>'Adjustment for previous period'!G550</f>
        <v>0</v>
      </c>
      <c r="H816" s="115">
        <f t="shared" ref="H816:Q816" si="93">H66*H$7</f>
        <v>0</v>
      </c>
      <c r="I816" s="115">
        <f t="shared" si="93"/>
        <v>0</v>
      </c>
      <c r="J816" s="115">
        <f t="shared" si="93"/>
        <v>0</v>
      </c>
      <c r="K816" s="115">
        <f t="shared" si="93"/>
        <v>0</v>
      </c>
      <c r="L816" s="115">
        <f t="shared" si="93"/>
        <v>0</v>
      </c>
      <c r="M816" s="115">
        <f t="shared" si="93"/>
        <v>0</v>
      </c>
      <c r="N816" s="115">
        <f t="shared" si="93"/>
        <v>0</v>
      </c>
      <c r="O816" s="115">
        <f t="shared" si="93"/>
        <v>0</v>
      </c>
      <c r="P816" s="115">
        <f t="shared" si="93"/>
        <v>0</v>
      </c>
      <c r="Q816" s="115">
        <f t="shared" si="93"/>
        <v>0</v>
      </c>
      <c r="R816" s="29"/>
      <c r="S816" s="104"/>
      <c r="T816" s="104"/>
      <c r="U816" s="104"/>
      <c r="V816" s="104"/>
      <c r="W816" s="104"/>
      <c r="X816" s="104"/>
      <c r="Y816" s="104"/>
      <c r="Z816" s="104"/>
      <c r="AA816" s="231"/>
      <c r="AB816" s="231"/>
      <c r="AC816" s="231"/>
      <c r="AD816" s="231"/>
      <c r="AE816" s="231"/>
      <c r="AF816" s="231"/>
      <c r="AG816" s="231"/>
      <c r="AH816" s="231"/>
      <c r="AI816" s="231"/>
      <c r="AJ816" s="231"/>
      <c r="AK816" s="231"/>
      <c r="AL816" s="231"/>
      <c r="AM816" s="231"/>
      <c r="AN816" s="231"/>
      <c r="AO816" s="231"/>
      <c r="AP816" s="231"/>
      <c r="AQ816" s="231"/>
      <c r="AR816" s="231"/>
      <c r="AS816" s="231"/>
      <c r="AT816" s="231"/>
      <c r="AU816" s="231"/>
      <c r="AV816" s="231"/>
      <c r="AW816" s="231"/>
      <c r="AX816" s="231"/>
      <c r="AY816" s="231"/>
      <c r="AZ816" s="231"/>
      <c r="BA816" s="231"/>
      <c r="BB816" s="231"/>
      <c r="BC816" s="231"/>
      <c r="BD816" s="104"/>
      <c r="BE816" s="104"/>
      <c r="BF816" s="104"/>
      <c r="BG816" s="104"/>
      <c r="BH816" s="104"/>
      <c r="BI816" s="104"/>
      <c r="BJ816" s="104"/>
      <c r="BK816" s="12"/>
      <c r="BL816" s="12"/>
    </row>
    <row r="817" spans="1:64" hidden="1" outlineLevel="1">
      <c r="A817" s="9"/>
      <c r="B817" s="9"/>
      <c r="C817" s="44"/>
      <c r="D817" s="271">
        <f>Asset24</f>
        <v>0</v>
      </c>
      <c r="E817" s="9"/>
      <c r="F817" s="9"/>
      <c r="G817" s="207">
        <f>'Adjustment for previous period'!G551</f>
        <v>0</v>
      </c>
      <c r="H817" s="115">
        <f t="shared" ref="H817:Q817" si="94">H67*H$7</f>
        <v>0</v>
      </c>
      <c r="I817" s="115">
        <f t="shared" si="94"/>
        <v>0</v>
      </c>
      <c r="J817" s="115">
        <f t="shared" si="94"/>
        <v>0</v>
      </c>
      <c r="K817" s="115">
        <f t="shared" si="94"/>
        <v>0</v>
      </c>
      <c r="L817" s="115">
        <f t="shared" si="94"/>
        <v>0</v>
      </c>
      <c r="M817" s="115">
        <f t="shared" si="94"/>
        <v>0</v>
      </c>
      <c r="N817" s="115">
        <f t="shared" si="94"/>
        <v>0</v>
      </c>
      <c r="O817" s="115">
        <f t="shared" si="94"/>
        <v>0</v>
      </c>
      <c r="P817" s="115">
        <f t="shared" si="94"/>
        <v>0</v>
      </c>
      <c r="Q817" s="115">
        <f t="shared" si="94"/>
        <v>0</v>
      </c>
      <c r="R817" s="29"/>
      <c r="S817" s="104"/>
      <c r="T817" s="104"/>
      <c r="U817" s="104"/>
      <c r="V817" s="104"/>
      <c r="W817" s="104"/>
      <c r="X817" s="104"/>
      <c r="Y817" s="104"/>
      <c r="Z817" s="104"/>
      <c r="AA817" s="231"/>
      <c r="AB817" s="231"/>
      <c r="AC817" s="231"/>
      <c r="AD817" s="231"/>
      <c r="AE817" s="231"/>
      <c r="AF817" s="231"/>
      <c r="AG817" s="231"/>
      <c r="AH817" s="231"/>
      <c r="AI817" s="231"/>
      <c r="AJ817" s="231"/>
      <c r="AK817" s="231"/>
      <c r="AL817" s="231"/>
      <c r="AM817" s="231"/>
      <c r="AN817" s="231"/>
      <c r="AO817" s="231"/>
      <c r="AP817" s="231"/>
      <c r="AQ817" s="231"/>
      <c r="AR817" s="231"/>
      <c r="AS817" s="231"/>
      <c r="AT817" s="231"/>
      <c r="AU817" s="231"/>
      <c r="AV817" s="231"/>
      <c r="AW817" s="231"/>
      <c r="AX817" s="231"/>
      <c r="AY817" s="231"/>
      <c r="AZ817" s="231"/>
      <c r="BA817" s="231"/>
      <c r="BB817" s="231"/>
      <c r="BC817" s="231"/>
      <c r="BD817" s="104"/>
      <c r="BE817" s="104"/>
      <c r="BF817" s="104"/>
      <c r="BG817" s="104"/>
      <c r="BH817" s="104"/>
      <c r="BI817" s="104"/>
      <c r="BJ817" s="104"/>
      <c r="BK817" s="12"/>
      <c r="BL817" s="12"/>
    </row>
    <row r="818" spans="1:64" hidden="1" outlineLevel="1">
      <c r="A818" s="9"/>
      <c r="B818" s="9"/>
      <c r="C818" s="44"/>
      <c r="D818" s="271">
        <f>Asset25</f>
        <v>0</v>
      </c>
      <c r="E818" s="9"/>
      <c r="F818" s="9"/>
      <c r="G818" s="207">
        <f>'Adjustment for previous period'!G552</f>
        <v>0</v>
      </c>
      <c r="H818" s="115">
        <f t="shared" ref="H818:Q818" si="95">H68*H$7</f>
        <v>0</v>
      </c>
      <c r="I818" s="115">
        <f t="shared" si="95"/>
        <v>0</v>
      </c>
      <c r="J818" s="115">
        <f t="shared" si="95"/>
        <v>0</v>
      </c>
      <c r="K818" s="115">
        <f t="shared" si="95"/>
        <v>0</v>
      </c>
      <c r="L818" s="115">
        <f t="shared" si="95"/>
        <v>0</v>
      </c>
      <c r="M818" s="115">
        <f t="shared" si="95"/>
        <v>0</v>
      </c>
      <c r="N818" s="115">
        <f t="shared" si="95"/>
        <v>0</v>
      </c>
      <c r="O818" s="115">
        <f t="shared" si="95"/>
        <v>0</v>
      </c>
      <c r="P818" s="115">
        <f t="shared" si="95"/>
        <v>0</v>
      </c>
      <c r="Q818" s="115">
        <f t="shared" si="95"/>
        <v>0</v>
      </c>
      <c r="R818" s="29"/>
      <c r="S818" s="104"/>
      <c r="T818" s="104"/>
      <c r="U818" s="104"/>
      <c r="V818" s="104"/>
      <c r="W818" s="104"/>
      <c r="X818" s="104"/>
      <c r="Y818" s="104"/>
      <c r="Z818" s="104"/>
      <c r="AA818" s="231"/>
      <c r="AB818" s="231"/>
      <c r="AC818" s="231"/>
      <c r="AD818" s="231"/>
      <c r="AE818" s="231"/>
      <c r="AF818" s="231"/>
      <c r="AG818" s="231"/>
      <c r="AH818" s="231"/>
      <c r="AI818" s="231"/>
      <c r="AJ818" s="231"/>
      <c r="AK818" s="231"/>
      <c r="AL818" s="231"/>
      <c r="AM818" s="231"/>
      <c r="AN818" s="231"/>
      <c r="AO818" s="231"/>
      <c r="AP818" s="231"/>
      <c r="AQ818" s="231"/>
      <c r="AR818" s="231"/>
      <c r="AS818" s="231"/>
      <c r="AT818" s="231"/>
      <c r="AU818" s="231"/>
      <c r="AV818" s="231"/>
      <c r="AW818" s="231"/>
      <c r="AX818" s="231"/>
      <c r="AY818" s="231"/>
      <c r="AZ818" s="231"/>
      <c r="BA818" s="231"/>
      <c r="BB818" s="231"/>
      <c r="BC818" s="231"/>
      <c r="BD818" s="104"/>
      <c r="BE818" s="104"/>
      <c r="BF818" s="104"/>
      <c r="BG818" s="104"/>
      <c r="BH818" s="104"/>
      <c r="BI818" s="104"/>
      <c r="BJ818" s="104"/>
      <c r="BK818" s="12"/>
      <c r="BL818" s="12"/>
    </row>
    <row r="819" spans="1:64" hidden="1" outlineLevel="1">
      <c r="A819" s="9"/>
      <c r="B819" s="9"/>
      <c r="C819" s="44"/>
      <c r="D819" s="271">
        <f>Asset26</f>
        <v>0</v>
      </c>
      <c r="E819" s="9"/>
      <c r="F819" s="9"/>
      <c r="G819" s="207">
        <f>'Adjustment for previous period'!G553</f>
        <v>0</v>
      </c>
      <c r="H819" s="115">
        <f t="shared" ref="H819:Q819" si="96">H69*H$7</f>
        <v>0</v>
      </c>
      <c r="I819" s="115">
        <f t="shared" si="96"/>
        <v>0</v>
      </c>
      <c r="J819" s="115">
        <f t="shared" si="96"/>
        <v>0</v>
      </c>
      <c r="K819" s="115">
        <f t="shared" si="96"/>
        <v>0</v>
      </c>
      <c r="L819" s="115">
        <f t="shared" si="96"/>
        <v>0</v>
      </c>
      <c r="M819" s="115">
        <f t="shared" si="96"/>
        <v>0</v>
      </c>
      <c r="N819" s="115">
        <f t="shared" si="96"/>
        <v>0</v>
      </c>
      <c r="O819" s="115">
        <f t="shared" si="96"/>
        <v>0</v>
      </c>
      <c r="P819" s="115">
        <f t="shared" si="96"/>
        <v>0</v>
      </c>
      <c r="Q819" s="115">
        <f t="shared" si="96"/>
        <v>0</v>
      </c>
      <c r="R819" s="29"/>
      <c r="S819" s="104"/>
      <c r="T819" s="104"/>
      <c r="U819" s="104"/>
      <c r="V819" s="104"/>
      <c r="W819" s="104"/>
      <c r="X819" s="104"/>
      <c r="Y819" s="104"/>
      <c r="Z819" s="104"/>
      <c r="AA819" s="231"/>
      <c r="AB819" s="231"/>
      <c r="AC819" s="231"/>
      <c r="AD819" s="231"/>
      <c r="AE819" s="231"/>
      <c r="AF819" s="231"/>
      <c r="AG819" s="231"/>
      <c r="AH819" s="231"/>
      <c r="AI819" s="231"/>
      <c r="AJ819" s="231"/>
      <c r="AK819" s="231"/>
      <c r="AL819" s="231"/>
      <c r="AM819" s="231"/>
      <c r="AN819" s="231"/>
      <c r="AO819" s="231"/>
      <c r="AP819" s="231"/>
      <c r="AQ819" s="231"/>
      <c r="AR819" s="231"/>
      <c r="AS819" s="231"/>
      <c r="AT819" s="231"/>
      <c r="AU819" s="231"/>
      <c r="AV819" s="231"/>
      <c r="AW819" s="231"/>
      <c r="AX819" s="231"/>
      <c r="AY819" s="231"/>
      <c r="AZ819" s="231"/>
      <c r="BA819" s="231"/>
      <c r="BB819" s="231"/>
      <c r="BC819" s="231"/>
      <c r="BD819" s="104"/>
      <c r="BE819" s="104"/>
      <c r="BF819" s="104"/>
      <c r="BG819" s="104"/>
      <c r="BH819" s="104"/>
      <c r="BI819" s="104"/>
      <c r="BJ819" s="104"/>
      <c r="BK819" s="12"/>
      <c r="BL819" s="12"/>
    </row>
    <row r="820" spans="1:64" hidden="1" outlineLevel="1">
      <c r="A820" s="9"/>
      <c r="B820" s="9"/>
      <c r="C820" s="44"/>
      <c r="D820" s="271">
        <f>Asset27</f>
        <v>0</v>
      </c>
      <c r="E820" s="9"/>
      <c r="F820" s="9"/>
      <c r="G820" s="207">
        <f>'Adjustment for previous period'!G554</f>
        <v>0</v>
      </c>
      <c r="H820" s="115">
        <f t="shared" ref="H820:Q820" si="97">H70*H$7</f>
        <v>0</v>
      </c>
      <c r="I820" s="115">
        <f t="shared" si="97"/>
        <v>0</v>
      </c>
      <c r="J820" s="115">
        <f t="shared" si="97"/>
        <v>0</v>
      </c>
      <c r="K820" s="115">
        <f t="shared" si="97"/>
        <v>0</v>
      </c>
      <c r="L820" s="115">
        <f t="shared" si="97"/>
        <v>0</v>
      </c>
      <c r="M820" s="115">
        <f t="shared" si="97"/>
        <v>0</v>
      </c>
      <c r="N820" s="115">
        <f t="shared" si="97"/>
        <v>0</v>
      </c>
      <c r="O820" s="115">
        <f t="shared" si="97"/>
        <v>0</v>
      </c>
      <c r="P820" s="115">
        <f t="shared" si="97"/>
        <v>0</v>
      </c>
      <c r="Q820" s="115">
        <f t="shared" si="97"/>
        <v>0</v>
      </c>
      <c r="R820" s="29"/>
      <c r="S820" s="104"/>
      <c r="T820" s="104"/>
      <c r="U820" s="104"/>
      <c r="V820" s="104"/>
      <c r="W820" s="104"/>
      <c r="X820" s="104"/>
      <c r="Y820" s="104"/>
      <c r="Z820" s="104"/>
      <c r="AA820" s="231"/>
      <c r="AB820" s="231"/>
      <c r="AC820" s="231"/>
      <c r="AD820" s="231"/>
      <c r="AE820" s="231"/>
      <c r="AF820" s="231"/>
      <c r="AG820" s="231"/>
      <c r="AH820" s="231"/>
      <c r="AI820" s="231"/>
      <c r="AJ820" s="231"/>
      <c r="AK820" s="231"/>
      <c r="AL820" s="231"/>
      <c r="AM820" s="231"/>
      <c r="AN820" s="231"/>
      <c r="AO820" s="231"/>
      <c r="AP820" s="231"/>
      <c r="AQ820" s="231"/>
      <c r="AR820" s="231"/>
      <c r="AS820" s="231"/>
      <c r="AT820" s="231"/>
      <c r="AU820" s="231"/>
      <c r="AV820" s="231"/>
      <c r="AW820" s="231"/>
      <c r="AX820" s="231"/>
      <c r="AY820" s="231"/>
      <c r="AZ820" s="231"/>
      <c r="BA820" s="231"/>
      <c r="BB820" s="231"/>
      <c r="BC820" s="231"/>
      <c r="BD820" s="104"/>
      <c r="BE820" s="104"/>
      <c r="BF820" s="104"/>
      <c r="BG820" s="104"/>
      <c r="BH820" s="104"/>
      <c r="BI820" s="104"/>
      <c r="BJ820" s="104"/>
      <c r="BK820" s="12"/>
      <c r="BL820" s="12"/>
    </row>
    <row r="821" spans="1:64" hidden="1" outlineLevel="1">
      <c r="A821" s="9"/>
      <c r="B821" s="9"/>
      <c r="C821" s="44"/>
      <c r="D821" s="271">
        <f>Asset28</f>
        <v>0</v>
      </c>
      <c r="E821" s="9"/>
      <c r="F821" s="9"/>
      <c r="G821" s="207">
        <f>'Adjustment for previous period'!G555</f>
        <v>0</v>
      </c>
      <c r="H821" s="115">
        <f t="shared" ref="H821:Q821" si="98">H71*H$7</f>
        <v>0</v>
      </c>
      <c r="I821" s="115">
        <f t="shared" si="98"/>
        <v>0</v>
      </c>
      <c r="J821" s="115">
        <f t="shared" si="98"/>
        <v>0</v>
      </c>
      <c r="K821" s="115">
        <f t="shared" si="98"/>
        <v>0</v>
      </c>
      <c r="L821" s="115">
        <f t="shared" si="98"/>
        <v>0</v>
      </c>
      <c r="M821" s="115">
        <f t="shared" si="98"/>
        <v>0</v>
      </c>
      <c r="N821" s="115">
        <f t="shared" si="98"/>
        <v>0</v>
      </c>
      <c r="O821" s="115">
        <f t="shared" si="98"/>
        <v>0</v>
      </c>
      <c r="P821" s="115">
        <f t="shared" si="98"/>
        <v>0</v>
      </c>
      <c r="Q821" s="115">
        <f t="shared" si="98"/>
        <v>0</v>
      </c>
      <c r="R821" s="29"/>
      <c r="S821" s="104"/>
      <c r="T821" s="104"/>
      <c r="U821" s="104"/>
      <c r="V821" s="104"/>
      <c r="W821" s="104"/>
      <c r="X821" s="104"/>
      <c r="Y821" s="104"/>
      <c r="Z821" s="104"/>
      <c r="AA821" s="231"/>
      <c r="AB821" s="231"/>
      <c r="AC821" s="231"/>
      <c r="AD821" s="231"/>
      <c r="AE821" s="231"/>
      <c r="AF821" s="231"/>
      <c r="AG821" s="231"/>
      <c r="AH821" s="231"/>
      <c r="AI821" s="231"/>
      <c r="AJ821" s="231"/>
      <c r="AK821" s="231"/>
      <c r="AL821" s="231"/>
      <c r="AM821" s="231"/>
      <c r="AN821" s="231"/>
      <c r="AO821" s="231"/>
      <c r="AP821" s="231"/>
      <c r="AQ821" s="231"/>
      <c r="AR821" s="231"/>
      <c r="AS821" s="231"/>
      <c r="AT821" s="231"/>
      <c r="AU821" s="231"/>
      <c r="AV821" s="231"/>
      <c r="AW821" s="231"/>
      <c r="AX821" s="231"/>
      <c r="AY821" s="231"/>
      <c r="AZ821" s="231"/>
      <c r="BA821" s="231"/>
      <c r="BB821" s="231"/>
      <c r="BC821" s="231"/>
      <c r="BD821" s="104"/>
      <c r="BE821" s="104"/>
      <c r="BF821" s="104"/>
      <c r="BG821" s="104"/>
      <c r="BH821" s="104"/>
      <c r="BI821" s="104"/>
      <c r="BJ821" s="104"/>
      <c r="BK821" s="12"/>
      <c r="BL821" s="12"/>
    </row>
    <row r="822" spans="1:64" hidden="1" outlineLevel="1">
      <c r="A822" s="9"/>
      <c r="B822" s="9"/>
      <c r="C822" s="44"/>
      <c r="D822" s="271">
        <f>Asset29</f>
        <v>0</v>
      </c>
      <c r="E822" s="9"/>
      <c r="F822" s="9"/>
      <c r="G822" s="207">
        <f>'Adjustment for previous period'!G556</f>
        <v>0</v>
      </c>
      <c r="H822" s="115">
        <f t="shared" ref="H822:Q822" si="99">H72*H$7</f>
        <v>0</v>
      </c>
      <c r="I822" s="115">
        <f t="shared" si="99"/>
        <v>0</v>
      </c>
      <c r="J822" s="115">
        <f t="shared" si="99"/>
        <v>0</v>
      </c>
      <c r="K822" s="115">
        <f t="shared" si="99"/>
        <v>0</v>
      </c>
      <c r="L822" s="115">
        <f t="shared" si="99"/>
        <v>0</v>
      </c>
      <c r="M822" s="115">
        <f t="shared" si="99"/>
        <v>0</v>
      </c>
      <c r="N822" s="115">
        <f t="shared" si="99"/>
        <v>0</v>
      </c>
      <c r="O822" s="115">
        <f t="shared" si="99"/>
        <v>0</v>
      </c>
      <c r="P822" s="115">
        <f t="shared" si="99"/>
        <v>0</v>
      </c>
      <c r="Q822" s="115">
        <f t="shared" si="99"/>
        <v>0</v>
      </c>
      <c r="R822" s="29"/>
      <c r="S822" s="104"/>
      <c r="T822" s="104"/>
      <c r="U822" s="104"/>
      <c r="V822" s="104"/>
      <c r="W822" s="104"/>
      <c r="X822" s="104"/>
      <c r="Y822" s="104"/>
      <c r="Z822" s="104"/>
      <c r="AA822" s="231"/>
      <c r="AB822" s="231"/>
      <c r="AC822" s="231"/>
      <c r="AD822" s="231"/>
      <c r="AE822" s="231"/>
      <c r="AF822" s="231"/>
      <c r="AG822" s="231"/>
      <c r="AH822" s="231"/>
      <c r="AI822" s="231"/>
      <c r="AJ822" s="231"/>
      <c r="AK822" s="231"/>
      <c r="AL822" s="231"/>
      <c r="AM822" s="231"/>
      <c r="AN822" s="231"/>
      <c r="AO822" s="231"/>
      <c r="AP822" s="231"/>
      <c r="AQ822" s="231"/>
      <c r="AR822" s="231"/>
      <c r="AS822" s="231"/>
      <c r="AT822" s="231"/>
      <c r="AU822" s="231"/>
      <c r="AV822" s="231"/>
      <c r="AW822" s="231"/>
      <c r="AX822" s="231"/>
      <c r="AY822" s="231"/>
      <c r="AZ822" s="231"/>
      <c r="BA822" s="231"/>
      <c r="BB822" s="231"/>
      <c r="BC822" s="231"/>
      <c r="BD822" s="104"/>
      <c r="BE822" s="104"/>
      <c r="BF822" s="104"/>
      <c r="BG822" s="104"/>
      <c r="BH822" s="104"/>
      <c r="BI822" s="104"/>
      <c r="BJ822" s="104"/>
      <c r="BK822" s="12"/>
      <c r="BL822" s="12"/>
    </row>
    <row r="823" spans="1:64" hidden="1" outlineLevel="1">
      <c r="A823" s="9"/>
      <c r="B823" s="9"/>
      <c r="C823" s="44"/>
      <c r="D823" s="271">
        <f>Asset30</f>
        <v>0</v>
      </c>
      <c r="E823" s="9"/>
      <c r="F823" s="9"/>
      <c r="G823" s="207">
        <f>'Adjustment for previous period'!G557</f>
        <v>0</v>
      </c>
      <c r="H823" s="115">
        <f t="shared" ref="H823:Q823" si="100">H73*H$7</f>
        <v>0</v>
      </c>
      <c r="I823" s="115">
        <f t="shared" si="100"/>
        <v>0</v>
      </c>
      <c r="J823" s="115">
        <f t="shared" si="100"/>
        <v>0</v>
      </c>
      <c r="K823" s="115">
        <f t="shared" si="100"/>
        <v>0</v>
      </c>
      <c r="L823" s="115">
        <f t="shared" si="100"/>
        <v>0</v>
      </c>
      <c r="M823" s="115">
        <f t="shared" si="100"/>
        <v>0</v>
      </c>
      <c r="N823" s="115">
        <f t="shared" si="100"/>
        <v>0</v>
      </c>
      <c r="O823" s="115">
        <f t="shared" si="100"/>
        <v>0</v>
      </c>
      <c r="P823" s="115">
        <f t="shared" si="100"/>
        <v>0</v>
      </c>
      <c r="Q823" s="115">
        <f t="shared" si="100"/>
        <v>0</v>
      </c>
      <c r="R823" s="29"/>
      <c r="S823" s="104"/>
      <c r="T823" s="104"/>
      <c r="U823" s="104"/>
      <c r="V823" s="104"/>
      <c r="W823" s="104"/>
      <c r="X823" s="104"/>
      <c r="Y823" s="104"/>
      <c r="Z823" s="104"/>
      <c r="AA823" s="231"/>
      <c r="AB823" s="231"/>
      <c r="AC823" s="231"/>
      <c r="AD823" s="231"/>
      <c r="AE823" s="231"/>
      <c r="AF823" s="231"/>
      <c r="AG823" s="231"/>
      <c r="AH823" s="231"/>
      <c r="AI823" s="231"/>
      <c r="AJ823" s="231"/>
      <c r="AK823" s="231"/>
      <c r="AL823" s="231"/>
      <c r="AM823" s="231"/>
      <c r="AN823" s="231"/>
      <c r="AO823" s="231"/>
      <c r="AP823" s="231"/>
      <c r="AQ823" s="231"/>
      <c r="AR823" s="231"/>
      <c r="AS823" s="231"/>
      <c r="AT823" s="231"/>
      <c r="AU823" s="231"/>
      <c r="AV823" s="231"/>
      <c r="AW823" s="231"/>
      <c r="AX823" s="231"/>
      <c r="AY823" s="231"/>
      <c r="AZ823" s="231"/>
      <c r="BA823" s="231"/>
      <c r="BB823" s="231"/>
      <c r="BC823" s="231"/>
      <c r="BD823" s="104"/>
      <c r="BE823" s="104"/>
      <c r="BF823" s="104"/>
      <c r="BG823" s="104"/>
      <c r="BH823" s="104"/>
      <c r="BI823" s="104"/>
      <c r="BJ823" s="104"/>
      <c r="BK823" s="12"/>
      <c r="BL823" s="12"/>
    </row>
    <row r="824" spans="1:64" collapsed="1">
      <c r="A824" s="9"/>
      <c r="B824" s="9"/>
      <c r="C824" s="44"/>
      <c r="D824" s="117"/>
      <c r="E824" s="9"/>
      <c r="F824" s="9"/>
      <c r="G824" s="282"/>
      <c r="H824" s="35"/>
      <c r="I824" s="35"/>
      <c r="J824" s="35"/>
      <c r="K824" s="35"/>
      <c r="L824" s="35"/>
      <c r="M824" s="35"/>
      <c r="N824" s="29"/>
      <c r="O824" s="29"/>
      <c r="P824" s="29"/>
      <c r="Q824" s="29"/>
      <c r="R824" s="29"/>
      <c r="S824" s="104"/>
      <c r="T824" s="104"/>
      <c r="U824" s="104"/>
      <c r="V824" s="104"/>
      <c r="W824" s="104"/>
      <c r="X824" s="104"/>
      <c r="Y824" s="104"/>
      <c r="Z824" s="104"/>
      <c r="AA824" s="231"/>
      <c r="AB824" s="231"/>
      <c r="AC824" s="231"/>
      <c r="AD824" s="231"/>
      <c r="AE824" s="231"/>
      <c r="AF824" s="231"/>
      <c r="AG824" s="231"/>
      <c r="AH824" s="231"/>
      <c r="AI824" s="231"/>
      <c r="AJ824" s="231"/>
      <c r="AK824" s="231"/>
      <c r="AL824" s="231"/>
      <c r="AM824" s="231"/>
      <c r="AN824" s="231"/>
      <c r="AO824" s="231"/>
      <c r="AP824" s="231"/>
      <c r="AQ824" s="231"/>
      <c r="AR824" s="231"/>
      <c r="AS824" s="231"/>
      <c r="AT824" s="231"/>
      <c r="AU824" s="231"/>
      <c r="AV824" s="231"/>
      <c r="AW824" s="231"/>
      <c r="AX824" s="231"/>
      <c r="AY824" s="231"/>
      <c r="AZ824" s="231"/>
      <c r="BA824" s="231"/>
      <c r="BB824" s="231"/>
      <c r="BC824" s="231"/>
      <c r="BD824" s="104"/>
      <c r="BE824" s="104"/>
      <c r="BF824" s="104"/>
      <c r="BG824" s="104"/>
      <c r="BH824" s="104"/>
      <c r="BI824" s="104"/>
      <c r="BJ824" s="104"/>
      <c r="BK824" s="12"/>
      <c r="BL824" s="12"/>
    </row>
    <row r="825" spans="1:64">
      <c r="A825" s="9"/>
      <c r="B825" s="9"/>
      <c r="C825" s="94" t="s">
        <v>49</v>
      </c>
      <c r="D825" s="12"/>
      <c r="E825" s="9"/>
      <c r="F825" s="9"/>
      <c r="G825" s="205">
        <f>SUM(G826:G855)</f>
        <v>-85.497842544496294</v>
      </c>
      <c r="H825" s="496">
        <f>SUM(H826:H855)</f>
        <v>-89.005231496529916</v>
      </c>
      <c r="I825" s="496">
        <f t="shared" ref="I825:P825" si="101">SUM(I826:I855)</f>
        <v>-34.714075478242158</v>
      </c>
      <c r="J825" s="496">
        <f t="shared" si="101"/>
        <v>-83.120548490464657</v>
      </c>
      <c r="K825" s="496">
        <f t="shared" si="101"/>
        <v>-79.084031742681205</v>
      </c>
      <c r="L825" s="496">
        <f t="shared" si="101"/>
        <v>-72.973664130462026</v>
      </c>
      <c r="M825" s="35">
        <f t="shared" si="101"/>
        <v>0</v>
      </c>
      <c r="N825" s="35">
        <f t="shared" si="101"/>
        <v>0</v>
      </c>
      <c r="O825" s="35">
        <f t="shared" si="101"/>
        <v>0</v>
      </c>
      <c r="P825" s="35">
        <f t="shared" si="101"/>
        <v>0</v>
      </c>
      <c r="Q825" s="35">
        <f>SUM(Q826:Q855)</f>
        <v>0</v>
      </c>
      <c r="R825" s="29"/>
      <c r="S825" s="104"/>
      <c r="T825" s="104"/>
      <c r="U825" s="104"/>
      <c r="V825" s="104"/>
      <c r="W825" s="104"/>
      <c r="X825" s="104"/>
      <c r="Y825" s="104"/>
      <c r="Z825" s="104"/>
      <c r="AA825" s="231"/>
      <c r="AB825" s="231"/>
      <c r="AC825" s="231"/>
      <c r="AD825" s="231"/>
      <c r="AE825" s="231"/>
      <c r="AF825" s="231"/>
      <c r="AG825" s="231"/>
      <c r="AH825" s="231"/>
      <c r="AI825" s="231"/>
      <c r="AJ825" s="231"/>
      <c r="AK825" s="231"/>
      <c r="AL825" s="231"/>
      <c r="AM825" s="231"/>
      <c r="AN825" s="231"/>
      <c r="AO825" s="231"/>
      <c r="AP825" s="231"/>
      <c r="AQ825" s="231"/>
      <c r="AR825" s="231"/>
      <c r="AS825" s="231"/>
      <c r="AT825" s="231"/>
      <c r="AU825" s="231"/>
      <c r="AV825" s="231"/>
      <c r="AW825" s="231"/>
      <c r="AX825" s="231"/>
      <c r="AY825" s="231"/>
      <c r="AZ825" s="231"/>
      <c r="BA825" s="231"/>
      <c r="BB825" s="231"/>
      <c r="BC825" s="231"/>
      <c r="BD825" s="104"/>
      <c r="BE825" s="104"/>
      <c r="BF825" s="104"/>
      <c r="BG825" s="104"/>
      <c r="BH825" s="104"/>
      <c r="BI825" s="104"/>
      <c r="BJ825" s="104"/>
      <c r="BK825" s="12"/>
      <c r="BL825" s="12"/>
    </row>
    <row r="826" spans="1:64" ht="12.75" hidden="1" customHeight="1" outlineLevel="1">
      <c r="A826" s="9"/>
      <c r="B826" s="9"/>
      <c r="C826" s="44"/>
      <c r="D826" s="271" t="str">
        <f>Asset1</f>
        <v>Subtransmission</v>
      </c>
      <c r="E826" s="9"/>
      <c r="F826" s="9"/>
      <c r="G826" s="207">
        <f>'Adjustment for previous period'!G560</f>
        <v>-6.6911891775343548</v>
      </c>
      <c r="H826" s="115">
        <f>H956+H988</f>
        <v>-1.4121726060074709</v>
      </c>
      <c r="I826" s="115">
        <f t="shared" ref="I826:Q826" si="102">I956+I988</f>
        <v>5.2644874861382362E-2</v>
      </c>
      <c r="J826" s="115">
        <f t="shared" si="102"/>
        <v>-3.6168212369029087</v>
      </c>
      <c r="K826" s="115">
        <f t="shared" si="102"/>
        <v>-3.5384730273056562</v>
      </c>
      <c r="L826" s="115">
        <f t="shared" si="102"/>
        <v>-3.3569311841354992</v>
      </c>
      <c r="M826" s="115">
        <f t="shared" si="102"/>
        <v>0</v>
      </c>
      <c r="N826" s="115">
        <f t="shared" si="102"/>
        <v>0</v>
      </c>
      <c r="O826" s="115">
        <f t="shared" si="102"/>
        <v>0</v>
      </c>
      <c r="P826" s="115">
        <f t="shared" si="102"/>
        <v>0</v>
      </c>
      <c r="Q826" s="115">
        <f t="shared" si="102"/>
        <v>0</v>
      </c>
      <c r="R826" s="29"/>
      <c r="S826" s="104"/>
      <c r="T826" s="104"/>
      <c r="U826" s="104"/>
      <c r="V826" s="104"/>
      <c r="W826" s="104"/>
      <c r="X826" s="104"/>
      <c r="Y826" s="104"/>
      <c r="Z826" s="104"/>
      <c r="AA826" s="231"/>
      <c r="AB826" s="231"/>
      <c r="AC826" s="231"/>
      <c r="AD826" s="231"/>
      <c r="AE826" s="231"/>
      <c r="AF826" s="231"/>
      <c r="AG826" s="231"/>
      <c r="AH826" s="231"/>
      <c r="AI826" s="231"/>
      <c r="AJ826" s="231"/>
      <c r="AK826" s="231"/>
      <c r="AL826" s="231"/>
      <c r="AM826" s="231"/>
      <c r="AN826" s="231"/>
      <c r="AO826" s="231"/>
      <c r="AP826" s="231"/>
      <c r="AQ826" s="231"/>
      <c r="AR826" s="231"/>
      <c r="AS826" s="231"/>
      <c r="AT826" s="231"/>
      <c r="AU826" s="231"/>
      <c r="AV826" s="231"/>
      <c r="AW826" s="231"/>
      <c r="AX826" s="231"/>
      <c r="AY826" s="231"/>
      <c r="AZ826" s="231"/>
      <c r="BA826" s="231"/>
      <c r="BB826" s="231"/>
      <c r="BC826" s="231"/>
      <c r="BD826" s="104"/>
      <c r="BE826" s="104"/>
      <c r="BF826" s="104"/>
      <c r="BG826" s="104"/>
      <c r="BH826" s="104"/>
      <c r="BI826" s="104"/>
      <c r="BJ826" s="104"/>
      <c r="BK826" s="12"/>
      <c r="BL826" s="12"/>
    </row>
    <row r="827" spans="1:64" ht="12.75" hidden="1" customHeight="1" outlineLevel="1">
      <c r="A827" s="9"/>
      <c r="B827" s="9"/>
      <c r="C827" s="44"/>
      <c r="D827" s="271" t="str">
        <f>Asset2</f>
        <v>Distribution system assets</v>
      </c>
      <c r="E827" s="9"/>
      <c r="F827" s="9"/>
      <c r="G827" s="207">
        <f>'Adjustment for previous period'!G561</f>
        <v>-30.502351015154549</v>
      </c>
      <c r="H827" s="115">
        <f t="shared" ref="H827:Q827" si="103">H957+H989</f>
        <v>-13.086408647832833</v>
      </c>
      <c r="I827" s="115">
        <f t="shared" si="103"/>
        <v>-9.2938846340430814E-2</v>
      </c>
      <c r="J827" s="115">
        <f t="shared" si="103"/>
        <v>-30.829169357900689</v>
      </c>
      <c r="K827" s="115">
        <f t="shared" si="103"/>
        <v>-29.421117476512855</v>
      </c>
      <c r="L827" s="115">
        <f t="shared" si="103"/>
        <v>-27.717469934295117</v>
      </c>
      <c r="M827" s="115">
        <f t="shared" si="103"/>
        <v>0</v>
      </c>
      <c r="N827" s="115">
        <f t="shared" si="103"/>
        <v>0</v>
      </c>
      <c r="O827" s="115">
        <f t="shared" si="103"/>
        <v>0</v>
      </c>
      <c r="P827" s="115">
        <f t="shared" si="103"/>
        <v>0</v>
      </c>
      <c r="Q827" s="115">
        <f t="shared" si="103"/>
        <v>0</v>
      </c>
      <c r="R827" s="29"/>
      <c r="S827" s="104"/>
      <c r="T827" s="104"/>
      <c r="U827" s="104"/>
      <c r="V827" s="104"/>
      <c r="W827" s="104"/>
      <c r="X827" s="104"/>
      <c r="Y827" s="104"/>
      <c r="Z827" s="104"/>
      <c r="AA827" s="231"/>
      <c r="AB827" s="231"/>
      <c r="AC827" s="231"/>
      <c r="AD827" s="231"/>
      <c r="AE827" s="231"/>
      <c r="AF827" s="231"/>
      <c r="AG827" s="231"/>
      <c r="AH827" s="231"/>
      <c r="AI827" s="231"/>
      <c r="AJ827" s="231"/>
      <c r="AK827" s="231"/>
      <c r="AL827" s="231"/>
      <c r="AM827" s="231"/>
      <c r="AN827" s="231"/>
      <c r="AO827" s="231"/>
      <c r="AP827" s="231"/>
      <c r="AQ827" s="231"/>
      <c r="AR827" s="231"/>
      <c r="AS827" s="231"/>
      <c r="AT827" s="231"/>
      <c r="AU827" s="231"/>
      <c r="AV827" s="231"/>
      <c r="AW827" s="231"/>
      <c r="AX827" s="231"/>
      <c r="AY827" s="231"/>
      <c r="AZ827" s="231"/>
      <c r="BA827" s="231"/>
      <c r="BB827" s="231"/>
      <c r="BC827" s="231"/>
      <c r="BD827" s="104"/>
      <c r="BE827" s="104"/>
      <c r="BF827" s="104"/>
      <c r="BG827" s="104"/>
      <c r="BH827" s="104"/>
      <c r="BI827" s="104"/>
      <c r="BJ827" s="104"/>
      <c r="BK827" s="12"/>
      <c r="BL827" s="12"/>
    </row>
    <row r="828" spans="1:64" ht="12.75" hidden="1" customHeight="1" outlineLevel="1">
      <c r="A828" s="9"/>
      <c r="B828" s="9"/>
      <c r="C828" s="44"/>
      <c r="D828" s="271" t="str">
        <f>Asset3</f>
        <v>Standard metering</v>
      </c>
      <c r="E828" s="9"/>
      <c r="F828" s="9"/>
      <c r="G828" s="207">
        <f>'Adjustment for previous period'!G562</f>
        <v>-13.489445516505549</v>
      </c>
      <c r="H828" s="115">
        <f t="shared" ref="H828:Q828" si="104">H958+H990</f>
        <v>-15.790380770985779</v>
      </c>
      <c r="I828" s="115">
        <f t="shared" si="104"/>
        <v>0</v>
      </c>
      <c r="J828" s="115">
        <f t="shared" si="104"/>
        <v>0</v>
      </c>
      <c r="K828" s="115">
        <f t="shared" si="104"/>
        <v>0</v>
      </c>
      <c r="L828" s="115">
        <f t="shared" si="104"/>
        <v>0</v>
      </c>
      <c r="M828" s="115">
        <f t="shared" si="104"/>
        <v>0</v>
      </c>
      <c r="N828" s="115">
        <f t="shared" si="104"/>
        <v>0</v>
      </c>
      <c r="O828" s="115">
        <f t="shared" si="104"/>
        <v>0</v>
      </c>
      <c r="P828" s="115">
        <f t="shared" si="104"/>
        <v>0</v>
      </c>
      <c r="Q828" s="115">
        <f t="shared" si="104"/>
        <v>0</v>
      </c>
      <c r="R828" s="29"/>
      <c r="S828" s="104"/>
      <c r="T828" s="104"/>
      <c r="U828" s="104"/>
      <c r="V828" s="104"/>
      <c r="W828" s="104"/>
      <c r="X828" s="104"/>
      <c r="Y828" s="104"/>
      <c r="Z828" s="104"/>
      <c r="AA828" s="231"/>
      <c r="AB828" s="231"/>
      <c r="AC828" s="231"/>
      <c r="AD828" s="231"/>
      <c r="AE828" s="231"/>
      <c r="AF828" s="231"/>
      <c r="AG828" s="231"/>
      <c r="AH828" s="231"/>
      <c r="AI828" s="231"/>
      <c r="AJ828" s="231"/>
      <c r="AK828" s="231"/>
      <c r="AL828" s="231"/>
      <c r="AM828" s="231"/>
      <c r="AN828" s="231"/>
      <c r="AO828" s="231"/>
      <c r="AP828" s="231"/>
      <c r="AQ828" s="231"/>
      <c r="AR828" s="231"/>
      <c r="AS828" s="231"/>
      <c r="AT828" s="231"/>
      <c r="AU828" s="231"/>
      <c r="AV828" s="231"/>
      <c r="AW828" s="231"/>
      <c r="AX828" s="231"/>
      <c r="AY828" s="231"/>
      <c r="AZ828" s="231"/>
      <c r="BA828" s="231"/>
      <c r="BB828" s="231"/>
      <c r="BC828" s="231"/>
      <c r="BD828" s="104"/>
      <c r="BE828" s="104"/>
      <c r="BF828" s="104"/>
      <c r="BG828" s="104"/>
      <c r="BH828" s="104"/>
      <c r="BI828" s="104"/>
      <c r="BJ828" s="104"/>
      <c r="BK828" s="12"/>
      <c r="BL828" s="12"/>
    </row>
    <row r="829" spans="1:64" ht="12.75" hidden="1" customHeight="1" outlineLevel="1">
      <c r="A829" s="9"/>
      <c r="B829" s="9"/>
      <c r="C829" s="44"/>
      <c r="D829" s="271" t="str">
        <f>Asset4</f>
        <v>Public lighting</v>
      </c>
      <c r="E829" s="9"/>
      <c r="F829" s="9"/>
      <c r="G829" s="207">
        <f>'Adjustment for previous period'!G563</f>
        <v>-6.5389223827045004</v>
      </c>
      <c r="H829" s="115">
        <f t="shared" ref="H829:Q829" si="105">H959+H991</f>
        <v>-0.38897486718899543</v>
      </c>
      <c r="I829" s="115">
        <f t="shared" si="105"/>
        <v>0</v>
      </c>
      <c r="J829" s="115">
        <f t="shared" si="105"/>
        <v>0</v>
      </c>
      <c r="K829" s="115">
        <f t="shared" si="105"/>
        <v>0</v>
      </c>
      <c r="L829" s="115">
        <f t="shared" si="105"/>
        <v>0</v>
      </c>
      <c r="M829" s="115">
        <f t="shared" si="105"/>
        <v>0</v>
      </c>
      <c r="N829" s="115">
        <f t="shared" si="105"/>
        <v>0</v>
      </c>
      <c r="O829" s="115">
        <f t="shared" si="105"/>
        <v>0</v>
      </c>
      <c r="P829" s="115">
        <f t="shared" si="105"/>
        <v>0</v>
      </c>
      <c r="Q829" s="115">
        <f t="shared" si="105"/>
        <v>0</v>
      </c>
      <c r="R829" s="29"/>
      <c r="S829" s="104"/>
      <c r="T829" s="104"/>
      <c r="U829" s="104"/>
      <c r="V829" s="104"/>
      <c r="W829" s="104"/>
      <c r="X829" s="104"/>
      <c r="Y829" s="104"/>
      <c r="Z829" s="104"/>
      <c r="AA829" s="231"/>
      <c r="AB829" s="231"/>
      <c r="AC829" s="231"/>
      <c r="AD829" s="231"/>
      <c r="AE829" s="231"/>
      <c r="AF829" s="231"/>
      <c r="AG829" s="231"/>
      <c r="AH829" s="231"/>
      <c r="AI829" s="231"/>
      <c r="AJ829" s="231"/>
      <c r="AK829" s="231"/>
      <c r="AL829" s="231"/>
      <c r="AM829" s="231"/>
      <c r="AN829" s="231"/>
      <c r="AO829" s="231"/>
      <c r="AP829" s="231"/>
      <c r="AQ829" s="231"/>
      <c r="AR829" s="231"/>
      <c r="AS829" s="231"/>
      <c r="AT829" s="231"/>
      <c r="AU829" s="231"/>
      <c r="AV829" s="231"/>
      <c r="AW829" s="231"/>
      <c r="AX829" s="231"/>
      <c r="AY829" s="231"/>
      <c r="AZ829" s="231"/>
      <c r="BA829" s="231"/>
      <c r="BB829" s="231"/>
      <c r="BC829" s="231"/>
      <c r="BD829" s="104"/>
      <c r="BE829" s="104"/>
      <c r="BF829" s="104"/>
      <c r="BG829" s="104"/>
      <c r="BH829" s="104"/>
      <c r="BI829" s="104"/>
      <c r="BJ829" s="104"/>
      <c r="BK829" s="12"/>
      <c r="BL829" s="12"/>
    </row>
    <row r="830" spans="1:64" ht="12.75" hidden="1" customHeight="1" outlineLevel="1">
      <c r="A830" s="9"/>
      <c r="B830" s="9"/>
      <c r="C830" s="44"/>
      <c r="D830" s="271" t="str">
        <f>Asset5</f>
        <v>SCADA/Network control</v>
      </c>
      <c r="E830" s="9"/>
      <c r="F830" s="9"/>
      <c r="G830" s="207">
        <f>'Adjustment for previous period'!G564</f>
        <v>-9.9973617177477241</v>
      </c>
      <c r="H830" s="115">
        <f t="shared" ref="H830:Q830" si="106">H960+H992</f>
        <v>-1.6653345369377348E-15</v>
      </c>
      <c r="I830" s="115">
        <f t="shared" si="106"/>
        <v>-0.2286760460721044</v>
      </c>
      <c r="J830" s="115">
        <f t="shared" si="106"/>
        <v>-1.4038840086916538</v>
      </c>
      <c r="K830" s="115">
        <f t="shared" si="106"/>
        <v>-1.8236807268729756</v>
      </c>
      <c r="L830" s="115">
        <f t="shared" si="106"/>
        <v>-2.0398525519937203</v>
      </c>
      <c r="M830" s="115">
        <f t="shared" si="106"/>
        <v>0</v>
      </c>
      <c r="N830" s="115">
        <f t="shared" si="106"/>
        <v>0</v>
      </c>
      <c r="O830" s="115">
        <f t="shared" si="106"/>
        <v>0</v>
      </c>
      <c r="P830" s="115">
        <f t="shared" si="106"/>
        <v>0</v>
      </c>
      <c r="Q830" s="115">
        <f t="shared" si="106"/>
        <v>0</v>
      </c>
      <c r="R830" s="29"/>
      <c r="S830" s="104"/>
      <c r="T830" s="104"/>
      <c r="U830" s="104"/>
      <c r="V830" s="104"/>
      <c r="W830" s="104"/>
      <c r="X830" s="104"/>
      <c r="Y830" s="104"/>
      <c r="Z830" s="104"/>
      <c r="AA830" s="231"/>
      <c r="AB830" s="231"/>
      <c r="AC830" s="231"/>
      <c r="AD830" s="231"/>
      <c r="AE830" s="231"/>
      <c r="AF830" s="231"/>
      <c r="AG830" s="231"/>
      <c r="AH830" s="231"/>
      <c r="AI830" s="231"/>
      <c r="AJ830" s="231"/>
      <c r="AK830" s="231"/>
      <c r="AL830" s="231"/>
      <c r="AM830" s="231"/>
      <c r="AN830" s="231"/>
      <c r="AO830" s="231"/>
      <c r="AP830" s="231"/>
      <c r="AQ830" s="231"/>
      <c r="AR830" s="231"/>
      <c r="AS830" s="231"/>
      <c r="AT830" s="231"/>
      <c r="AU830" s="231"/>
      <c r="AV830" s="231"/>
      <c r="AW830" s="231"/>
      <c r="AX830" s="231"/>
      <c r="AY830" s="231"/>
      <c r="AZ830" s="231"/>
      <c r="BA830" s="231"/>
      <c r="BB830" s="231"/>
      <c r="BC830" s="231"/>
      <c r="BD830" s="104"/>
      <c r="BE830" s="104"/>
      <c r="BF830" s="104"/>
      <c r="BG830" s="104"/>
      <c r="BH830" s="104"/>
      <c r="BI830" s="104"/>
      <c r="BJ830" s="104"/>
      <c r="BK830" s="12"/>
      <c r="BL830" s="12"/>
    </row>
    <row r="831" spans="1:64" ht="12.75" hidden="1" customHeight="1" outlineLevel="1">
      <c r="A831" s="9"/>
      <c r="B831" s="9"/>
      <c r="C831" s="44"/>
      <c r="D831" s="271" t="str">
        <f>Asset6</f>
        <v>Non-network general assets - IT</v>
      </c>
      <c r="E831" s="9"/>
      <c r="F831" s="9"/>
      <c r="G831" s="207">
        <f>'Adjustment for previous period'!G565</f>
        <v>-18.232941669919043</v>
      </c>
      <c r="H831" s="115">
        <f t="shared" ref="H831:Q831" si="107">H961+H993</f>
        <v>-24.051650203029588</v>
      </c>
      <c r="I831" s="115">
        <f t="shared" si="107"/>
        <v>-33.579678639948213</v>
      </c>
      <c r="J831" s="115">
        <f t="shared" si="107"/>
        <v>-45.549130105242405</v>
      </c>
      <c r="K831" s="115">
        <f t="shared" si="107"/>
        <v>-41.467596794153749</v>
      </c>
      <c r="L831" s="115">
        <f t="shared" si="107"/>
        <v>-36.071174665794985</v>
      </c>
      <c r="M831" s="115">
        <f t="shared" si="107"/>
        <v>0</v>
      </c>
      <c r="N831" s="115">
        <f t="shared" si="107"/>
        <v>0</v>
      </c>
      <c r="O831" s="115">
        <f t="shared" si="107"/>
        <v>0</v>
      </c>
      <c r="P831" s="115">
        <f t="shared" si="107"/>
        <v>0</v>
      </c>
      <c r="Q831" s="115">
        <f t="shared" si="107"/>
        <v>0</v>
      </c>
      <c r="R831" s="29"/>
      <c r="S831" s="104"/>
      <c r="T831" s="104"/>
      <c r="U831" s="104"/>
      <c r="V831" s="104"/>
      <c r="W831" s="104"/>
      <c r="X831" s="104"/>
      <c r="Y831" s="104"/>
      <c r="Z831" s="104"/>
      <c r="AA831" s="231"/>
      <c r="AB831" s="231"/>
      <c r="AC831" s="231"/>
      <c r="AD831" s="231"/>
      <c r="AE831" s="231"/>
      <c r="AF831" s="231"/>
      <c r="AG831" s="231"/>
      <c r="AH831" s="231"/>
      <c r="AI831" s="231"/>
      <c r="AJ831" s="231"/>
      <c r="AK831" s="231"/>
      <c r="AL831" s="231"/>
      <c r="AM831" s="231"/>
      <c r="AN831" s="231"/>
      <c r="AO831" s="231"/>
      <c r="AP831" s="231"/>
      <c r="AQ831" s="231"/>
      <c r="AR831" s="231"/>
      <c r="AS831" s="231"/>
      <c r="AT831" s="231"/>
      <c r="AU831" s="231"/>
      <c r="AV831" s="231"/>
      <c r="AW831" s="231"/>
      <c r="AX831" s="231"/>
      <c r="AY831" s="231"/>
      <c r="AZ831" s="231"/>
      <c r="BA831" s="231"/>
      <c r="BB831" s="231"/>
      <c r="BC831" s="231"/>
      <c r="BD831" s="104"/>
      <c r="BE831" s="104"/>
      <c r="BF831" s="104"/>
      <c r="BG831" s="104"/>
      <c r="BH831" s="104"/>
      <c r="BI831" s="104"/>
      <c r="BJ831" s="104"/>
      <c r="BK831" s="12"/>
      <c r="BL831" s="12"/>
    </row>
    <row r="832" spans="1:64" ht="12.75" hidden="1" customHeight="1" outlineLevel="1">
      <c r="A832" s="9"/>
      <c r="B832" s="9"/>
      <c r="C832" s="44"/>
      <c r="D832" s="271" t="str">
        <f>Asset7</f>
        <v>Non-network general assets - Other</v>
      </c>
      <c r="E832" s="9"/>
      <c r="F832" s="9"/>
      <c r="G832" s="207">
        <f>'Adjustment for previous period'!G566</f>
        <v>-4.5631064930580612E-2</v>
      </c>
      <c r="H832" s="115">
        <f t="shared" ref="H832:Q832" si="108">H962+H994</f>
        <v>-34.275644401485252</v>
      </c>
      <c r="I832" s="115">
        <f t="shared" si="108"/>
        <v>-0.88552901952294794</v>
      </c>
      <c r="J832" s="115">
        <f t="shared" si="108"/>
        <v>-1.7177770951143159</v>
      </c>
      <c r="K832" s="115">
        <f t="shared" si="108"/>
        <v>-2.8310268264286993</v>
      </c>
      <c r="L832" s="115">
        <f t="shared" si="108"/>
        <v>-3.7875204145944852</v>
      </c>
      <c r="M832" s="115">
        <f t="shared" si="108"/>
        <v>0</v>
      </c>
      <c r="N832" s="115">
        <f t="shared" si="108"/>
        <v>0</v>
      </c>
      <c r="O832" s="115">
        <f t="shared" si="108"/>
        <v>0</v>
      </c>
      <c r="P832" s="115">
        <f t="shared" si="108"/>
        <v>0</v>
      </c>
      <c r="Q832" s="115">
        <f t="shared" si="108"/>
        <v>0</v>
      </c>
      <c r="R832" s="29"/>
      <c r="S832" s="104"/>
      <c r="T832" s="104"/>
      <c r="U832" s="104"/>
      <c r="V832" s="104"/>
      <c r="W832" s="104"/>
      <c r="X832" s="104"/>
      <c r="Y832" s="104"/>
      <c r="Z832" s="104"/>
      <c r="AA832" s="231"/>
      <c r="AB832" s="231"/>
      <c r="AC832" s="231"/>
      <c r="AD832" s="231"/>
      <c r="AE832" s="231"/>
      <c r="AF832" s="231"/>
      <c r="AG832" s="231"/>
      <c r="AH832" s="231"/>
      <c r="AI832" s="231"/>
      <c r="AJ832" s="231"/>
      <c r="AK832" s="231"/>
      <c r="AL832" s="231"/>
      <c r="AM832" s="231"/>
      <c r="AN832" s="231"/>
      <c r="AO832" s="231"/>
      <c r="AP832" s="231"/>
      <c r="AQ832" s="231"/>
      <c r="AR832" s="231"/>
      <c r="AS832" s="231"/>
      <c r="AT832" s="231"/>
      <c r="AU832" s="231"/>
      <c r="AV832" s="231"/>
      <c r="AW832" s="231"/>
      <c r="AX832" s="231"/>
      <c r="AY832" s="231"/>
      <c r="AZ832" s="231"/>
      <c r="BA832" s="231"/>
      <c r="BB832" s="231"/>
      <c r="BC832" s="231"/>
      <c r="BD832" s="104"/>
      <c r="BE832" s="104"/>
      <c r="BF832" s="104"/>
      <c r="BG832" s="104"/>
      <c r="BH832" s="104"/>
      <c r="BI832" s="104"/>
      <c r="BJ832" s="104"/>
      <c r="BK832" s="12"/>
      <c r="BL832" s="12"/>
    </row>
    <row r="833" spans="1:64" ht="12.75" hidden="1" customHeight="1" outlineLevel="1">
      <c r="A833" s="9"/>
      <c r="B833" s="9"/>
      <c r="C833" s="44"/>
      <c r="D833" s="271" t="str">
        <f>Asset8</f>
        <v>Equity Raising Costs</v>
      </c>
      <c r="E833" s="9"/>
      <c r="F833" s="9"/>
      <c r="G833" s="207">
        <f>'Adjustment for previous period'!G567</f>
        <v>0</v>
      </c>
      <c r="H833" s="115">
        <f t="shared" ref="H833:Q833" si="109">H963+H995</f>
        <v>0</v>
      </c>
      <c r="I833" s="115">
        <f t="shared" si="109"/>
        <v>2.0102198780155262E-2</v>
      </c>
      <c r="J833" s="115">
        <f t="shared" si="109"/>
        <v>-3.7666866126759915E-3</v>
      </c>
      <c r="K833" s="115">
        <f t="shared" si="109"/>
        <v>-2.1368914072693382E-3</v>
      </c>
      <c r="L833" s="115">
        <f t="shared" si="109"/>
        <v>-7.1537964822988159E-4</v>
      </c>
      <c r="M833" s="115">
        <f t="shared" si="109"/>
        <v>0</v>
      </c>
      <c r="N833" s="115">
        <f t="shared" si="109"/>
        <v>0</v>
      </c>
      <c r="O833" s="115">
        <f t="shared" si="109"/>
        <v>0</v>
      </c>
      <c r="P833" s="115">
        <f t="shared" si="109"/>
        <v>0</v>
      </c>
      <c r="Q833" s="115">
        <f t="shared" si="109"/>
        <v>0</v>
      </c>
      <c r="R833" s="29"/>
      <c r="S833" s="104"/>
      <c r="T833" s="104"/>
      <c r="U833" s="104"/>
      <c r="V833" s="104"/>
      <c r="W833" s="104"/>
      <c r="X833" s="104"/>
      <c r="Y833" s="104"/>
      <c r="Z833" s="104"/>
      <c r="AA833" s="231"/>
      <c r="AB833" s="231"/>
      <c r="AC833" s="231"/>
      <c r="AD833" s="231"/>
      <c r="AE833" s="231"/>
      <c r="AF833" s="231"/>
      <c r="AG833" s="231"/>
      <c r="AH833" s="231"/>
      <c r="AI833" s="231"/>
      <c r="AJ833" s="231"/>
      <c r="AK833" s="231"/>
      <c r="AL833" s="231"/>
      <c r="AM833" s="231"/>
      <c r="AN833" s="231"/>
      <c r="AO833" s="231"/>
      <c r="AP833" s="231"/>
      <c r="AQ833" s="231"/>
      <c r="AR833" s="231"/>
      <c r="AS833" s="231"/>
      <c r="AT833" s="231"/>
      <c r="AU833" s="231"/>
      <c r="AV833" s="231"/>
      <c r="AW833" s="231"/>
      <c r="AX833" s="231"/>
      <c r="AY833" s="231"/>
      <c r="AZ833" s="231"/>
      <c r="BA833" s="231"/>
      <c r="BB833" s="231"/>
      <c r="BC833" s="231"/>
      <c r="BD833" s="104"/>
      <c r="BE833" s="104"/>
      <c r="BF833" s="104"/>
      <c r="BG833" s="104"/>
      <c r="BH833" s="104"/>
      <c r="BI833" s="104"/>
      <c r="BJ833" s="104"/>
      <c r="BK833" s="12"/>
      <c r="BL833" s="12"/>
    </row>
    <row r="834" spans="1:64" ht="12.75" hidden="1" customHeight="1" outlineLevel="1">
      <c r="A834" s="9"/>
      <c r="B834" s="9"/>
      <c r="C834" s="44"/>
      <c r="D834" s="271">
        <f>Asset9</f>
        <v>0</v>
      </c>
      <c r="E834" s="9"/>
      <c r="F834" s="9"/>
      <c r="G834" s="207">
        <f>'Adjustment for previous period'!G568</f>
        <v>0</v>
      </c>
      <c r="H834" s="115">
        <f t="shared" ref="H834:Q834" si="110">H964+H996</f>
        <v>0</v>
      </c>
      <c r="I834" s="115">
        <f t="shared" si="110"/>
        <v>0</v>
      </c>
      <c r="J834" s="115">
        <f t="shared" si="110"/>
        <v>0</v>
      </c>
      <c r="K834" s="115">
        <f t="shared" si="110"/>
        <v>0</v>
      </c>
      <c r="L834" s="115">
        <f t="shared" si="110"/>
        <v>0</v>
      </c>
      <c r="M834" s="115">
        <f t="shared" si="110"/>
        <v>0</v>
      </c>
      <c r="N834" s="115">
        <f t="shared" si="110"/>
        <v>0</v>
      </c>
      <c r="O834" s="115">
        <f t="shared" si="110"/>
        <v>0</v>
      </c>
      <c r="P834" s="115">
        <f t="shared" si="110"/>
        <v>0</v>
      </c>
      <c r="Q834" s="115">
        <f t="shared" si="110"/>
        <v>0</v>
      </c>
      <c r="R834" s="29"/>
      <c r="S834" s="104"/>
      <c r="T834" s="104"/>
      <c r="U834" s="104"/>
      <c r="V834" s="104"/>
      <c r="W834" s="104"/>
      <c r="X834" s="104"/>
      <c r="Y834" s="104"/>
      <c r="Z834" s="104"/>
      <c r="AA834" s="231"/>
      <c r="AB834" s="231"/>
      <c r="AC834" s="231"/>
      <c r="AD834" s="231"/>
      <c r="AE834" s="231"/>
      <c r="AF834" s="231"/>
      <c r="AG834" s="231"/>
      <c r="AH834" s="231"/>
      <c r="AI834" s="231"/>
      <c r="AJ834" s="231"/>
      <c r="AK834" s="231"/>
      <c r="AL834" s="231"/>
      <c r="AM834" s="231"/>
      <c r="AN834" s="231"/>
      <c r="AO834" s="231"/>
      <c r="AP834" s="231"/>
      <c r="AQ834" s="231"/>
      <c r="AR834" s="231"/>
      <c r="AS834" s="231"/>
      <c r="AT834" s="231"/>
      <c r="AU834" s="231"/>
      <c r="AV834" s="231"/>
      <c r="AW834" s="231"/>
      <c r="AX834" s="231"/>
      <c r="AY834" s="231"/>
      <c r="AZ834" s="231"/>
      <c r="BA834" s="231"/>
      <c r="BB834" s="231"/>
      <c r="BC834" s="231"/>
      <c r="BD834" s="104"/>
      <c r="BE834" s="104"/>
      <c r="BF834" s="104"/>
      <c r="BG834" s="104"/>
      <c r="BH834" s="104"/>
      <c r="BI834" s="104"/>
      <c r="BJ834" s="104"/>
      <c r="BK834" s="12"/>
      <c r="BL834" s="12"/>
    </row>
    <row r="835" spans="1:64" ht="12.75" hidden="1" customHeight="1" outlineLevel="1">
      <c r="A835" s="9"/>
      <c r="B835" s="9"/>
      <c r="C835" s="44"/>
      <c r="D835" s="271">
        <f>Asset10</f>
        <v>0</v>
      </c>
      <c r="E835" s="9"/>
      <c r="F835" s="9"/>
      <c r="G835" s="207">
        <f>'Adjustment for previous period'!G569</f>
        <v>0</v>
      </c>
      <c r="H835" s="115">
        <f t="shared" ref="H835:Q835" si="111">H965+H997</f>
        <v>0</v>
      </c>
      <c r="I835" s="115">
        <f t="shared" si="111"/>
        <v>0</v>
      </c>
      <c r="J835" s="115">
        <f t="shared" si="111"/>
        <v>0</v>
      </c>
      <c r="K835" s="115">
        <f t="shared" si="111"/>
        <v>0</v>
      </c>
      <c r="L835" s="115">
        <f t="shared" si="111"/>
        <v>0</v>
      </c>
      <c r="M835" s="115">
        <f t="shared" si="111"/>
        <v>0</v>
      </c>
      <c r="N835" s="115">
        <f t="shared" si="111"/>
        <v>0</v>
      </c>
      <c r="O835" s="115">
        <f t="shared" si="111"/>
        <v>0</v>
      </c>
      <c r="P835" s="115">
        <f t="shared" si="111"/>
        <v>0</v>
      </c>
      <c r="Q835" s="115">
        <f t="shared" si="111"/>
        <v>0</v>
      </c>
      <c r="R835" s="29"/>
      <c r="S835" s="104"/>
      <c r="T835" s="104"/>
      <c r="U835" s="104"/>
      <c r="V835" s="104"/>
      <c r="W835" s="104"/>
      <c r="X835" s="104"/>
      <c r="Y835" s="104"/>
      <c r="Z835" s="104"/>
      <c r="AA835" s="231"/>
      <c r="AB835" s="231"/>
      <c r="AC835" s="231"/>
      <c r="AD835" s="231"/>
      <c r="AE835" s="231"/>
      <c r="AF835" s="231"/>
      <c r="AG835" s="231"/>
      <c r="AH835" s="231"/>
      <c r="AI835" s="231"/>
      <c r="AJ835" s="231"/>
      <c r="AK835" s="231"/>
      <c r="AL835" s="231"/>
      <c r="AM835" s="231"/>
      <c r="AN835" s="231"/>
      <c r="AO835" s="231"/>
      <c r="AP835" s="231"/>
      <c r="AQ835" s="231"/>
      <c r="AR835" s="231"/>
      <c r="AS835" s="231"/>
      <c r="AT835" s="231"/>
      <c r="AU835" s="231"/>
      <c r="AV835" s="231"/>
      <c r="AW835" s="231"/>
      <c r="AX835" s="231"/>
      <c r="AY835" s="231"/>
      <c r="AZ835" s="231"/>
      <c r="BA835" s="231"/>
      <c r="BB835" s="231"/>
      <c r="BC835" s="231"/>
      <c r="BD835" s="104"/>
      <c r="BE835" s="104"/>
      <c r="BF835" s="104"/>
      <c r="BG835" s="104"/>
      <c r="BH835" s="104"/>
      <c r="BI835" s="104"/>
      <c r="BJ835" s="104"/>
      <c r="BK835" s="12"/>
      <c r="BL835" s="12"/>
    </row>
    <row r="836" spans="1:64" ht="12.75" hidden="1" customHeight="1" outlineLevel="1">
      <c r="A836" s="9"/>
      <c r="B836" s="9"/>
      <c r="C836" s="44"/>
      <c r="D836" s="271">
        <f>Asset11</f>
        <v>0</v>
      </c>
      <c r="E836" s="9"/>
      <c r="F836" s="9"/>
      <c r="G836" s="207">
        <f>'Adjustment for previous period'!G570</f>
        <v>0</v>
      </c>
      <c r="H836" s="115">
        <f t="shared" ref="H836:Q836" si="112">H966+H998</f>
        <v>0</v>
      </c>
      <c r="I836" s="115">
        <f t="shared" si="112"/>
        <v>0</v>
      </c>
      <c r="J836" s="115">
        <f t="shared" si="112"/>
        <v>0</v>
      </c>
      <c r="K836" s="115">
        <f t="shared" si="112"/>
        <v>0</v>
      </c>
      <c r="L836" s="115">
        <f t="shared" si="112"/>
        <v>0</v>
      </c>
      <c r="M836" s="115">
        <f t="shared" si="112"/>
        <v>0</v>
      </c>
      <c r="N836" s="115">
        <f t="shared" si="112"/>
        <v>0</v>
      </c>
      <c r="O836" s="115">
        <f t="shared" si="112"/>
        <v>0</v>
      </c>
      <c r="P836" s="115">
        <f t="shared" si="112"/>
        <v>0</v>
      </c>
      <c r="Q836" s="115">
        <f t="shared" si="112"/>
        <v>0</v>
      </c>
      <c r="R836" s="29"/>
      <c r="S836" s="104"/>
      <c r="T836" s="104"/>
      <c r="U836" s="104"/>
      <c r="V836" s="104"/>
      <c r="W836" s="104"/>
      <c r="X836" s="104"/>
      <c r="Y836" s="104"/>
      <c r="Z836" s="104"/>
      <c r="AA836" s="231"/>
      <c r="AB836" s="231"/>
      <c r="AC836" s="231"/>
      <c r="AD836" s="231"/>
      <c r="AE836" s="231"/>
      <c r="AF836" s="231"/>
      <c r="AG836" s="231"/>
      <c r="AH836" s="231"/>
      <c r="AI836" s="231"/>
      <c r="AJ836" s="231"/>
      <c r="AK836" s="231"/>
      <c r="AL836" s="231"/>
      <c r="AM836" s="231"/>
      <c r="AN836" s="231"/>
      <c r="AO836" s="231"/>
      <c r="AP836" s="231"/>
      <c r="AQ836" s="231"/>
      <c r="AR836" s="231"/>
      <c r="AS836" s="231"/>
      <c r="AT836" s="231"/>
      <c r="AU836" s="231"/>
      <c r="AV836" s="231"/>
      <c r="AW836" s="231"/>
      <c r="AX836" s="231"/>
      <c r="AY836" s="231"/>
      <c r="AZ836" s="231"/>
      <c r="BA836" s="231"/>
      <c r="BB836" s="231"/>
      <c r="BC836" s="231"/>
      <c r="BD836" s="104"/>
      <c r="BE836" s="104"/>
      <c r="BF836" s="104"/>
      <c r="BG836" s="104"/>
      <c r="BH836" s="104"/>
      <c r="BI836" s="104"/>
      <c r="BJ836" s="104"/>
      <c r="BK836" s="12"/>
      <c r="BL836" s="12"/>
    </row>
    <row r="837" spans="1:64" ht="12.75" hidden="1" customHeight="1" outlineLevel="1">
      <c r="A837" s="9"/>
      <c r="B837" s="9"/>
      <c r="C837" s="44"/>
      <c r="D837" s="271">
        <f>Asset12</f>
        <v>0</v>
      </c>
      <c r="E837" s="9"/>
      <c r="F837" s="9"/>
      <c r="G837" s="207">
        <f>'Adjustment for previous period'!G571</f>
        <v>0</v>
      </c>
      <c r="H837" s="115">
        <f t="shared" ref="H837:Q837" si="113">H967+H999</f>
        <v>0</v>
      </c>
      <c r="I837" s="115">
        <f t="shared" si="113"/>
        <v>0</v>
      </c>
      <c r="J837" s="115">
        <f t="shared" si="113"/>
        <v>0</v>
      </c>
      <c r="K837" s="115">
        <f t="shared" si="113"/>
        <v>0</v>
      </c>
      <c r="L837" s="115">
        <f t="shared" si="113"/>
        <v>0</v>
      </c>
      <c r="M837" s="115">
        <f t="shared" si="113"/>
        <v>0</v>
      </c>
      <c r="N837" s="115">
        <f t="shared" si="113"/>
        <v>0</v>
      </c>
      <c r="O837" s="115">
        <f t="shared" si="113"/>
        <v>0</v>
      </c>
      <c r="P837" s="115">
        <f t="shared" si="113"/>
        <v>0</v>
      </c>
      <c r="Q837" s="115">
        <f t="shared" si="113"/>
        <v>0</v>
      </c>
      <c r="R837" s="29"/>
      <c r="S837" s="104"/>
      <c r="T837" s="104"/>
      <c r="U837" s="104"/>
      <c r="V837" s="104"/>
      <c r="W837" s="104"/>
      <c r="X837" s="104"/>
      <c r="Y837" s="104"/>
      <c r="Z837" s="104"/>
      <c r="AA837" s="231"/>
      <c r="AB837" s="231"/>
      <c r="AC837" s="231"/>
      <c r="AD837" s="231"/>
      <c r="AE837" s="231"/>
      <c r="AF837" s="231"/>
      <c r="AG837" s="231"/>
      <c r="AH837" s="231"/>
      <c r="AI837" s="231"/>
      <c r="AJ837" s="231"/>
      <c r="AK837" s="231"/>
      <c r="AL837" s="231"/>
      <c r="AM837" s="231"/>
      <c r="AN837" s="231"/>
      <c r="AO837" s="231"/>
      <c r="AP837" s="231"/>
      <c r="AQ837" s="231"/>
      <c r="AR837" s="231"/>
      <c r="AS837" s="231"/>
      <c r="AT837" s="231"/>
      <c r="AU837" s="231"/>
      <c r="AV837" s="231"/>
      <c r="AW837" s="231"/>
      <c r="AX837" s="231"/>
      <c r="AY837" s="231"/>
      <c r="AZ837" s="231"/>
      <c r="BA837" s="231"/>
      <c r="BB837" s="231"/>
      <c r="BC837" s="231"/>
      <c r="BD837" s="104"/>
      <c r="BE837" s="104"/>
      <c r="BF837" s="104"/>
      <c r="BG837" s="104"/>
      <c r="BH837" s="104"/>
      <c r="BI837" s="104"/>
      <c r="BJ837" s="104"/>
      <c r="BK837" s="12"/>
      <c r="BL837" s="12"/>
    </row>
    <row r="838" spans="1:64" ht="12.75" hidden="1" customHeight="1" outlineLevel="1">
      <c r="A838" s="9"/>
      <c r="B838" s="9"/>
      <c r="C838" s="44"/>
      <c r="D838" s="271">
        <f>Asset13</f>
        <v>0</v>
      </c>
      <c r="E838" s="9"/>
      <c r="F838" s="9"/>
      <c r="G838" s="207">
        <f>'Adjustment for previous period'!G572</f>
        <v>0</v>
      </c>
      <c r="H838" s="115">
        <f t="shared" ref="H838:Q838" si="114">H968+H1000</f>
        <v>0</v>
      </c>
      <c r="I838" s="115">
        <f t="shared" si="114"/>
        <v>0</v>
      </c>
      <c r="J838" s="115">
        <f t="shared" si="114"/>
        <v>0</v>
      </c>
      <c r="K838" s="115">
        <f t="shared" si="114"/>
        <v>0</v>
      </c>
      <c r="L838" s="115">
        <f t="shared" si="114"/>
        <v>0</v>
      </c>
      <c r="M838" s="115">
        <f t="shared" si="114"/>
        <v>0</v>
      </c>
      <c r="N838" s="115">
        <f t="shared" si="114"/>
        <v>0</v>
      </c>
      <c r="O838" s="115">
        <f t="shared" si="114"/>
        <v>0</v>
      </c>
      <c r="P838" s="115">
        <f t="shared" si="114"/>
        <v>0</v>
      </c>
      <c r="Q838" s="115">
        <f t="shared" si="114"/>
        <v>0</v>
      </c>
      <c r="R838" s="29"/>
      <c r="S838" s="104"/>
      <c r="T838" s="104"/>
      <c r="U838" s="104"/>
      <c r="V838" s="104"/>
      <c r="W838" s="104"/>
      <c r="X838" s="104"/>
      <c r="Y838" s="104"/>
      <c r="Z838" s="104"/>
      <c r="AA838" s="231"/>
      <c r="AB838" s="231"/>
      <c r="AC838" s="231"/>
      <c r="AD838" s="231"/>
      <c r="AE838" s="231"/>
      <c r="AF838" s="231"/>
      <c r="AG838" s="231"/>
      <c r="AH838" s="231"/>
      <c r="AI838" s="231"/>
      <c r="AJ838" s="231"/>
      <c r="AK838" s="231"/>
      <c r="AL838" s="231"/>
      <c r="AM838" s="231"/>
      <c r="AN838" s="231"/>
      <c r="AO838" s="231"/>
      <c r="AP838" s="231"/>
      <c r="AQ838" s="231"/>
      <c r="AR838" s="231"/>
      <c r="AS838" s="231"/>
      <c r="AT838" s="231"/>
      <c r="AU838" s="231"/>
      <c r="AV838" s="231"/>
      <c r="AW838" s="231"/>
      <c r="AX838" s="231"/>
      <c r="AY838" s="231"/>
      <c r="AZ838" s="231"/>
      <c r="BA838" s="231"/>
      <c r="BB838" s="231"/>
      <c r="BC838" s="231"/>
      <c r="BD838" s="104"/>
      <c r="BE838" s="104"/>
      <c r="BF838" s="104"/>
      <c r="BG838" s="104"/>
      <c r="BH838" s="104"/>
      <c r="BI838" s="104"/>
      <c r="BJ838" s="104"/>
      <c r="BK838" s="12"/>
      <c r="BL838" s="12"/>
    </row>
    <row r="839" spans="1:64" ht="12.75" hidden="1" customHeight="1" outlineLevel="1">
      <c r="A839" s="9"/>
      <c r="B839" s="9"/>
      <c r="C839" s="44"/>
      <c r="D839" s="271">
        <f>Asset14</f>
        <v>0</v>
      </c>
      <c r="E839" s="9"/>
      <c r="F839" s="9"/>
      <c r="G839" s="207">
        <f>'Adjustment for previous period'!G573</f>
        <v>0</v>
      </c>
      <c r="H839" s="115">
        <f t="shared" ref="H839:Q839" si="115">H969+H1001</f>
        <v>0</v>
      </c>
      <c r="I839" s="115">
        <f t="shared" si="115"/>
        <v>0</v>
      </c>
      <c r="J839" s="115">
        <f t="shared" si="115"/>
        <v>0</v>
      </c>
      <c r="K839" s="115">
        <f t="shared" si="115"/>
        <v>0</v>
      </c>
      <c r="L839" s="115">
        <f t="shared" si="115"/>
        <v>0</v>
      </c>
      <c r="M839" s="115">
        <f t="shared" si="115"/>
        <v>0</v>
      </c>
      <c r="N839" s="115">
        <f t="shared" si="115"/>
        <v>0</v>
      </c>
      <c r="O839" s="115">
        <f t="shared" si="115"/>
        <v>0</v>
      </c>
      <c r="P839" s="115">
        <f t="shared" si="115"/>
        <v>0</v>
      </c>
      <c r="Q839" s="115">
        <f t="shared" si="115"/>
        <v>0</v>
      </c>
      <c r="R839" s="29"/>
      <c r="S839" s="104"/>
      <c r="T839" s="104"/>
      <c r="U839" s="104"/>
      <c r="V839" s="104"/>
      <c r="W839" s="104"/>
      <c r="X839" s="104"/>
      <c r="Y839" s="104"/>
      <c r="Z839" s="104"/>
      <c r="AA839" s="231"/>
      <c r="AB839" s="231"/>
      <c r="AC839" s="231"/>
      <c r="AD839" s="231"/>
      <c r="AE839" s="231"/>
      <c r="AF839" s="231"/>
      <c r="AG839" s="231"/>
      <c r="AH839" s="231"/>
      <c r="AI839" s="231"/>
      <c r="AJ839" s="231"/>
      <c r="AK839" s="231"/>
      <c r="AL839" s="231"/>
      <c r="AM839" s="231"/>
      <c r="AN839" s="231"/>
      <c r="AO839" s="231"/>
      <c r="AP839" s="231"/>
      <c r="AQ839" s="231"/>
      <c r="AR839" s="231"/>
      <c r="AS839" s="231"/>
      <c r="AT839" s="231"/>
      <c r="AU839" s="231"/>
      <c r="AV839" s="231"/>
      <c r="AW839" s="231"/>
      <c r="AX839" s="231"/>
      <c r="AY839" s="231"/>
      <c r="AZ839" s="231"/>
      <c r="BA839" s="231"/>
      <c r="BB839" s="231"/>
      <c r="BC839" s="231"/>
      <c r="BD839" s="104"/>
      <c r="BE839" s="104"/>
      <c r="BF839" s="104"/>
      <c r="BG839" s="104"/>
      <c r="BH839" s="104"/>
      <c r="BI839" s="104"/>
      <c r="BJ839" s="104"/>
      <c r="BK839" s="12"/>
      <c r="BL839" s="12"/>
    </row>
    <row r="840" spans="1:64" ht="12.75" hidden="1" customHeight="1" outlineLevel="1">
      <c r="A840" s="9"/>
      <c r="B840" s="9"/>
      <c r="C840" s="44"/>
      <c r="D840" s="271">
        <f>Asset15</f>
        <v>0</v>
      </c>
      <c r="E840" s="9"/>
      <c r="F840" s="9"/>
      <c r="G840" s="207">
        <f>'Adjustment for previous period'!G574</f>
        <v>0</v>
      </c>
      <c r="H840" s="115">
        <f t="shared" ref="H840:Q840" si="116">H970+H1002</f>
        <v>0</v>
      </c>
      <c r="I840" s="115">
        <f t="shared" si="116"/>
        <v>0</v>
      </c>
      <c r="J840" s="115">
        <f t="shared" si="116"/>
        <v>0</v>
      </c>
      <c r="K840" s="115">
        <f t="shared" si="116"/>
        <v>0</v>
      </c>
      <c r="L840" s="115">
        <f t="shared" si="116"/>
        <v>0</v>
      </c>
      <c r="M840" s="115">
        <f t="shared" si="116"/>
        <v>0</v>
      </c>
      <c r="N840" s="115">
        <f t="shared" si="116"/>
        <v>0</v>
      </c>
      <c r="O840" s="115">
        <f t="shared" si="116"/>
        <v>0</v>
      </c>
      <c r="P840" s="115">
        <f t="shared" si="116"/>
        <v>0</v>
      </c>
      <c r="Q840" s="115">
        <f t="shared" si="116"/>
        <v>0</v>
      </c>
      <c r="R840" s="29"/>
      <c r="S840" s="104"/>
      <c r="T840" s="104"/>
      <c r="U840" s="104"/>
      <c r="V840" s="104"/>
      <c r="W840" s="104"/>
      <c r="X840" s="104"/>
      <c r="Y840" s="104"/>
      <c r="Z840" s="104"/>
      <c r="AA840" s="231"/>
      <c r="AB840" s="231"/>
      <c r="AC840" s="231"/>
      <c r="AD840" s="231"/>
      <c r="AE840" s="231"/>
      <c r="AF840" s="231"/>
      <c r="AG840" s="231"/>
      <c r="AH840" s="231"/>
      <c r="AI840" s="231"/>
      <c r="AJ840" s="231"/>
      <c r="AK840" s="231"/>
      <c r="AL840" s="231"/>
      <c r="AM840" s="231"/>
      <c r="AN840" s="231"/>
      <c r="AO840" s="231"/>
      <c r="AP840" s="231"/>
      <c r="AQ840" s="231"/>
      <c r="AR840" s="231"/>
      <c r="AS840" s="231"/>
      <c r="AT840" s="231"/>
      <c r="AU840" s="231"/>
      <c r="AV840" s="231"/>
      <c r="AW840" s="231"/>
      <c r="AX840" s="231"/>
      <c r="AY840" s="231"/>
      <c r="AZ840" s="231"/>
      <c r="BA840" s="231"/>
      <c r="BB840" s="231"/>
      <c r="BC840" s="231"/>
      <c r="BD840" s="104"/>
      <c r="BE840" s="104"/>
      <c r="BF840" s="104"/>
      <c r="BG840" s="104"/>
      <c r="BH840" s="104"/>
      <c r="BI840" s="104"/>
      <c r="BJ840" s="104"/>
      <c r="BK840" s="12"/>
      <c r="BL840" s="12"/>
    </row>
    <row r="841" spans="1:64" ht="12.75" hidden="1" customHeight="1" outlineLevel="1">
      <c r="A841" s="9"/>
      <c r="B841" s="9"/>
      <c r="C841" s="44"/>
      <c r="D841" s="271">
        <f>Asset16</f>
        <v>0</v>
      </c>
      <c r="E841" s="9"/>
      <c r="F841" s="9"/>
      <c r="G841" s="207">
        <f>'Adjustment for previous period'!G575</f>
        <v>0</v>
      </c>
      <c r="H841" s="115">
        <f t="shared" ref="H841:Q841" si="117">H971+H1003</f>
        <v>0</v>
      </c>
      <c r="I841" s="115">
        <f t="shared" si="117"/>
        <v>0</v>
      </c>
      <c r="J841" s="115">
        <f t="shared" si="117"/>
        <v>0</v>
      </c>
      <c r="K841" s="115">
        <f t="shared" si="117"/>
        <v>0</v>
      </c>
      <c r="L841" s="115">
        <f t="shared" si="117"/>
        <v>0</v>
      </c>
      <c r="M841" s="115">
        <f t="shared" si="117"/>
        <v>0</v>
      </c>
      <c r="N841" s="115">
        <f t="shared" si="117"/>
        <v>0</v>
      </c>
      <c r="O841" s="115">
        <f t="shared" si="117"/>
        <v>0</v>
      </c>
      <c r="P841" s="115">
        <f t="shared" si="117"/>
        <v>0</v>
      </c>
      <c r="Q841" s="115">
        <f t="shared" si="117"/>
        <v>0</v>
      </c>
      <c r="R841" s="29"/>
      <c r="S841" s="104"/>
      <c r="T841" s="104"/>
      <c r="U841" s="104"/>
      <c r="V841" s="104"/>
      <c r="W841" s="104"/>
      <c r="X841" s="104"/>
      <c r="Y841" s="104"/>
      <c r="Z841" s="104"/>
      <c r="AA841" s="231"/>
      <c r="AB841" s="231"/>
      <c r="AC841" s="231"/>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104"/>
      <c r="BE841" s="104"/>
      <c r="BF841" s="104"/>
      <c r="BG841" s="104"/>
      <c r="BH841" s="104"/>
      <c r="BI841" s="104"/>
      <c r="BJ841" s="104"/>
      <c r="BK841" s="12"/>
      <c r="BL841" s="12"/>
    </row>
    <row r="842" spans="1:64" ht="12.75" hidden="1" customHeight="1" outlineLevel="1">
      <c r="A842" s="9"/>
      <c r="B842" s="9"/>
      <c r="C842" s="44"/>
      <c r="D842" s="271">
        <f>Asset17</f>
        <v>0</v>
      </c>
      <c r="E842" s="9"/>
      <c r="F842" s="9"/>
      <c r="G842" s="207">
        <f>'Adjustment for previous period'!G576</f>
        <v>0</v>
      </c>
      <c r="H842" s="115">
        <f t="shared" ref="H842:Q842" si="118">H972+H1004</f>
        <v>0</v>
      </c>
      <c r="I842" s="115">
        <f t="shared" si="118"/>
        <v>0</v>
      </c>
      <c r="J842" s="115">
        <f t="shared" si="118"/>
        <v>0</v>
      </c>
      <c r="K842" s="115">
        <f t="shared" si="118"/>
        <v>0</v>
      </c>
      <c r="L842" s="115">
        <f t="shared" si="118"/>
        <v>0</v>
      </c>
      <c r="M842" s="115">
        <f t="shared" si="118"/>
        <v>0</v>
      </c>
      <c r="N842" s="115">
        <f t="shared" si="118"/>
        <v>0</v>
      </c>
      <c r="O842" s="115">
        <f t="shared" si="118"/>
        <v>0</v>
      </c>
      <c r="P842" s="115">
        <f t="shared" si="118"/>
        <v>0</v>
      </c>
      <c r="Q842" s="115">
        <f t="shared" si="118"/>
        <v>0</v>
      </c>
      <c r="R842" s="29"/>
      <c r="S842" s="104"/>
      <c r="T842" s="104"/>
      <c r="U842" s="104"/>
      <c r="V842" s="104"/>
      <c r="W842" s="104"/>
      <c r="X842" s="104"/>
      <c r="Y842" s="104"/>
      <c r="Z842" s="104"/>
      <c r="AA842" s="231"/>
      <c r="AB842" s="231"/>
      <c r="AC842" s="231"/>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104"/>
      <c r="BE842" s="104"/>
      <c r="BF842" s="104"/>
      <c r="BG842" s="104"/>
      <c r="BH842" s="104"/>
      <c r="BI842" s="104"/>
      <c r="BJ842" s="104"/>
      <c r="BK842" s="12"/>
      <c r="BL842" s="12"/>
    </row>
    <row r="843" spans="1:64" ht="12.75" hidden="1" customHeight="1" outlineLevel="1">
      <c r="A843" s="9"/>
      <c r="B843" s="9"/>
      <c r="C843" s="44"/>
      <c r="D843" s="271">
        <f>Asset18</f>
        <v>0</v>
      </c>
      <c r="E843" s="9"/>
      <c r="F843" s="9"/>
      <c r="G843" s="207">
        <f>'Adjustment for previous period'!G577</f>
        <v>0</v>
      </c>
      <c r="H843" s="115">
        <f t="shared" ref="H843:Q843" si="119">H973+H1005</f>
        <v>0</v>
      </c>
      <c r="I843" s="115">
        <f t="shared" si="119"/>
        <v>0</v>
      </c>
      <c r="J843" s="115">
        <f t="shared" si="119"/>
        <v>0</v>
      </c>
      <c r="K843" s="115">
        <f t="shared" si="119"/>
        <v>0</v>
      </c>
      <c r="L843" s="115">
        <f t="shared" si="119"/>
        <v>0</v>
      </c>
      <c r="M843" s="115">
        <f t="shared" si="119"/>
        <v>0</v>
      </c>
      <c r="N843" s="115">
        <f t="shared" si="119"/>
        <v>0</v>
      </c>
      <c r="O843" s="115">
        <f t="shared" si="119"/>
        <v>0</v>
      </c>
      <c r="P843" s="115">
        <f t="shared" si="119"/>
        <v>0</v>
      </c>
      <c r="Q843" s="115">
        <f t="shared" si="119"/>
        <v>0</v>
      </c>
      <c r="R843" s="29"/>
      <c r="S843" s="104"/>
      <c r="T843" s="104"/>
      <c r="U843" s="104"/>
      <c r="V843" s="104"/>
      <c r="W843" s="104"/>
      <c r="X843" s="104"/>
      <c r="Y843" s="104"/>
      <c r="Z843" s="104"/>
      <c r="AA843" s="231"/>
      <c r="AB843" s="231"/>
      <c r="AC843" s="231"/>
      <c r="AD843" s="231"/>
      <c r="AE843" s="231"/>
      <c r="AF843" s="231"/>
      <c r="AG843" s="231"/>
      <c r="AH843" s="231"/>
      <c r="AI843" s="231"/>
      <c r="AJ843" s="231"/>
      <c r="AK843" s="231"/>
      <c r="AL843" s="231"/>
      <c r="AM843" s="231"/>
      <c r="AN843" s="231"/>
      <c r="AO843" s="231"/>
      <c r="AP843" s="231"/>
      <c r="AQ843" s="231"/>
      <c r="AR843" s="231"/>
      <c r="AS843" s="231"/>
      <c r="AT843" s="231"/>
      <c r="AU843" s="231"/>
      <c r="AV843" s="231"/>
      <c r="AW843" s="231"/>
      <c r="AX843" s="231"/>
      <c r="AY843" s="231"/>
      <c r="AZ843" s="231"/>
      <c r="BA843" s="231"/>
      <c r="BB843" s="231"/>
      <c r="BC843" s="231"/>
      <c r="BD843" s="104"/>
      <c r="BE843" s="104"/>
      <c r="BF843" s="104"/>
      <c r="BG843" s="104"/>
      <c r="BH843" s="104"/>
      <c r="BI843" s="104"/>
      <c r="BJ843" s="104"/>
      <c r="BK843" s="12"/>
      <c r="BL843" s="12"/>
    </row>
    <row r="844" spans="1:64" ht="12.75" hidden="1" customHeight="1" outlineLevel="1">
      <c r="A844" s="9"/>
      <c r="B844" s="9"/>
      <c r="C844" s="44"/>
      <c r="D844" s="271">
        <f>Asset19</f>
        <v>0</v>
      </c>
      <c r="E844" s="9"/>
      <c r="F844" s="9"/>
      <c r="G844" s="207">
        <f>'Adjustment for previous period'!G578</f>
        <v>0</v>
      </c>
      <c r="H844" s="115">
        <f t="shared" ref="H844:Q844" si="120">H974+H1006</f>
        <v>0</v>
      </c>
      <c r="I844" s="115">
        <f t="shared" si="120"/>
        <v>0</v>
      </c>
      <c r="J844" s="115">
        <f t="shared" si="120"/>
        <v>0</v>
      </c>
      <c r="K844" s="115">
        <f t="shared" si="120"/>
        <v>0</v>
      </c>
      <c r="L844" s="115">
        <f t="shared" si="120"/>
        <v>0</v>
      </c>
      <c r="M844" s="115">
        <f t="shared" si="120"/>
        <v>0</v>
      </c>
      <c r="N844" s="115">
        <f t="shared" si="120"/>
        <v>0</v>
      </c>
      <c r="O844" s="115">
        <f t="shared" si="120"/>
        <v>0</v>
      </c>
      <c r="P844" s="115">
        <f t="shared" si="120"/>
        <v>0</v>
      </c>
      <c r="Q844" s="115">
        <f t="shared" si="120"/>
        <v>0</v>
      </c>
      <c r="R844" s="29"/>
      <c r="S844" s="104"/>
      <c r="T844" s="104"/>
      <c r="U844" s="104"/>
      <c r="V844" s="104"/>
      <c r="W844" s="104"/>
      <c r="X844" s="104"/>
      <c r="Y844" s="104"/>
      <c r="Z844" s="104"/>
      <c r="AA844" s="231"/>
      <c r="AB844" s="231"/>
      <c r="AC844" s="231"/>
      <c r="AD844" s="231"/>
      <c r="AE844" s="231"/>
      <c r="AF844" s="231"/>
      <c r="AG844" s="231"/>
      <c r="AH844" s="231"/>
      <c r="AI844" s="231"/>
      <c r="AJ844" s="231"/>
      <c r="AK844" s="231"/>
      <c r="AL844" s="231"/>
      <c r="AM844" s="231"/>
      <c r="AN844" s="231"/>
      <c r="AO844" s="231"/>
      <c r="AP844" s="231"/>
      <c r="AQ844" s="231"/>
      <c r="AR844" s="231"/>
      <c r="AS844" s="231"/>
      <c r="AT844" s="231"/>
      <c r="AU844" s="231"/>
      <c r="AV844" s="231"/>
      <c r="AW844" s="231"/>
      <c r="AX844" s="231"/>
      <c r="AY844" s="231"/>
      <c r="AZ844" s="231"/>
      <c r="BA844" s="231"/>
      <c r="BB844" s="231"/>
      <c r="BC844" s="231"/>
      <c r="BD844" s="104"/>
      <c r="BE844" s="104"/>
      <c r="BF844" s="104"/>
      <c r="BG844" s="104"/>
      <c r="BH844" s="104"/>
      <c r="BI844" s="104"/>
      <c r="BJ844" s="104"/>
      <c r="BK844" s="12"/>
      <c r="BL844" s="12"/>
    </row>
    <row r="845" spans="1:64" ht="12.75" hidden="1" customHeight="1" outlineLevel="1">
      <c r="A845" s="9"/>
      <c r="B845" s="9"/>
      <c r="C845" s="44"/>
      <c r="D845" s="271">
        <f>Asset20</f>
        <v>0</v>
      </c>
      <c r="E845" s="9"/>
      <c r="F845" s="9"/>
      <c r="G845" s="207">
        <f>'Adjustment for previous period'!G579</f>
        <v>0</v>
      </c>
      <c r="H845" s="115">
        <f t="shared" ref="H845:Q845" si="121">H975+H1007</f>
        <v>0</v>
      </c>
      <c r="I845" s="115">
        <f t="shared" si="121"/>
        <v>0</v>
      </c>
      <c r="J845" s="115">
        <f t="shared" si="121"/>
        <v>0</v>
      </c>
      <c r="K845" s="115">
        <f t="shared" si="121"/>
        <v>0</v>
      </c>
      <c r="L845" s="115">
        <f t="shared" si="121"/>
        <v>0</v>
      </c>
      <c r="M845" s="115">
        <f t="shared" si="121"/>
        <v>0</v>
      </c>
      <c r="N845" s="115">
        <f t="shared" si="121"/>
        <v>0</v>
      </c>
      <c r="O845" s="115">
        <f t="shared" si="121"/>
        <v>0</v>
      </c>
      <c r="P845" s="115">
        <f t="shared" si="121"/>
        <v>0</v>
      </c>
      <c r="Q845" s="115">
        <f t="shared" si="121"/>
        <v>0</v>
      </c>
      <c r="R845" s="29"/>
      <c r="S845" s="104"/>
      <c r="T845" s="104"/>
      <c r="U845" s="104"/>
      <c r="V845" s="104"/>
      <c r="W845" s="104"/>
      <c r="X845" s="104"/>
      <c r="Y845" s="104"/>
      <c r="Z845" s="104"/>
      <c r="AA845" s="231"/>
      <c r="AB845" s="231"/>
      <c r="AC845" s="231"/>
      <c r="AD845" s="231"/>
      <c r="AE845" s="231"/>
      <c r="AF845" s="231"/>
      <c r="AG845" s="231"/>
      <c r="AH845" s="231"/>
      <c r="AI845" s="231"/>
      <c r="AJ845" s="231"/>
      <c r="AK845" s="231"/>
      <c r="AL845" s="231"/>
      <c r="AM845" s="231"/>
      <c r="AN845" s="231"/>
      <c r="AO845" s="231"/>
      <c r="AP845" s="231"/>
      <c r="AQ845" s="231"/>
      <c r="AR845" s="231"/>
      <c r="AS845" s="231"/>
      <c r="AT845" s="231"/>
      <c r="AU845" s="231"/>
      <c r="AV845" s="231"/>
      <c r="AW845" s="231"/>
      <c r="AX845" s="231"/>
      <c r="AY845" s="231"/>
      <c r="AZ845" s="231"/>
      <c r="BA845" s="231"/>
      <c r="BB845" s="231"/>
      <c r="BC845" s="231"/>
      <c r="BD845" s="104"/>
      <c r="BE845" s="104"/>
      <c r="BF845" s="104"/>
      <c r="BG845" s="104"/>
      <c r="BH845" s="104"/>
      <c r="BI845" s="104"/>
      <c r="BJ845" s="104"/>
      <c r="BK845" s="12"/>
      <c r="BL845" s="12"/>
    </row>
    <row r="846" spans="1:64" ht="12.75" hidden="1" customHeight="1" outlineLevel="1">
      <c r="A846" s="9"/>
      <c r="B846" s="9"/>
      <c r="C846" s="44"/>
      <c r="D846" s="271">
        <f>Asset21</f>
        <v>0</v>
      </c>
      <c r="E846" s="9"/>
      <c r="F846" s="9"/>
      <c r="G846" s="207">
        <f>'Adjustment for previous period'!G580</f>
        <v>0</v>
      </c>
      <c r="H846" s="115">
        <f>H976+H1008</f>
        <v>0</v>
      </c>
      <c r="I846" s="115">
        <f t="shared" ref="I846:Q846" si="122">I976+I1008</f>
        <v>0</v>
      </c>
      <c r="J846" s="115">
        <f t="shared" si="122"/>
        <v>0</v>
      </c>
      <c r="K846" s="115">
        <f t="shared" si="122"/>
        <v>0</v>
      </c>
      <c r="L846" s="115">
        <f t="shared" si="122"/>
        <v>0</v>
      </c>
      <c r="M846" s="115">
        <f t="shared" si="122"/>
        <v>0</v>
      </c>
      <c r="N846" s="115">
        <f t="shared" si="122"/>
        <v>0</v>
      </c>
      <c r="O846" s="115">
        <f t="shared" si="122"/>
        <v>0</v>
      </c>
      <c r="P846" s="115">
        <f t="shared" si="122"/>
        <v>0</v>
      </c>
      <c r="Q846" s="115">
        <f t="shared" si="122"/>
        <v>0</v>
      </c>
      <c r="R846" s="29"/>
      <c r="S846" s="104"/>
      <c r="T846" s="104"/>
      <c r="U846" s="104"/>
      <c r="V846" s="104"/>
      <c r="W846" s="104"/>
      <c r="X846" s="104"/>
      <c r="Y846" s="104"/>
      <c r="Z846" s="104"/>
      <c r="AA846" s="231"/>
      <c r="AB846" s="231"/>
      <c r="AC846" s="231"/>
      <c r="AD846" s="231"/>
      <c r="AE846" s="231"/>
      <c r="AF846" s="231"/>
      <c r="AG846" s="231"/>
      <c r="AH846" s="231"/>
      <c r="AI846" s="231"/>
      <c r="AJ846" s="231"/>
      <c r="AK846" s="231"/>
      <c r="AL846" s="231"/>
      <c r="AM846" s="231"/>
      <c r="AN846" s="231"/>
      <c r="AO846" s="231"/>
      <c r="AP846" s="231"/>
      <c r="AQ846" s="231"/>
      <c r="AR846" s="231"/>
      <c r="AS846" s="231"/>
      <c r="AT846" s="231"/>
      <c r="AU846" s="231"/>
      <c r="AV846" s="231"/>
      <c r="AW846" s="231"/>
      <c r="AX846" s="231"/>
      <c r="AY846" s="231"/>
      <c r="AZ846" s="231"/>
      <c r="BA846" s="231"/>
      <c r="BB846" s="231"/>
      <c r="BC846" s="231"/>
      <c r="BD846" s="104"/>
      <c r="BE846" s="104"/>
      <c r="BF846" s="104"/>
      <c r="BG846" s="104"/>
      <c r="BH846" s="104"/>
      <c r="BI846" s="104"/>
      <c r="BJ846" s="104"/>
      <c r="BK846" s="12"/>
      <c r="BL846" s="12"/>
    </row>
    <row r="847" spans="1:64" ht="12.75" hidden="1" customHeight="1" outlineLevel="1">
      <c r="A847" s="9"/>
      <c r="B847" s="9"/>
      <c r="C847" s="44"/>
      <c r="D847" s="271">
        <f>Asset22</f>
        <v>0</v>
      </c>
      <c r="E847" s="9"/>
      <c r="F847" s="9"/>
      <c r="G847" s="207">
        <f>'Adjustment for previous period'!G581</f>
        <v>0</v>
      </c>
      <c r="H847" s="115">
        <f t="shared" ref="H847:Q847" si="123">H977+H1009</f>
        <v>0</v>
      </c>
      <c r="I847" s="115">
        <f t="shared" si="123"/>
        <v>0</v>
      </c>
      <c r="J847" s="115">
        <f t="shared" si="123"/>
        <v>0</v>
      </c>
      <c r="K847" s="115">
        <f t="shared" si="123"/>
        <v>0</v>
      </c>
      <c r="L847" s="115">
        <f t="shared" si="123"/>
        <v>0</v>
      </c>
      <c r="M847" s="115">
        <f t="shared" si="123"/>
        <v>0</v>
      </c>
      <c r="N847" s="115">
        <f t="shared" si="123"/>
        <v>0</v>
      </c>
      <c r="O847" s="115">
        <f t="shared" si="123"/>
        <v>0</v>
      </c>
      <c r="P847" s="115">
        <f t="shared" si="123"/>
        <v>0</v>
      </c>
      <c r="Q847" s="115">
        <f t="shared" si="123"/>
        <v>0</v>
      </c>
      <c r="R847" s="29"/>
      <c r="S847" s="104"/>
      <c r="T847" s="104"/>
      <c r="U847" s="104"/>
      <c r="V847" s="104"/>
      <c r="W847" s="104"/>
      <c r="X847" s="104"/>
      <c r="Y847" s="104"/>
      <c r="Z847" s="104"/>
      <c r="AA847" s="231"/>
      <c r="AB847" s="231"/>
      <c r="AC847" s="231"/>
      <c r="AD847" s="231"/>
      <c r="AE847" s="231"/>
      <c r="AF847" s="231"/>
      <c r="AG847" s="231"/>
      <c r="AH847" s="231"/>
      <c r="AI847" s="231"/>
      <c r="AJ847" s="231"/>
      <c r="AK847" s="231"/>
      <c r="AL847" s="231"/>
      <c r="AM847" s="231"/>
      <c r="AN847" s="231"/>
      <c r="AO847" s="231"/>
      <c r="AP847" s="231"/>
      <c r="AQ847" s="231"/>
      <c r="AR847" s="231"/>
      <c r="AS847" s="231"/>
      <c r="AT847" s="231"/>
      <c r="AU847" s="231"/>
      <c r="AV847" s="231"/>
      <c r="AW847" s="231"/>
      <c r="AX847" s="231"/>
      <c r="AY847" s="231"/>
      <c r="AZ847" s="231"/>
      <c r="BA847" s="231"/>
      <c r="BB847" s="231"/>
      <c r="BC847" s="231"/>
      <c r="BD847" s="104"/>
      <c r="BE847" s="104"/>
      <c r="BF847" s="104"/>
      <c r="BG847" s="104"/>
      <c r="BH847" s="104"/>
      <c r="BI847" s="104"/>
      <c r="BJ847" s="104"/>
      <c r="BK847" s="12"/>
      <c r="BL847" s="12"/>
    </row>
    <row r="848" spans="1:64" ht="12.75" hidden="1" customHeight="1" outlineLevel="1">
      <c r="A848" s="9"/>
      <c r="B848" s="9"/>
      <c r="C848" s="44"/>
      <c r="D848" s="271">
        <f>Asset23</f>
        <v>0</v>
      </c>
      <c r="E848" s="9"/>
      <c r="F848" s="9"/>
      <c r="G848" s="207">
        <f>'Adjustment for previous period'!G582</f>
        <v>0</v>
      </c>
      <c r="H848" s="115">
        <f t="shared" ref="H848:Q848" si="124">H978+H1010</f>
        <v>0</v>
      </c>
      <c r="I848" s="115">
        <f t="shared" si="124"/>
        <v>0</v>
      </c>
      <c r="J848" s="115">
        <f t="shared" si="124"/>
        <v>0</v>
      </c>
      <c r="K848" s="115">
        <f t="shared" si="124"/>
        <v>0</v>
      </c>
      <c r="L848" s="115">
        <f t="shared" si="124"/>
        <v>0</v>
      </c>
      <c r="M848" s="115">
        <f t="shared" si="124"/>
        <v>0</v>
      </c>
      <c r="N848" s="115">
        <f t="shared" si="124"/>
        <v>0</v>
      </c>
      <c r="O848" s="115">
        <f t="shared" si="124"/>
        <v>0</v>
      </c>
      <c r="P848" s="115">
        <f t="shared" si="124"/>
        <v>0</v>
      </c>
      <c r="Q848" s="115">
        <f t="shared" si="124"/>
        <v>0</v>
      </c>
      <c r="R848" s="29"/>
      <c r="S848" s="104"/>
      <c r="T848" s="104"/>
      <c r="U848" s="104"/>
      <c r="V848" s="104"/>
      <c r="W848" s="104"/>
      <c r="X848" s="104"/>
      <c r="Y848" s="104"/>
      <c r="Z848" s="104"/>
      <c r="AA848" s="231"/>
      <c r="AB848" s="231"/>
      <c r="AC848" s="231"/>
      <c r="AD848" s="231"/>
      <c r="AE848" s="231"/>
      <c r="AF848" s="231"/>
      <c r="AG848" s="231"/>
      <c r="AH848" s="231"/>
      <c r="AI848" s="231"/>
      <c r="AJ848" s="231"/>
      <c r="AK848" s="231"/>
      <c r="AL848" s="231"/>
      <c r="AM848" s="231"/>
      <c r="AN848" s="231"/>
      <c r="AO848" s="231"/>
      <c r="AP848" s="231"/>
      <c r="AQ848" s="231"/>
      <c r="AR848" s="231"/>
      <c r="AS848" s="231"/>
      <c r="AT848" s="231"/>
      <c r="AU848" s="231"/>
      <c r="AV848" s="231"/>
      <c r="AW848" s="231"/>
      <c r="AX848" s="231"/>
      <c r="AY848" s="231"/>
      <c r="AZ848" s="231"/>
      <c r="BA848" s="231"/>
      <c r="BB848" s="231"/>
      <c r="BC848" s="231"/>
      <c r="BD848" s="104"/>
      <c r="BE848" s="104"/>
      <c r="BF848" s="104"/>
      <c r="BG848" s="104"/>
      <c r="BH848" s="104"/>
      <c r="BI848" s="104"/>
      <c r="BJ848" s="104"/>
      <c r="BK848" s="12"/>
      <c r="BL848" s="12"/>
    </row>
    <row r="849" spans="1:64" ht="12.75" hidden="1" customHeight="1" outlineLevel="1">
      <c r="A849" s="9"/>
      <c r="B849" s="9"/>
      <c r="C849" s="44"/>
      <c r="D849" s="271">
        <f>Asset24</f>
        <v>0</v>
      </c>
      <c r="E849" s="9"/>
      <c r="F849" s="9"/>
      <c r="G849" s="207">
        <f>'Adjustment for previous period'!G583</f>
        <v>0</v>
      </c>
      <c r="H849" s="115">
        <f t="shared" ref="H849:Q849" si="125">H979+H1011</f>
        <v>0</v>
      </c>
      <c r="I849" s="115">
        <f t="shared" si="125"/>
        <v>0</v>
      </c>
      <c r="J849" s="115">
        <f t="shared" si="125"/>
        <v>0</v>
      </c>
      <c r="K849" s="115">
        <f t="shared" si="125"/>
        <v>0</v>
      </c>
      <c r="L849" s="115">
        <f t="shared" si="125"/>
        <v>0</v>
      </c>
      <c r="M849" s="115">
        <f t="shared" si="125"/>
        <v>0</v>
      </c>
      <c r="N849" s="115">
        <f t="shared" si="125"/>
        <v>0</v>
      </c>
      <c r="O849" s="115">
        <f t="shared" si="125"/>
        <v>0</v>
      </c>
      <c r="P849" s="115">
        <f t="shared" si="125"/>
        <v>0</v>
      </c>
      <c r="Q849" s="115">
        <f t="shared" si="125"/>
        <v>0</v>
      </c>
      <c r="R849" s="29"/>
      <c r="S849" s="104"/>
      <c r="T849" s="104"/>
      <c r="U849" s="104"/>
      <c r="V849" s="104"/>
      <c r="W849" s="104"/>
      <c r="X849" s="104"/>
      <c r="Y849" s="104"/>
      <c r="Z849" s="104"/>
      <c r="AA849" s="231"/>
      <c r="AB849" s="231"/>
      <c r="AC849" s="231"/>
      <c r="AD849" s="231"/>
      <c r="AE849" s="231"/>
      <c r="AF849" s="231"/>
      <c r="AG849" s="231"/>
      <c r="AH849" s="231"/>
      <c r="AI849" s="231"/>
      <c r="AJ849" s="231"/>
      <c r="AK849" s="231"/>
      <c r="AL849" s="231"/>
      <c r="AM849" s="231"/>
      <c r="AN849" s="231"/>
      <c r="AO849" s="231"/>
      <c r="AP849" s="231"/>
      <c r="AQ849" s="231"/>
      <c r="AR849" s="231"/>
      <c r="AS849" s="231"/>
      <c r="AT849" s="231"/>
      <c r="AU849" s="231"/>
      <c r="AV849" s="231"/>
      <c r="AW849" s="231"/>
      <c r="AX849" s="231"/>
      <c r="AY849" s="231"/>
      <c r="AZ849" s="231"/>
      <c r="BA849" s="231"/>
      <c r="BB849" s="231"/>
      <c r="BC849" s="231"/>
      <c r="BD849" s="104"/>
      <c r="BE849" s="104"/>
      <c r="BF849" s="104"/>
      <c r="BG849" s="104"/>
      <c r="BH849" s="104"/>
      <c r="BI849" s="104"/>
      <c r="BJ849" s="104"/>
      <c r="BK849" s="12"/>
      <c r="BL849" s="12"/>
    </row>
    <row r="850" spans="1:64" ht="12.75" hidden="1" customHeight="1" outlineLevel="1">
      <c r="A850" s="9"/>
      <c r="B850" s="9"/>
      <c r="C850" s="44"/>
      <c r="D850" s="271">
        <f>Asset25</f>
        <v>0</v>
      </c>
      <c r="E850" s="9"/>
      <c r="F850" s="9"/>
      <c r="G850" s="207">
        <f>'Adjustment for previous period'!G584</f>
        <v>0</v>
      </c>
      <c r="H850" s="115">
        <f t="shared" ref="H850:Q850" si="126">H980+H1012</f>
        <v>0</v>
      </c>
      <c r="I850" s="115">
        <f t="shared" si="126"/>
        <v>0</v>
      </c>
      <c r="J850" s="115">
        <f t="shared" si="126"/>
        <v>0</v>
      </c>
      <c r="K850" s="115">
        <f t="shared" si="126"/>
        <v>0</v>
      </c>
      <c r="L850" s="115">
        <f t="shared" si="126"/>
        <v>0</v>
      </c>
      <c r="M850" s="115">
        <f t="shared" si="126"/>
        <v>0</v>
      </c>
      <c r="N850" s="115">
        <f t="shared" si="126"/>
        <v>0</v>
      </c>
      <c r="O850" s="115">
        <f t="shared" si="126"/>
        <v>0</v>
      </c>
      <c r="P850" s="115">
        <f t="shared" si="126"/>
        <v>0</v>
      </c>
      <c r="Q850" s="115">
        <f t="shared" si="126"/>
        <v>0</v>
      </c>
      <c r="R850" s="29"/>
      <c r="S850" s="104"/>
      <c r="T850" s="104"/>
      <c r="U850" s="104"/>
      <c r="V850" s="104"/>
      <c r="W850" s="104"/>
      <c r="X850" s="104"/>
      <c r="Y850" s="104"/>
      <c r="Z850" s="104"/>
      <c r="AA850" s="231"/>
      <c r="AB850" s="231"/>
      <c r="AC850" s="231"/>
      <c r="AD850" s="231"/>
      <c r="AE850" s="231"/>
      <c r="AF850" s="231"/>
      <c r="AG850" s="231"/>
      <c r="AH850" s="231"/>
      <c r="AI850" s="231"/>
      <c r="AJ850" s="231"/>
      <c r="AK850" s="231"/>
      <c r="AL850" s="231"/>
      <c r="AM850" s="231"/>
      <c r="AN850" s="231"/>
      <c r="AO850" s="231"/>
      <c r="AP850" s="231"/>
      <c r="AQ850" s="231"/>
      <c r="AR850" s="231"/>
      <c r="AS850" s="231"/>
      <c r="AT850" s="231"/>
      <c r="AU850" s="231"/>
      <c r="AV850" s="231"/>
      <c r="AW850" s="231"/>
      <c r="AX850" s="231"/>
      <c r="AY850" s="231"/>
      <c r="AZ850" s="231"/>
      <c r="BA850" s="231"/>
      <c r="BB850" s="231"/>
      <c r="BC850" s="231"/>
      <c r="BD850" s="104"/>
      <c r="BE850" s="104"/>
      <c r="BF850" s="104"/>
      <c r="BG850" s="104"/>
      <c r="BH850" s="104"/>
      <c r="BI850" s="104"/>
      <c r="BJ850" s="104"/>
      <c r="BK850" s="12"/>
      <c r="BL850" s="12"/>
    </row>
    <row r="851" spans="1:64" ht="12.75" hidden="1" customHeight="1" outlineLevel="1">
      <c r="A851" s="9"/>
      <c r="B851" s="9"/>
      <c r="C851" s="44"/>
      <c r="D851" s="271">
        <f>Asset26</f>
        <v>0</v>
      </c>
      <c r="E851" s="9"/>
      <c r="F851" s="9"/>
      <c r="G851" s="207">
        <f>'Adjustment for previous period'!G585</f>
        <v>0</v>
      </c>
      <c r="H851" s="115">
        <f t="shared" ref="H851:Q851" si="127">H981+H1013</f>
        <v>0</v>
      </c>
      <c r="I851" s="115">
        <f t="shared" si="127"/>
        <v>0</v>
      </c>
      <c r="J851" s="115">
        <f t="shared" si="127"/>
        <v>0</v>
      </c>
      <c r="K851" s="115">
        <f t="shared" si="127"/>
        <v>0</v>
      </c>
      <c r="L851" s="115">
        <f t="shared" si="127"/>
        <v>0</v>
      </c>
      <c r="M851" s="115">
        <f t="shared" si="127"/>
        <v>0</v>
      </c>
      <c r="N851" s="115">
        <f t="shared" si="127"/>
        <v>0</v>
      </c>
      <c r="O851" s="115">
        <f t="shared" si="127"/>
        <v>0</v>
      </c>
      <c r="P851" s="115">
        <f t="shared" si="127"/>
        <v>0</v>
      </c>
      <c r="Q851" s="115">
        <f t="shared" si="127"/>
        <v>0</v>
      </c>
      <c r="R851" s="29"/>
      <c r="S851" s="104"/>
      <c r="T851" s="104"/>
      <c r="U851" s="104"/>
      <c r="V851" s="104"/>
      <c r="W851" s="104"/>
      <c r="X851" s="104"/>
      <c r="Y851" s="104"/>
      <c r="Z851" s="104"/>
      <c r="AA851" s="231"/>
      <c r="AB851" s="231"/>
      <c r="AC851" s="231"/>
      <c r="AD851" s="231"/>
      <c r="AE851" s="231"/>
      <c r="AF851" s="231"/>
      <c r="AG851" s="231"/>
      <c r="AH851" s="231"/>
      <c r="AI851" s="231"/>
      <c r="AJ851" s="231"/>
      <c r="AK851" s="231"/>
      <c r="AL851" s="231"/>
      <c r="AM851" s="231"/>
      <c r="AN851" s="231"/>
      <c r="AO851" s="231"/>
      <c r="AP851" s="231"/>
      <c r="AQ851" s="231"/>
      <c r="AR851" s="231"/>
      <c r="AS851" s="231"/>
      <c r="AT851" s="231"/>
      <c r="AU851" s="231"/>
      <c r="AV851" s="231"/>
      <c r="AW851" s="231"/>
      <c r="AX851" s="231"/>
      <c r="AY851" s="231"/>
      <c r="AZ851" s="231"/>
      <c r="BA851" s="231"/>
      <c r="BB851" s="231"/>
      <c r="BC851" s="231"/>
      <c r="BD851" s="104"/>
      <c r="BE851" s="104"/>
      <c r="BF851" s="104"/>
      <c r="BG851" s="104"/>
      <c r="BH851" s="104"/>
      <c r="BI851" s="104"/>
      <c r="BJ851" s="104"/>
      <c r="BK851" s="12"/>
      <c r="BL851" s="12"/>
    </row>
    <row r="852" spans="1:64" ht="12.75" hidden="1" customHeight="1" outlineLevel="1">
      <c r="A852" s="9"/>
      <c r="B852" s="9"/>
      <c r="C852" s="44"/>
      <c r="D852" s="271">
        <f>Asset27</f>
        <v>0</v>
      </c>
      <c r="E852" s="9"/>
      <c r="F852" s="9"/>
      <c r="G852" s="207">
        <f>'Adjustment for previous period'!G586</f>
        <v>0</v>
      </c>
      <c r="H852" s="115">
        <f t="shared" ref="H852:Q852" si="128">H982+H1014</f>
        <v>0</v>
      </c>
      <c r="I852" s="115">
        <f t="shared" si="128"/>
        <v>0</v>
      </c>
      <c r="J852" s="115">
        <f t="shared" si="128"/>
        <v>0</v>
      </c>
      <c r="K852" s="115">
        <f t="shared" si="128"/>
        <v>0</v>
      </c>
      <c r="L852" s="115">
        <f t="shared" si="128"/>
        <v>0</v>
      </c>
      <c r="M852" s="115">
        <f t="shared" si="128"/>
        <v>0</v>
      </c>
      <c r="N852" s="115">
        <f t="shared" si="128"/>
        <v>0</v>
      </c>
      <c r="O852" s="115">
        <f t="shared" si="128"/>
        <v>0</v>
      </c>
      <c r="P852" s="115">
        <f t="shared" si="128"/>
        <v>0</v>
      </c>
      <c r="Q852" s="115">
        <f t="shared" si="128"/>
        <v>0</v>
      </c>
      <c r="R852" s="29"/>
      <c r="S852" s="104"/>
      <c r="T852" s="104"/>
      <c r="U852" s="104"/>
      <c r="V852" s="104"/>
      <c r="W852" s="104"/>
      <c r="X852" s="104"/>
      <c r="Y852" s="104"/>
      <c r="Z852" s="104"/>
      <c r="AA852" s="231"/>
      <c r="AB852" s="231"/>
      <c r="AC852" s="231"/>
      <c r="AD852" s="231"/>
      <c r="AE852" s="231"/>
      <c r="AF852" s="231"/>
      <c r="AG852" s="231"/>
      <c r="AH852" s="231"/>
      <c r="AI852" s="231"/>
      <c r="AJ852" s="231"/>
      <c r="AK852" s="231"/>
      <c r="AL852" s="231"/>
      <c r="AM852" s="231"/>
      <c r="AN852" s="231"/>
      <c r="AO852" s="231"/>
      <c r="AP852" s="231"/>
      <c r="AQ852" s="231"/>
      <c r="AR852" s="231"/>
      <c r="AS852" s="231"/>
      <c r="AT852" s="231"/>
      <c r="AU852" s="231"/>
      <c r="AV852" s="231"/>
      <c r="AW852" s="231"/>
      <c r="AX852" s="231"/>
      <c r="AY852" s="231"/>
      <c r="AZ852" s="231"/>
      <c r="BA852" s="231"/>
      <c r="BB852" s="231"/>
      <c r="BC852" s="231"/>
      <c r="BD852" s="104"/>
      <c r="BE852" s="104"/>
      <c r="BF852" s="104"/>
      <c r="BG852" s="104"/>
      <c r="BH852" s="104"/>
      <c r="BI852" s="104"/>
      <c r="BJ852" s="104"/>
      <c r="BK852" s="12"/>
      <c r="BL852" s="12"/>
    </row>
    <row r="853" spans="1:64" ht="12.75" hidden="1" customHeight="1" outlineLevel="1">
      <c r="A853" s="9"/>
      <c r="B853" s="9"/>
      <c r="C853" s="44"/>
      <c r="D853" s="271">
        <f>Asset28</f>
        <v>0</v>
      </c>
      <c r="E853" s="9"/>
      <c r="F853" s="9"/>
      <c r="G853" s="207">
        <f>'Adjustment for previous period'!G587</f>
        <v>0</v>
      </c>
      <c r="H853" s="115">
        <f t="shared" ref="H853:Q853" si="129">H983+H1015</f>
        <v>0</v>
      </c>
      <c r="I853" s="115">
        <f t="shared" si="129"/>
        <v>0</v>
      </c>
      <c r="J853" s="115">
        <f t="shared" si="129"/>
        <v>0</v>
      </c>
      <c r="K853" s="115">
        <f t="shared" si="129"/>
        <v>0</v>
      </c>
      <c r="L853" s="115">
        <f t="shared" si="129"/>
        <v>0</v>
      </c>
      <c r="M853" s="115">
        <f t="shared" si="129"/>
        <v>0</v>
      </c>
      <c r="N853" s="115">
        <f t="shared" si="129"/>
        <v>0</v>
      </c>
      <c r="O853" s="115">
        <f t="shared" si="129"/>
        <v>0</v>
      </c>
      <c r="P853" s="115">
        <f t="shared" si="129"/>
        <v>0</v>
      </c>
      <c r="Q853" s="115">
        <f t="shared" si="129"/>
        <v>0</v>
      </c>
      <c r="R853" s="29"/>
      <c r="S853" s="104"/>
      <c r="T853" s="104"/>
      <c r="U853" s="104"/>
      <c r="V853" s="104"/>
      <c r="W853" s="104"/>
      <c r="X853" s="104"/>
      <c r="Y853" s="104"/>
      <c r="Z853" s="104"/>
      <c r="AA853" s="231"/>
      <c r="AB853" s="231"/>
      <c r="AC853" s="231"/>
      <c r="AD853" s="231"/>
      <c r="AE853" s="231"/>
      <c r="AF853" s="231"/>
      <c r="AG853" s="231"/>
      <c r="AH853" s="231"/>
      <c r="AI853" s="231"/>
      <c r="AJ853" s="231"/>
      <c r="AK853" s="231"/>
      <c r="AL853" s="231"/>
      <c r="AM853" s="231"/>
      <c r="AN853" s="231"/>
      <c r="AO853" s="231"/>
      <c r="AP853" s="231"/>
      <c r="AQ853" s="231"/>
      <c r="AR853" s="231"/>
      <c r="AS853" s="231"/>
      <c r="AT853" s="231"/>
      <c r="AU853" s="231"/>
      <c r="AV853" s="231"/>
      <c r="AW853" s="231"/>
      <c r="AX853" s="231"/>
      <c r="AY853" s="231"/>
      <c r="AZ853" s="231"/>
      <c r="BA853" s="231"/>
      <c r="BB853" s="231"/>
      <c r="BC853" s="231"/>
      <c r="BD853" s="104"/>
      <c r="BE853" s="104"/>
      <c r="BF853" s="104"/>
      <c r="BG853" s="104"/>
      <c r="BH853" s="104"/>
      <c r="BI853" s="104"/>
      <c r="BJ853" s="104"/>
      <c r="BK853" s="12"/>
      <c r="BL853" s="12"/>
    </row>
    <row r="854" spans="1:64" ht="12.75" hidden="1" customHeight="1" outlineLevel="1">
      <c r="A854" s="9"/>
      <c r="B854" s="9"/>
      <c r="C854" s="44"/>
      <c r="D854" s="271">
        <f>Asset29</f>
        <v>0</v>
      </c>
      <c r="E854" s="9"/>
      <c r="F854" s="9"/>
      <c r="G854" s="207">
        <f>'Adjustment for previous period'!G588</f>
        <v>0</v>
      </c>
      <c r="H854" s="115">
        <f t="shared" ref="H854:Q854" si="130">H984+H1016</f>
        <v>0</v>
      </c>
      <c r="I854" s="115">
        <f t="shared" si="130"/>
        <v>0</v>
      </c>
      <c r="J854" s="115">
        <f t="shared" si="130"/>
        <v>0</v>
      </c>
      <c r="K854" s="115">
        <f t="shared" si="130"/>
        <v>0</v>
      </c>
      <c r="L854" s="115">
        <f t="shared" si="130"/>
        <v>0</v>
      </c>
      <c r="M854" s="115">
        <f t="shared" si="130"/>
        <v>0</v>
      </c>
      <c r="N854" s="115">
        <f t="shared" si="130"/>
        <v>0</v>
      </c>
      <c r="O854" s="115">
        <f t="shared" si="130"/>
        <v>0</v>
      </c>
      <c r="P854" s="115">
        <f t="shared" si="130"/>
        <v>0</v>
      </c>
      <c r="Q854" s="115">
        <f t="shared" si="130"/>
        <v>0</v>
      </c>
      <c r="R854" s="29"/>
      <c r="S854" s="104"/>
      <c r="T854" s="104"/>
      <c r="U854" s="104"/>
      <c r="V854" s="104"/>
      <c r="W854" s="104"/>
      <c r="X854" s="104"/>
      <c r="Y854" s="104"/>
      <c r="Z854" s="104"/>
      <c r="AA854" s="231"/>
      <c r="AB854" s="231"/>
      <c r="AC854" s="231"/>
      <c r="AD854" s="231"/>
      <c r="AE854" s="231"/>
      <c r="AF854" s="231"/>
      <c r="AG854" s="231"/>
      <c r="AH854" s="231"/>
      <c r="AI854" s="231"/>
      <c r="AJ854" s="231"/>
      <c r="AK854" s="231"/>
      <c r="AL854" s="231"/>
      <c r="AM854" s="231"/>
      <c r="AN854" s="231"/>
      <c r="AO854" s="231"/>
      <c r="AP854" s="231"/>
      <c r="AQ854" s="231"/>
      <c r="AR854" s="231"/>
      <c r="AS854" s="231"/>
      <c r="AT854" s="231"/>
      <c r="AU854" s="231"/>
      <c r="AV854" s="231"/>
      <c r="AW854" s="231"/>
      <c r="AX854" s="231"/>
      <c r="AY854" s="231"/>
      <c r="AZ854" s="231"/>
      <c r="BA854" s="231"/>
      <c r="BB854" s="231"/>
      <c r="BC854" s="231"/>
      <c r="BD854" s="104"/>
      <c r="BE854" s="104"/>
      <c r="BF854" s="104"/>
      <c r="BG854" s="104"/>
      <c r="BH854" s="104"/>
      <c r="BI854" s="104"/>
      <c r="BJ854" s="104"/>
      <c r="BK854" s="12"/>
      <c r="BL854" s="12"/>
    </row>
    <row r="855" spans="1:64" ht="12.75" hidden="1" customHeight="1" outlineLevel="1">
      <c r="A855" s="9"/>
      <c r="B855" s="9"/>
      <c r="C855" s="44"/>
      <c r="D855" s="271">
        <f>Asset30</f>
        <v>0</v>
      </c>
      <c r="E855" s="9"/>
      <c r="F855" s="9"/>
      <c r="G855" s="207">
        <f>'Adjustment for previous period'!G589</f>
        <v>0</v>
      </c>
      <c r="H855" s="115">
        <f>H985+H1017</f>
        <v>0</v>
      </c>
      <c r="I855" s="115">
        <f t="shared" ref="I855:P855" si="131">I985+I1017</f>
        <v>0</v>
      </c>
      <c r="J855" s="115">
        <f t="shared" si="131"/>
        <v>0</v>
      </c>
      <c r="K855" s="115">
        <f t="shared" si="131"/>
        <v>0</v>
      </c>
      <c r="L855" s="115">
        <f t="shared" si="131"/>
        <v>0</v>
      </c>
      <c r="M855" s="115">
        <f t="shared" si="131"/>
        <v>0</v>
      </c>
      <c r="N855" s="115">
        <f t="shared" si="131"/>
        <v>0</v>
      </c>
      <c r="O855" s="115">
        <f t="shared" si="131"/>
        <v>0</v>
      </c>
      <c r="P855" s="115">
        <f t="shared" si="131"/>
        <v>0</v>
      </c>
      <c r="Q855" s="115">
        <f>Q985+Q1017</f>
        <v>0</v>
      </c>
      <c r="R855" s="29"/>
      <c r="S855" s="104"/>
      <c r="T855" s="104"/>
      <c r="U855" s="104"/>
      <c r="V855" s="104"/>
      <c r="W855" s="104"/>
      <c r="X855" s="104"/>
      <c r="Y855" s="104"/>
      <c r="Z855" s="104"/>
      <c r="AA855" s="231"/>
      <c r="AB855" s="231"/>
      <c r="AC855" s="231"/>
      <c r="AD855" s="231"/>
      <c r="AE855" s="231"/>
      <c r="AF855" s="231"/>
      <c r="AG855" s="231"/>
      <c r="AH855" s="231"/>
      <c r="AI855" s="231"/>
      <c r="AJ855" s="231"/>
      <c r="AK855" s="231"/>
      <c r="AL855" s="231"/>
      <c r="AM855" s="231"/>
      <c r="AN855" s="231"/>
      <c r="AO855" s="231"/>
      <c r="AP855" s="231"/>
      <c r="AQ855" s="231"/>
      <c r="AR855" s="231"/>
      <c r="AS855" s="231"/>
      <c r="AT855" s="231"/>
      <c r="AU855" s="231"/>
      <c r="AV855" s="231"/>
      <c r="AW855" s="231"/>
      <c r="AX855" s="231"/>
      <c r="AY855" s="231"/>
      <c r="AZ855" s="231"/>
      <c r="BA855" s="231"/>
      <c r="BB855" s="231"/>
      <c r="BC855" s="231"/>
      <c r="BD855" s="104"/>
      <c r="BE855" s="104"/>
      <c r="BF855" s="104"/>
      <c r="BG855" s="104"/>
      <c r="BH855" s="104"/>
      <c r="BI855" s="104"/>
      <c r="BJ855" s="104"/>
      <c r="BK855" s="12"/>
      <c r="BL855" s="12"/>
    </row>
    <row r="856" spans="1:64" collapsed="1">
      <c r="A856" s="9"/>
      <c r="B856" s="9"/>
      <c r="C856" s="44"/>
      <c r="D856" s="131"/>
      <c r="E856" s="9"/>
      <c r="F856" s="9"/>
      <c r="G856" s="282"/>
      <c r="H856" s="115"/>
      <c r="I856" s="115"/>
      <c r="J856" s="115"/>
      <c r="K856" s="115"/>
      <c r="L856" s="115"/>
      <c r="M856" s="115"/>
      <c r="N856" s="29"/>
      <c r="O856" s="29"/>
      <c r="P856" s="29"/>
      <c r="Q856" s="29"/>
      <c r="R856" s="29"/>
      <c r="S856" s="104"/>
      <c r="T856" s="104"/>
      <c r="U856" s="104"/>
      <c r="V856" s="104"/>
      <c r="W856" s="104"/>
      <c r="X856" s="104"/>
      <c r="Y856" s="104"/>
      <c r="Z856" s="104"/>
      <c r="AA856" s="231"/>
      <c r="AB856" s="231"/>
      <c r="AC856" s="231"/>
      <c r="AD856" s="231"/>
      <c r="AE856" s="231"/>
      <c r="AF856" s="231"/>
      <c r="AG856" s="231"/>
      <c r="AH856" s="231"/>
      <c r="AI856" s="231"/>
      <c r="AJ856" s="231"/>
      <c r="AK856" s="231"/>
      <c r="AL856" s="231"/>
      <c r="AM856" s="231"/>
      <c r="AN856" s="231"/>
      <c r="AO856" s="231"/>
      <c r="AP856" s="231"/>
      <c r="AQ856" s="231"/>
      <c r="AR856" s="231"/>
      <c r="AS856" s="231"/>
      <c r="AT856" s="231"/>
      <c r="AU856" s="231"/>
      <c r="AV856" s="231"/>
      <c r="AW856" s="231"/>
      <c r="AX856" s="231"/>
      <c r="AY856" s="231"/>
      <c r="AZ856" s="231"/>
      <c r="BA856" s="231"/>
      <c r="BB856" s="231"/>
      <c r="BC856" s="231"/>
      <c r="BD856" s="104"/>
      <c r="BE856" s="104"/>
      <c r="BF856" s="104"/>
      <c r="BG856" s="104"/>
      <c r="BH856" s="104"/>
      <c r="BI856" s="104"/>
      <c r="BJ856" s="104"/>
      <c r="BK856" s="12"/>
      <c r="BL856" s="12"/>
    </row>
    <row r="857" spans="1:64">
      <c r="A857" s="9"/>
      <c r="B857" s="9"/>
      <c r="C857" s="44" t="s">
        <v>26</v>
      </c>
      <c r="D857" s="117"/>
      <c r="E857" s="9"/>
      <c r="F857" s="9"/>
      <c r="G857" s="313">
        <f>SUM(G858:G887)</f>
        <v>27.807906237003301</v>
      </c>
      <c r="H857" s="35"/>
      <c r="I857" s="35"/>
      <c r="J857" s="35"/>
      <c r="K857" s="35"/>
      <c r="L857" s="35"/>
      <c r="M857" s="35"/>
      <c r="N857" s="29"/>
      <c r="O857" s="29"/>
      <c r="P857" s="29"/>
      <c r="Q857" s="29"/>
      <c r="R857" s="29"/>
      <c r="S857" s="104"/>
      <c r="T857" s="104"/>
      <c r="U857" s="104"/>
      <c r="V857" s="104"/>
      <c r="W857" s="104"/>
      <c r="X857" s="104"/>
      <c r="Y857" s="104"/>
      <c r="Z857" s="104"/>
      <c r="AA857" s="231"/>
      <c r="AB857" s="231"/>
      <c r="AC857" s="231"/>
      <c r="AD857" s="231"/>
      <c r="AE857" s="231"/>
      <c r="AF857" s="231"/>
      <c r="AG857" s="231"/>
      <c r="AH857" s="231"/>
      <c r="AI857" s="231"/>
      <c r="AJ857" s="231"/>
      <c r="AK857" s="231"/>
      <c r="AL857" s="231"/>
      <c r="AM857" s="231"/>
      <c r="AN857" s="231"/>
      <c r="AO857" s="231"/>
      <c r="AP857" s="231"/>
      <c r="AQ857" s="231"/>
      <c r="AR857" s="231"/>
      <c r="AS857" s="231"/>
      <c r="AT857" s="231"/>
      <c r="AU857" s="231"/>
      <c r="AV857" s="231"/>
      <c r="AW857" s="231"/>
      <c r="AX857" s="231"/>
      <c r="AY857" s="231"/>
      <c r="AZ857" s="231"/>
      <c r="BA857" s="231"/>
      <c r="BB857" s="231"/>
      <c r="BC857" s="231"/>
      <c r="BD857" s="104"/>
      <c r="BE857" s="104"/>
      <c r="BF857" s="104"/>
      <c r="BG857" s="104"/>
      <c r="BH857" s="104"/>
      <c r="BI857" s="104"/>
      <c r="BJ857" s="104"/>
      <c r="BK857" s="12"/>
      <c r="BL857" s="12"/>
    </row>
    <row r="858" spans="1:64" hidden="1" outlineLevel="1">
      <c r="A858" s="9"/>
      <c r="B858" s="9"/>
      <c r="C858" s="9"/>
      <c r="D858" s="271" t="str">
        <f>Asset1</f>
        <v>Subtransmission</v>
      </c>
      <c r="E858" s="9"/>
      <c r="F858" s="9"/>
      <c r="G858" s="207">
        <f>'Adjustment for previous period'!G592</f>
        <v>-25.319625562178441</v>
      </c>
      <c r="H858" s="35"/>
      <c r="I858" s="35"/>
      <c r="J858" s="35"/>
      <c r="K858" s="35"/>
      <c r="L858" s="35"/>
      <c r="M858" s="35"/>
      <c r="N858" s="29"/>
      <c r="O858" s="29"/>
      <c r="P858" s="29"/>
      <c r="Q858" s="29"/>
      <c r="R858" s="29"/>
      <c r="S858" s="104"/>
      <c r="T858" s="104"/>
      <c r="U858" s="104"/>
      <c r="V858" s="104"/>
      <c r="W858" s="104"/>
      <c r="X858" s="104"/>
      <c r="Y858" s="104"/>
      <c r="Z858" s="104"/>
      <c r="AA858" s="231"/>
      <c r="AB858" s="231"/>
      <c r="AC858" s="231"/>
      <c r="AD858" s="231"/>
      <c r="AE858" s="231"/>
      <c r="AF858" s="231"/>
      <c r="AG858" s="231"/>
      <c r="AH858" s="231"/>
      <c r="AI858" s="231"/>
      <c r="AJ858" s="231"/>
      <c r="AK858" s="231"/>
      <c r="AL858" s="231"/>
      <c r="AM858" s="231"/>
      <c r="AN858" s="231"/>
      <c r="AO858" s="231"/>
      <c r="AP858" s="231"/>
      <c r="AQ858" s="231"/>
      <c r="AR858" s="231"/>
      <c r="AS858" s="231"/>
      <c r="AT858" s="231"/>
      <c r="AU858" s="231"/>
      <c r="AV858" s="231"/>
      <c r="AW858" s="231"/>
      <c r="AX858" s="231"/>
      <c r="AY858" s="231"/>
      <c r="AZ858" s="231"/>
      <c r="BA858" s="231"/>
      <c r="BB858" s="231"/>
      <c r="BC858" s="231"/>
      <c r="BD858" s="104"/>
      <c r="BE858" s="104"/>
      <c r="BF858" s="104"/>
      <c r="BG858" s="104"/>
      <c r="BH858" s="104"/>
      <c r="BI858" s="104"/>
      <c r="BJ858" s="104"/>
      <c r="BK858" s="12"/>
      <c r="BL858" s="12"/>
    </row>
    <row r="859" spans="1:64" hidden="1" outlineLevel="1">
      <c r="A859" s="9"/>
      <c r="B859" s="9"/>
      <c r="C859" s="44"/>
      <c r="D859" s="271" t="str">
        <f>Asset2</f>
        <v>Distribution system assets</v>
      </c>
      <c r="E859" s="9"/>
      <c r="F859" s="9"/>
      <c r="G859" s="207">
        <f>'Adjustment for previous period'!G593</f>
        <v>32.156560835536396</v>
      </c>
      <c r="H859" s="35"/>
      <c r="I859" s="35"/>
      <c r="J859" s="35"/>
      <c r="K859" s="35"/>
      <c r="L859" s="35"/>
      <c r="M859" s="35"/>
      <c r="N859" s="29"/>
      <c r="O859" s="29"/>
      <c r="P859" s="29"/>
      <c r="Q859" s="29"/>
      <c r="R859" s="29"/>
      <c r="S859" s="104"/>
      <c r="T859" s="104"/>
      <c r="U859" s="104"/>
      <c r="V859" s="104"/>
      <c r="W859" s="104"/>
      <c r="X859" s="104"/>
      <c r="Y859" s="104"/>
      <c r="Z859" s="104"/>
      <c r="AA859" s="231"/>
      <c r="AB859" s="231"/>
      <c r="AC859" s="231"/>
      <c r="AD859" s="231"/>
      <c r="AE859" s="231"/>
      <c r="AF859" s="231"/>
      <c r="AG859" s="231"/>
      <c r="AH859" s="231"/>
      <c r="AI859" s="231"/>
      <c r="AJ859" s="231"/>
      <c r="AK859" s="231"/>
      <c r="AL859" s="231"/>
      <c r="AM859" s="231"/>
      <c r="AN859" s="231"/>
      <c r="AO859" s="231"/>
      <c r="AP859" s="231"/>
      <c r="AQ859" s="231"/>
      <c r="AR859" s="231"/>
      <c r="AS859" s="231"/>
      <c r="AT859" s="231"/>
      <c r="AU859" s="231"/>
      <c r="AV859" s="231"/>
      <c r="AW859" s="231"/>
      <c r="AX859" s="231"/>
      <c r="AY859" s="231"/>
      <c r="AZ859" s="231"/>
      <c r="BA859" s="231"/>
      <c r="BB859" s="231"/>
      <c r="BC859" s="231"/>
      <c r="BD859" s="104"/>
      <c r="BE859" s="104"/>
      <c r="BF859" s="104"/>
      <c r="BG859" s="104"/>
      <c r="BH859" s="104"/>
      <c r="BI859" s="104"/>
      <c r="BJ859" s="104"/>
      <c r="BK859" s="12"/>
      <c r="BL859" s="12"/>
    </row>
    <row r="860" spans="1:64" hidden="1" outlineLevel="1">
      <c r="A860" s="9"/>
      <c r="B860" s="9"/>
      <c r="C860" s="44"/>
      <c r="D860" s="271" t="str">
        <f>Asset3</f>
        <v>Standard metering</v>
      </c>
      <c r="E860" s="9"/>
      <c r="F860" s="9"/>
      <c r="G860" s="207">
        <f>'Adjustment for previous period'!G594</f>
        <v>9.7325555754664421</v>
      </c>
      <c r="H860" s="35"/>
      <c r="I860" s="35"/>
      <c r="J860" s="35"/>
      <c r="K860" s="35"/>
      <c r="L860" s="35"/>
      <c r="M860" s="35"/>
      <c r="N860" s="29"/>
      <c r="O860" s="29"/>
      <c r="P860" s="29"/>
      <c r="Q860" s="29"/>
      <c r="R860" s="29"/>
      <c r="S860" s="104"/>
      <c r="T860" s="104"/>
      <c r="U860" s="104"/>
      <c r="V860" s="104"/>
      <c r="W860" s="104"/>
      <c r="X860" s="104"/>
      <c r="Y860" s="104"/>
      <c r="Z860" s="104"/>
      <c r="AA860" s="231"/>
      <c r="AB860" s="231"/>
      <c r="AC860" s="231"/>
      <c r="AD860" s="231"/>
      <c r="AE860" s="231"/>
      <c r="AF860" s="231"/>
      <c r="AG860" s="231"/>
      <c r="AH860" s="231"/>
      <c r="AI860" s="231"/>
      <c r="AJ860" s="231"/>
      <c r="AK860" s="231"/>
      <c r="AL860" s="231"/>
      <c r="AM860" s="231"/>
      <c r="AN860" s="231"/>
      <c r="AO860" s="231"/>
      <c r="AP860" s="231"/>
      <c r="AQ860" s="231"/>
      <c r="AR860" s="231"/>
      <c r="AS860" s="231"/>
      <c r="AT860" s="231"/>
      <c r="AU860" s="231"/>
      <c r="AV860" s="231"/>
      <c r="AW860" s="231"/>
      <c r="AX860" s="231"/>
      <c r="AY860" s="231"/>
      <c r="AZ860" s="231"/>
      <c r="BA860" s="231"/>
      <c r="BB860" s="231"/>
      <c r="BC860" s="231"/>
      <c r="BD860" s="104"/>
      <c r="BE860" s="104"/>
      <c r="BF860" s="104"/>
      <c r="BG860" s="104"/>
      <c r="BH860" s="104"/>
      <c r="BI860" s="104"/>
      <c r="BJ860" s="104"/>
      <c r="BK860" s="12"/>
      <c r="BL860" s="12"/>
    </row>
    <row r="861" spans="1:64" hidden="1" outlineLevel="1">
      <c r="A861" s="9"/>
      <c r="B861" s="9"/>
      <c r="C861" s="44"/>
      <c r="D861" s="271" t="str">
        <f>Asset4</f>
        <v>Public lighting</v>
      </c>
      <c r="E861" s="9"/>
      <c r="F861" s="9"/>
      <c r="G861" s="207">
        <f>'Adjustment for previous period'!G595</f>
        <v>0</v>
      </c>
      <c r="H861" s="35"/>
      <c r="I861" s="35"/>
      <c r="J861" s="35"/>
      <c r="K861" s="35"/>
      <c r="L861" s="35"/>
      <c r="M861" s="35"/>
      <c r="N861" s="29"/>
      <c r="O861" s="29"/>
      <c r="P861" s="29"/>
      <c r="Q861" s="29"/>
      <c r="R861" s="29"/>
      <c r="S861" s="104"/>
      <c r="T861" s="104"/>
      <c r="U861" s="104"/>
      <c r="V861" s="104"/>
      <c r="W861" s="104"/>
      <c r="X861" s="104"/>
      <c r="Y861" s="104"/>
      <c r="Z861" s="104"/>
      <c r="AA861" s="231"/>
      <c r="AB861" s="231"/>
      <c r="AC861" s="231"/>
      <c r="AD861" s="231"/>
      <c r="AE861" s="231"/>
      <c r="AF861" s="231"/>
      <c r="AG861" s="231"/>
      <c r="AH861" s="231"/>
      <c r="AI861" s="231"/>
      <c r="AJ861" s="231"/>
      <c r="AK861" s="231"/>
      <c r="AL861" s="231"/>
      <c r="AM861" s="231"/>
      <c r="AN861" s="231"/>
      <c r="AO861" s="231"/>
      <c r="AP861" s="231"/>
      <c r="AQ861" s="231"/>
      <c r="AR861" s="231"/>
      <c r="AS861" s="231"/>
      <c r="AT861" s="231"/>
      <c r="AU861" s="231"/>
      <c r="AV861" s="231"/>
      <c r="AW861" s="231"/>
      <c r="AX861" s="231"/>
      <c r="AY861" s="231"/>
      <c r="AZ861" s="231"/>
      <c r="BA861" s="231"/>
      <c r="BB861" s="231"/>
      <c r="BC861" s="231"/>
      <c r="BD861" s="104"/>
      <c r="BE861" s="104"/>
      <c r="BF861" s="104"/>
      <c r="BG861" s="104"/>
      <c r="BH861" s="104"/>
      <c r="BI861" s="104"/>
      <c r="BJ861" s="104"/>
      <c r="BK861" s="12"/>
      <c r="BL861" s="12"/>
    </row>
    <row r="862" spans="1:64" hidden="1" outlineLevel="1">
      <c r="A862" s="9"/>
      <c r="B862" s="9"/>
      <c r="C862" s="44"/>
      <c r="D862" s="271" t="str">
        <f>Asset5</f>
        <v>SCADA/Network control</v>
      </c>
      <c r="E862" s="9"/>
      <c r="F862" s="9"/>
      <c r="G862" s="207">
        <f>'Adjustment for previous period'!G596</f>
        <v>2.4654834392613107</v>
      </c>
      <c r="H862" s="35"/>
      <c r="I862" s="35"/>
      <c r="J862" s="35"/>
      <c r="K862" s="35"/>
      <c r="L862" s="35"/>
      <c r="M862" s="35"/>
      <c r="N862" s="29"/>
      <c r="O862" s="29"/>
      <c r="P862" s="29"/>
      <c r="Q862" s="29"/>
      <c r="R862" s="29"/>
      <c r="S862" s="104"/>
      <c r="T862" s="104"/>
      <c r="U862" s="104"/>
      <c r="V862" s="104"/>
      <c r="W862" s="104"/>
      <c r="X862" s="104"/>
      <c r="Y862" s="104"/>
      <c r="Z862" s="104"/>
      <c r="AA862" s="231"/>
      <c r="AB862" s="231"/>
      <c r="AC862" s="231"/>
      <c r="AD862" s="231"/>
      <c r="AE862" s="231"/>
      <c r="AF862" s="231"/>
      <c r="AG862" s="231"/>
      <c r="AH862" s="231"/>
      <c r="AI862" s="231"/>
      <c r="AJ862" s="231"/>
      <c r="AK862" s="231"/>
      <c r="AL862" s="231"/>
      <c r="AM862" s="231"/>
      <c r="AN862" s="231"/>
      <c r="AO862" s="231"/>
      <c r="AP862" s="231"/>
      <c r="AQ862" s="231"/>
      <c r="AR862" s="231"/>
      <c r="AS862" s="231"/>
      <c r="AT862" s="231"/>
      <c r="AU862" s="231"/>
      <c r="AV862" s="231"/>
      <c r="AW862" s="231"/>
      <c r="AX862" s="231"/>
      <c r="AY862" s="231"/>
      <c r="AZ862" s="231"/>
      <c r="BA862" s="231"/>
      <c r="BB862" s="231"/>
      <c r="BC862" s="231"/>
      <c r="BD862" s="104"/>
      <c r="BE862" s="104"/>
      <c r="BF862" s="104"/>
      <c r="BG862" s="104"/>
      <c r="BH862" s="104"/>
      <c r="BI862" s="104"/>
      <c r="BJ862" s="104"/>
      <c r="BK862" s="12"/>
      <c r="BL862" s="12"/>
    </row>
    <row r="863" spans="1:64" hidden="1" outlineLevel="1">
      <c r="A863" s="9"/>
      <c r="B863" s="9"/>
      <c r="C863" s="44"/>
      <c r="D863" s="271" t="str">
        <f>Asset6</f>
        <v>Non-network general assets - IT</v>
      </c>
      <c r="E863" s="9"/>
      <c r="F863" s="9"/>
      <c r="G863" s="207">
        <f>'Adjustment for previous period'!G597</f>
        <v>5.9967896688978106</v>
      </c>
      <c r="H863" s="35"/>
      <c r="I863" s="35"/>
      <c r="J863" s="35"/>
      <c r="K863" s="35"/>
      <c r="L863" s="35"/>
      <c r="M863" s="35"/>
      <c r="N863" s="29"/>
      <c r="O863" s="29"/>
      <c r="P863" s="29"/>
      <c r="Q863" s="29"/>
      <c r="R863" s="29"/>
      <c r="S863" s="104"/>
      <c r="T863" s="104"/>
      <c r="U863" s="104"/>
      <c r="V863" s="104"/>
      <c r="W863" s="104"/>
      <c r="X863" s="104"/>
      <c r="Y863" s="104"/>
      <c r="Z863" s="104"/>
      <c r="AA863" s="231"/>
      <c r="AB863" s="231"/>
      <c r="AC863" s="231"/>
      <c r="AD863" s="231"/>
      <c r="AE863" s="231"/>
      <c r="AF863" s="231"/>
      <c r="AG863" s="231"/>
      <c r="AH863" s="231"/>
      <c r="AI863" s="231"/>
      <c r="AJ863" s="231"/>
      <c r="AK863" s="231"/>
      <c r="AL863" s="231"/>
      <c r="AM863" s="231"/>
      <c r="AN863" s="231"/>
      <c r="AO863" s="231"/>
      <c r="AP863" s="231"/>
      <c r="AQ863" s="231"/>
      <c r="AR863" s="231"/>
      <c r="AS863" s="231"/>
      <c r="AT863" s="231"/>
      <c r="AU863" s="231"/>
      <c r="AV863" s="231"/>
      <c r="AW863" s="231"/>
      <c r="AX863" s="231"/>
      <c r="AY863" s="231"/>
      <c r="AZ863" s="231"/>
      <c r="BA863" s="231"/>
      <c r="BB863" s="231"/>
      <c r="BC863" s="231"/>
      <c r="BD863" s="104"/>
      <c r="BE863" s="104"/>
      <c r="BF863" s="104"/>
      <c r="BG863" s="104"/>
      <c r="BH863" s="104"/>
      <c r="BI863" s="104"/>
      <c r="BJ863" s="104"/>
      <c r="BK863" s="12"/>
      <c r="BL863" s="12"/>
    </row>
    <row r="864" spans="1:64" hidden="1" outlineLevel="1">
      <c r="A864" s="9"/>
      <c r="B864" s="9"/>
      <c r="C864" s="44"/>
      <c r="D864" s="271" t="str">
        <f>Asset7</f>
        <v>Non-network general assets - Other</v>
      </c>
      <c r="E864" s="9"/>
      <c r="F864" s="9"/>
      <c r="G864" s="207">
        <f>'Adjustment for previous period'!G598</f>
        <v>2.7761422800197848</v>
      </c>
      <c r="H864" s="35"/>
      <c r="I864" s="35"/>
      <c r="J864" s="35"/>
      <c r="K864" s="35"/>
      <c r="L864" s="35"/>
      <c r="M864" s="35"/>
      <c r="N864" s="29"/>
      <c r="O864" s="29"/>
      <c r="P864" s="29"/>
      <c r="Q864" s="29"/>
      <c r="R864" s="29"/>
      <c r="S864" s="104"/>
      <c r="T864" s="104"/>
      <c r="U864" s="104"/>
      <c r="V864" s="104"/>
      <c r="W864" s="104"/>
      <c r="X864" s="104"/>
      <c r="Y864" s="104"/>
      <c r="Z864" s="104"/>
      <c r="AA864" s="231"/>
      <c r="AB864" s="231"/>
      <c r="AC864" s="231"/>
      <c r="AD864" s="231"/>
      <c r="AE864" s="231"/>
      <c r="AF864" s="231"/>
      <c r="AG864" s="231"/>
      <c r="AH864" s="231"/>
      <c r="AI864" s="231"/>
      <c r="AJ864" s="231"/>
      <c r="AK864" s="231"/>
      <c r="AL864" s="231"/>
      <c r="AM864" s="231"/>
      <c r="AN864" s="231"/>
      <c r="AO864" s="231"/>
      <c r="AP864" s="231"/>
      <c r="AQ864" s="231"/>
      <c r="AR864" s="231"/>
      <c r="AS864" s="231"/>
      <c r="AT864" s="231"/>
      <c r="AU864" s="231"/>
      <c r="AV864" s="231"/>
      <c r="AW864" s="231"/>
      <c r="AX864" s="231"/>
      <c r="AY864" s="231"/>
      <c r="AZ864" s="231"/>
      <c r="BA864" s="231"/>
      <c r="BB864" s="231"/>
      <c r="BC864" s="231"/>
      <c r="BD864" s="104"/>
      <c r="BE864" s="104"/>
      <c r="BF864" s="104"/>
      <c r="BG864" s="104"/>
      <c r="BH864" s="104"/>
      <c r="BI864" s="104"/>
      <c r="BJ864" s="104"/>
      <c r="BK864" s="12"/>
      <c r="BL864" s="12"/>
    </row>
    <row r="865" spans="1:64" hidden="1" outlineLevel="1">
      <c r="A865" s="9"/>
      <c r="B865" s="9"/>
      <c r="C865" s="44"/>
      <c r="D865" s="271" t="str">
        <f>Asset8</f>
        <v>Equity Raising Costs</v>
      </c>
      <c r="E865" s="9"/>
      <c r="F865" s="9"/>
      <c r="G865" s="207">
        <f>'Adjustment for previous period'!G599</f>
        <v>0</v>
      </c>
      <c r="H865" s="35"/>
      <c r="I865" s="35"/>
      <c r="J865" s="35"/>
      <c r="K865" s="35"/>
      <c r="L865" s="35"/>
      <c r="M865" s="35"/>
      <c r="N865" s="29"/>
      <c r="O865" s="29"/>
      <c r="P865" s="29"/>
      <c r="Q865" s="29"/>
      <c r="R865" s="29"/>
      <c r="S865" s="104"/>
      <c r="T865" s="104"/>
      <c r="U865" s="104"/>
      <c r="V865" s="104"/>
      <c r="W865" s="104"/>
      <c r="X865" s="104"/>
      <c r="Y865" s="104"/>
      <c r="Z865" s="104"/>
      <c r="AA865" s="231"/>
      <c r="AB865" s="231"/>
      <c r="AC865" s="231"/>
      <c r="AD865" s="231"/>
      <c r="AE865" s="231"/>
      <c r="AF865" s="231"/>
      <c r="AG865" s="231"/>
      <c r="AH865" s="231"/>
      <c r="AI865" s="231"/>
      <c r="AJ865" s="231"/>
      <c r="AK865" s="231"/>
      <c r="AL865" s="231"/>
      <c r="AM865" s="231"/>
      <c r="AN865" s="231"/>
      <c r="AO865" s="231"/>
      <c r="AP865" s="231"/>
      <c r="AQ865" s="231"/>
      <c r="AR865" s="231"/>
      <c r="AS865" s="231"/>
      <c r="AT865" s="231"/>
      <c r="AU865" s="231"/>
      <c r="AV865" s="231"/>
      <c r="AW865" s="231"/>
      <c r="AX865" s="231"/>
      <c r="AY865" s="231"/>
      <c r="AZ865" s="231"/>
      <c r="BA865" s="231"/>
      <c r="BB865" s="231"/>
      <c r="BC865" s="231"/>
      <c r="BD865" s="104"/>
      <c r="BE865" s="104"/>
      <c r="BF865" s="104"/>
      <c r="BG865" s="104"/>
      <c r="BH865" s="104"/>
      <c r="BI865" s="104"/>
      <c r="BJ865" s="104"/>
      <c r="BK865" s="12"/>
      <c r="BL865" s="12"/>
    </row>
    <row r="866" spans="1:64" hidden="1" outlineLevel="1">
      <c r="A866" s="9"/>
      <c r="B866" s="9"/>
      <c r="C866" s="44"/>
      <c r="D866" s="271">
        <f>Asset9</f>
        <v>0</v>
      </c>
      <c r="E866" s="9"/>
      <c r="F866" s="9"/>
      <c r="G866" s="207">
        <f>'Adjustment for previous period'!G600</f>
        <v>0</v>
      </c>
      <c r="H866" s="35"/>
      <c r="I866" s="35"/>
      <c r="J866" s="35"/>
      <c r="K866" s="35"/>
      <c r="L866" s="35"/>
      <c r="M866" s="35"/>
      <c r="N866" s="29"/>
      <c r="O866" s="29"/>
      <c r="P866" s="29"/>
      <c r="Q866" s="29"/>
      <c r="R866" s="29"/>
      <c r="S866" s="104"/>
      <c r="T866" s="104"/>
      <c r="U866" s="104"/>
      <c r="V866" s="104"/>
      <c r="W866" s="104"/>
      <c r="X866" s="104"/>
      <c r="Y866" s="104"/>
      <c r="Z866" s="104"/>
      <c r="AA866" s="231"/>
      <c r="AB866" s="231"/>
      <c r="AC866" s="231"/>
      <c r="AD866" s="231"/>
      <c r="AE866" s="231"/>
      <c r="AF866" s="231"/>
      <c r="AG866" s="231"/>
      <c r="AH866" s="231"/>
      <c r="AI866" s="231"/>
      <c r="AJ866" s="231"/>
      <c r="AK866" s="231"/>
      <c r="AL866" s="231"/>
      <c r="AM866" s="231"/>
      <c r="AN866" s="231"/>
      <c r="AO866" s="231"/>
      <c r="AP866" s="231"/>
      <c r="AQ866" s="231"/>
      <c r="AR866" s="231"/>
      <c r="AS866" s="231"/>
      <c r="AT866" s="231"/>
      <c r="AU866" s="231"/>
      <c r="AV866" s="231"/>
      <c r="AW866" s="231"/>
      <c r="AX866" s="231"/>
      <c r="AY866" s="231"/>
      <c r="AZ866" s="231"/>
      <c r="BA866" s="231"/>
      <c r="BB866" s="231"/>
      <c r="BC866" s="231"/>
      <c r="BD866" s="104"/>
      <c r="BE866" s="104"/>
      <c r="BF866" s="104"/>
      <c r="BG866" s="104"/>
      <c r="BH866" s="104"/>
      <c r="BI866" s="104"/>
      <c r="BJ866" s="104"/>
      <c r="BK866" s="12"/>
      <c r="BL866" s="12"/>
    </row>
    <row r="867" spans="1:64" hidden="1" outlineLevel="1">
      <c r="A867" s="9"/>
      <c r="B867" s="9"/>
      <c r="C867" s="44"/>
      <c r="D867" s="271">
        <f>Asset10</f>
        <v>0</v>
      </c>
      <c r="E867" s="9"/>
      <c r="F867" s="9"/>
      <c r="G867" s="207">
        <f>'Adjustment for previous period'!G601</f>
        <v>0</v>
      </c>
      <c r="H867" s="35"/>
      <c r="I867" s="35"/>
      <c r="J867" s="35"/>
      <c r="K867" s="35"/>
      <c r="L867" s="35"/>
      <c r="M867" s="35"/>
      <c r="N867" s="29"/>
      <c r="O867" s="29"/>
      <c r="P867" s="29"/>
      <c r="Q867" s="29"/>
      <c r="R867" s="29"/>
      <c r="S867" s="104"/>
      <c r="T867" s="104"/>
      <c r="U867" s="104"/>
      <c r="V867" s="104"/>
      <c r="W867" s="104"/>
      <c r="X867" s="104"/>
      <c r="Y867" s="104"/>
      <c r="Z867" s="104"/>
      <c r="AA867" s="231"/>
      <c r="AB867" s="231"/>
      <c r="AC867" s="231"/>
      <c r="AD867" s="231"/>
      <c r="AE867" s="231"/>
      <c r="AF867" s="231"/>
      <c r="AG867" s="231"/>
      <c r="AH867" s="231"/>
      <c r="AI867" s="231"/>
      <c r="AJ867" s="231"/>
      <c r="AK867" s="231"/>
      <c r="AL867" s="231"/>
      <c r="AM867" s="231"/>
      <c r="AN867" s="231"/>
      <c r="AO867" s="231"/>
      <c r="AP867" s="231"/>
      <c r="AQ867" s="231"/>
      <c r="AR867" s="231"/>
      <c r="AS867" s="231"/>
      <c r="AT867" s="231"/>
      <c r="AU867" s="231"/>
      <c r="AV867" s="231"/>
      <c r="AW867" s="231"/>
      <c r="AX867" s="231"/>
      <c r="AY867" s="231"/>
      <c r="AZ867" s="231"/>
      <c r="BA867" s="231"/>
      <c r="BB867" s="231"/>
      <c r="BC867" s="231"/>
      <c r="BD867" s="104"/>
      <c r="BE867" s="104"/>
      <c r="BF867" s="104"/>
      <c r="BG867" s="104"/>
      <c r="BH867" s="104"/>
      <c r="BI867" s="104"/>
      <c r="BJ867" s="104"/>
      <c r="BK867" s="12"/>
      <c r="BL867" s="12"/>
    </row>
    <row r="868" spans="1:64" hidden="1" outlineLevel="1">
      <c r="A868" s="9"/>
      <c r="B868" s="9"/>
      <c r="C868" s="44"/>
      <c r="D868" s="271">
        <f>Asset11</f>
        <v>0</v>
      </c>
      <c r="E868" s="9"/>
      <c r="F868" s="9"/>
      <c r="G868" s="207">
        <f>'Adjustment for previous period'!G602</f>
        <v>0</v>
      </c>
      <c r="H868" s="35"/>
      <c r="I868" s="35"/>
      <c r="J868" s="35"/>
      <c r="K868" s="35"/>
      <c r="L868" s="35"/>
      <c r="M868" s="35"/>
      <c r="N868" s="29"/>
      <c r="O868" s="29"/>
      <c r="P868" s="29"/>
      <c r="Q868" s="29"/>
      <c r="R868" s="29"/>
      <c r="S868" s="104"/>
      <c r="T868" s="104"/>
      <c r="U868" s="104"/>
      <c r="V868" s="104"/>
      <c r="W868" s="104"/>
      <c r="X868" s="104"/>
      <c r="Y868" s="104"/>
      <c r="Z868" s="104"/>
      <c r="AA868" s="231"/>
      <c r="AB868" s="231"/>
      <c r="AC868" s="231"/>
      <c r="AD868" s="231"/>
      <c r="AE868" s="231"/>
      <c r="AF868" s="231"/>
      <c r="AG868" s="231"/>
      <c r="AH868" s="231"/>
      <c r="AI868" s="231"/>
      <c r="AJ868" s="231"/>
      <c r="AK868" s="231"/>
      <c r="AL868" s="231"/>
      <c r="AM868" s="231"/>
      <c r="AN868" s="231"/>
      <c r="AO868" s="231"/>
      <c r="AP868" s="231"/>
      <c r="AQ868" s="231"/>
      <c r="AR868" s="231"/>
      <c r="AS868" s="231"/>
      <c r="AT868" s="231"/>
      <c r="AU868" s="231"/>
      <c r="AV868" s="231"/>
      <c r="AW868" s="231"/>
      <c r="AX868" s="231"/>
      <c r="AY868" s="231"/>
      <c r="AZ868" s="231"/>
      <c r="BA868" s="231"/>
      <c r="BB868" s="231"/>
      <c r="BC868" s="231"/>
      <c r="BD868" s="104"/>
      <c r="BE868" s="104"/>
      <c r="BF868" s="104"/>
      <c r="BG868" s="104"/>
      <c r="BH868" s="104"/>
      <c r="BI868" s="104"/>
      <c r="BJ868" s="104"/>
      <c r="BK868" s="12"/>
      <c r="BL868" s="12"/>
    </row>
    <row r="869" spans="1:64" hidden="1" outlineLevel="1">
      <c r="A869" s="9"/>
      <c r="B869" s="9"/>
      <c r="C869" s="44"/>
      <c r="D869" s="271">
        <f>Asset12</f>
        <v>0</v>
      </c>
      <c r="E869" s="9"/>
      <c r="F869" s="9"/>
      <c r="G869" s="207">
        <f>'Adjustment for previous period'!G603</f>
        <v>0</v>
      </c>
      <c r="H869" s="35"/>
      <c r="I869" s="35"/>
      <c r="J869" s="35"/>
      <c r="K869" s="35"/>
      <c r="L869" s="35"/>
      <c r="M869" s="35"/>
      <c r="N869" s="29"/>
      <c r="O869" s="29"/>
      <c r="P869" s="29"/>
      <c r="Q869" s="29"/>
      <c r="R869" s="29"/>
      <c r="S869" s="104"/>
      <c r="T869" s="104"/>
      <c r="U869" s="104"/>
      <c r="V869" s="104"/>
      <c r="W869" s="104"/>
      <c r="X869" s="104"/>
      <c r="Y869" s="104"/>
      <c r="Z869" s="104"/>
      <c r="AA869" s="231"/>
      <c r="AB869" s="231"/>
      <c r="AC869" s="231"/>
      <c r="AD869" s="231"/>
      <c r="AE869" s="231"/>
      <c r="AF869" s="231"/>
      <c r="AG869" s="231"/>
      <c r="AH869" s="231"/>
      <c r="AI869" s="231"/>
      <c r="AJ869" s="231"/>
      <c r="AK869" s="231"/>
      <c r="AL869" s="231"/>
      <c r="AM869" s="231"/>
      <c r="AN869" s="231"/>
      <c r="AO869" s="231"/>
      <c r="AP869" s="231"/>
      <c r="AQ869" s="231"/>
      <c r="AR869" s="231"/>
      <c r="AS869" s="231"/>
      <c r="AT869" s="231"/>
      <c r="AU869" s="231"/>
      <c r="AV869" s="231"/>
      <c r="AW869" s="231"/>
      <c r="AX869" s="231"/>
      <c r="AY869" s="231"/>
      <c r="AZ869" s="231"/>
      <c r="BA869" s="231"/>
      <c r="BB869" s="231"/>
      <c r="BC869" s="231"/>
      <c r="BD869" s="104"/>
      <c r="BE869" s="104"/>
      <c r="BF869" s="104"/>
      <c r="BG869" s="104"/>
      <c r="BH869" s="104"/>
      <c r="BI869" s="104"/>
      <c r="BJ869" s="104"/>
      <c r="BK869" s="12"/>
      <c r="BL869" s="12"/>
    </row>
    <row r="870" spans="1:64" hidden="1" outlineLevel="1">
      <c r="A870" s="9"/>
      <c r="B870" s="9"/>
      <c r="C870" s="44"/>
      <c r="D870" s="271">
        <f>Asset13</f>
        <v>0</v>
      </c>
      <c r="E870" s="9"/>
      <c r="F870" s="9"/>
      <c r="G870" s="207">
        <f>'Adjustment for previous period'!G604</f>
        <v>0</v>
      </c>
      <c r="H870" s="35"/>
      <c r="I870" s="35"/>
      <c r="J870" s="35"/>
      <c r="K870" s="35"/>
      <c r="L870" s="35"/>
      <c r="M870" s="35"/>
      <c r="N870" s="29"/>
      <c r="O870" s="29"/>
      <c r="P870" s="29"/>
      <c r="Q870" s="29"/>
      <c r="R870" s="29"/>
      <c r="S870" s="104"/>
      <c r="T870" s="104"/>
      <c r="U870" s="104"/>
      <c r="V870" s="104"/>
      <c r="W870" s="104"/>
      <c r="X870" s="104"/>
      <c r="Y870" s="104"/>
      <c r="Z870" s="104"/>
      <c r="AA870" s="231"/>
      <c r="AB870" s="231"/>
      <c r="AC870" s="231"/>
      <c r="AD870" s="231"/>
      <c r="AE870" s="231"/>
      <c r="AF870" s="231"/>
      <c r="AG870" s="231"/>
      <c r="AH870" s="231"/>
      <c r="AI870" s="231"/>
      <c r="AJ870" s="231"/>
      <c r="AK870" s="231"/>
      <c r="AL870" s="231"/>
      <c r="AM870" s="231"/>
      <c r="AN870" s="231"/>
      <c r="AO870" s="231"/>
      <c r="AP870" s="231"/>
      <c r="AQ870" s="231"/>
      <c r="AR870" s="231"/>
      <c r="AS870" s="231"/>
      <c r="AT870" s="231"/>
      <c r="AU870" s="231"/>
      <c r="AV870" s="231"/>
      <c r="AW870" s="231"/>
      <c r="AX870" s="231"/>
      <c r="AY870" s="231"/>
      <c r="AZ870" s="231"/>
      <c r="BA870" s="231"/>
      <c r="BB870" s="231"/>
      <c r="BC870" s="231"/>
      <c r="BD870" s="104"/>
      <c r="BE870" s="104"/>
      <c r="BF870" s="104"/>
      <c r="BG870" s="104"/>
      <c r="BH870" s="104"/>
      <c r="BI870" s="104"/>
      <c r="BJ870" s="104"/>
      <c r="BK870" s="12"/>
      <c r="BL870" s="12"/>
    </row>
    <row r="871" spans="1:64" hidden="1" outlineLevel="1">
      <c r="A871" s="9"/>
      <c r="B871" s="9"/>
      <c r="C871" s="44"/>
      <c r="D871" s="271">
        <f>Asset14</f>
        <v>0</v>
      </c>
      <c r="E871" s="9"/>
      <c r="F871" s="9"/>
      <c r="G871" s="207">
        <f>'Adjustment for previous period'!G605</f>
        <v>0</v>
      </c>
      <c r="H871" s="35"/>
      <c r="I871" s="35"/>
      <c r="J871" s="35"/>
      <c r="K871" s="35"/>
      <c r="L871" s="35"/>
      <c r="M871" s="35"/>
      <c r="N871" s="29"/>
      <c r="O871" s="29"/>
      <c r="P871" s="29"/>
      <c r="Q871" s="29"/>
      <c r="R871" s="29"/>
      <c r="S871" s="104"/>
      <c r="T871" s="104"/>
      <c r="U871" s="104"/>
      <c r="V871" s="104"/>
      <c r="W871" s="104"/>
      <c r="X871" s="104"/>
      <c r="Y871" s="104"/>
      <c r="Z871" s="104"/>
      <c r="AA871" s="231"/>
      <c r="AB871" s="231"/>
      <c r="AC871" s="231"/>
      <c r="AD871" s="231"/>
      <c r="AE871" s="231"/>
      <c r="AF871" s="231"/>
      <c r="AG871" s="231"/>
      <c r="AH871" s="231"/>
      <c r="AI871" s="231"/>
      <c r="AJ871" s="231"/>
      <c r="AK871" s="231"/>
      <c r="AL871" s="231"/>
      <c r="AM871" s="231"/>
      <c r="AN871" s="231"/>
      <c r="AO871" s="231"/>
      <c r="AP871" s="231"/>
      <c r="AQ871" s="231"/>
      <c r="AR871" s="231"/>
      <c r="AS871" s="231"/>
      <c r="AT871" s="231"/>
      <c r="AU871" s="231"/>
      <c r="AV871" s="231"/>
      <c r="AW871" s="231"/>
      <c r="AX871" s="231"/>
      <c r="AY871" s="231"/>
      <c r="AZ871" s="231"/>
      <c r="BA871" s="231"/>
      <c r="BB871" s="231"/>
      <c r="BC871" s="231"/>
      <c r="BD871" s="104"/>
      <c r="BE871" s="104"/>
      <c r="BF871" s="104"/>
      <c r="BG871" s="104"/>
      <c r="BH871" s="104"/>
      <c r="BI871" s="104"/>
      <c r="BJ871" s="104"/>
      <c r="BK871" s="12"/>
      <c r="BL871" s="12"/>
    </row>
    <row r="872" spans="1:64" hidden="1" outlineLevel="1">
      <c r="A872" s="9"/>
      <c r="B872" s="9"/>
      <c r="C872" s="44"/>
      <c r="D872" s="271">
        <f>Asset15</f>
        <v>0</v>
      </c>
      <c r="E872" s="9"/>
      <c r="F872" s="9"/>
      <c r="G872" s="207">
        <f>'Adjustment for previous period'!G606</f>
        <v>0</v>
      </c>
      <c r="H872" s="35"/>
      <c r="I872" s="35"/>
      <c r="J872" s="35"/>
      <c r="K872" s="35"/>
      <c r="L872" s="35"/>
      <c r="M872" s="35"/>
      <c r="N872" s="29"/>
      <c r="O872" s="29"/>
      <c r="P872" s="29"/>
      <c r="Q872" s="29"/>
      <c r="R872" s="29"/>
      <c r="S872" s="104"/>
      <c r="T872" s="104"/>
      <c r="U872" s="104"/>
      <c r="V872" s="104"/>
      <c r="W872" s="104"/>
      <c r="X872" s="104"/>
      <c r="Y872" s="104"/>
      <c r="Z872" s="104"/>
      <c r="AA872" s="231"/>
      <c r="AB872" s="231"/>
      <c r="AC872" s="231"/>
      <c r="AD872" s="231"/>
      <c r="AE872" s="231"/>
      <c r="AF872" s="231"/>
      <c r="AG872" s="231"/>
      <c r="AH872" s="231"/>
      <c r="AI872" s="231"/>
      <c r="AJ872" s="231"/>
      <c r="AK872" s="231"/>
      <c r="AL872" s="231"/>
      <c r="AM872" s="231"/>
      <c r="AN872" s="231"/>
      <c r="AO872" s="231"/>
      <c r="AP872" s="231"/>
      <c r="AQ872" s="231"/>
      <c r="AR872" s="231"/>
      <c r="AS872" s="231"/>
      <c r="AT872" s="231"/>
      <c r="AU872" s="231"/>
      <c r="AV872" s="231"/>
      <c r="AW872" s="231"/>
      <c r="AX872" s="231"/>
      <c r="AY872" s="231"/>
      <c r="AZ872" s="231"/>
      <c r="BA872" s="231"/>
      <c r="BB872" s="231"/>
      <c r="BC872" s="231"/>
      <c r="BD872" s="104"/>
      <c r="BE872" s="104"/>
      <c r="BF872" s="104"/>
      <c r="BG872" s="104"/>
      <c r="BH872" s="104"/>
      <c r="BI872" s="104"/>
      <c r="BJ872" s="104"/>
      <c r="BK872" s="12"/>
      <c r="BL872" s="12"/>
    </row>
    <row r="873" spans="1:64" hidden="1" outlineLevel="1">
      <c r="A873" s="9"/>
      <c r="B873" s="9"/>
      <c r="C873" s="44"/>
      <c r="D873" s="271">
        <f>Asset16</f>
        <v>0</v>
      </c>
      <c r="E873" s="9"/>
      <c r="F873" s="9"/>
      <c r="G873" s="207">
        <f>'Adjustment for previous period'!G607</f>
        <v>0</v>
      </c>
      <c r="H873" s="35"/>
      <c r="I873" s="35"/>
      <c r="J873" s="35"/>
      <c r="K873" s="35"/>
      <c r="L873" s="35"/>
      <c r="M873" s="35"/>
      <c r="N873" s="29"/>
      <c r="O873" s="29"/>
      <c r="P873" s="29"/>
      <c r="Q873" s="29"/>
      <c r="R873" s="29"/>
      <c r="S873" s="104"/>
      <c r="T873" s="104"/>
      <c r="U873" s="104"/>
      <c r="V873" s="104"/>
      <c r="W873" s="104"/>
      <c r="X873" s="104"/>
      <c r="Y873" s="104"/>
      <c r="Z873" s="104"/>
      <c r="AA873" s="231"/>
      <c r="AB873" s="231"/>
      <c r="AC873" s="231"/>
      <c r="AD873" s="231"/>
      <c r="AE873" s="231"/>
      <c r="AF873" s="231"/>
      <c r="AG873" s="231"/>
      <c r="AH873" s="231"/>
      <c r="AI873" s="231"/>
      <c r="AJ873" s="231"/>
      <c r="AK873" s="231"/>
      <c r="AL873" s="231"/>
      <c r="AM873" s="231"/>
      <c r="AN873" s="231"/>
      <c r="AO873" s="231"/>
      <c r="AP873" s="231"/>
      <c r="AQ873" s="231"/>
      <c r="AR873" s="231"/>
      <c r="AS873" s="231"/>
      <c r="AT873" s="231"/>
      <c r="AU873" s="231"/>
      <c r="AV873" s="231"/>
      <c r="AW873" s="231"/>
      <c r="AX873" s="231"/>
      <c r="AY873" s="231"/>
      <c r="AZ873" s="231"/>
      <c r="BA873" s="231"/>
      <c r="BB873" s="231"/>
      <c r="BC873" s="231"/>
      <c r="BD873" s="104"/>
      <c r="BE873" s="104"/>
      <c r="BF873" s="104"/>
      <c r="BG873" s="104"/>
      <c r="BH873" s="104"/>
      <c r="BI873" s="104"/>
      <c r="BJ873" s="104"/>
      <c r="BK873" s="12"/>
      <c r="BL873" s="12"/>
    </row>
    <row r="874" spans="1:64" hidden="1" outlineLevel="1">
      <c r="A874" s="9"/>
      <c r="B874" s="9"/>
      <c r="C874" s="44"/>
      <c r="D874" s="271">
        <f>Asset17</f>
        <v>0</v>
      </c>
      <c r="E874" s="9"/>
      <c r="F874" s="9"/>
      <c r="G874" s="207">
        <f>'Adjustment for previous period'!G608</f>
        <v>0</v>
      </c>
      <c r="H874" s="35"/>
      <c r="I874" s="35"/>
      <c r="J874" s="35"/>
      <c r="K874" s="35"/>
      <c r="L874" s="35"/>
      <c r="M874" s="35"/>
      <c r="N874" s="29"/>
      <c r="O874" s="29"/>
      <c r="P874" s="29"/>
      <c r="Q874" s="29"/>
      <c r="R874" s="29"/>
      <c r="S874" s="104"/>
      <c r="T874" s="104"/>
      <c r="U874" s="104"/>
      <c r="V874" s="104"/>
      <c r="W874" s="104"/>
      <c r="X874" s="104"/>
      <c r="Y874" s="104"/>
      <c r="Z874" s="104"/>
      <c r="AA874" s="231"/>
      <c r="AB874" s="231"/>
      <c r="AC874" s="231"/>
      <c r="AD874" s="231"/>
      <c r="AE874" s="231"/>
      <c r="AF874" s="231"/>
      <c r="AG874" s="231"/>
      <c r="AH874" s="231"/>
      <c r="AI874" s="231"/>
      <c r="AJ874" s="231"/>
      <c r="AK874" s="231"/>
      <c r="AL874" s="231"/>
      <c r="AM874" s="231"/>
      <c r="AN874" s="231"/>
      <c r="AO874" s="231"/>
      <c r="AP874" s="231"/>
      <c r="AQ874" s="231"/>
      <c r="AR874" s="231"/>
      <c r="AS874" s="231"/>
      <c r="AT874" s="231"/>
      <c r="AU874" s="231"/>
      <c r="AV874" s="231"/>
      <c r="AW874" s="231"/>
      <c r="AX874" s="231"/>
      <c r="AY874" s="231"/>
      <c r="AZ874" s="231"/>
      <c r="BA874" s="231"/>
      <c r="BB874" s="231"/>
      <c r="BC874" s="231"/>
      <c r="BD874" s="104"/>
      <c r="BE874" s="104"/>
      <c r="BF874" s="104"/>
      <c r="BG874" s="104"/>
      <c r="BH874" s="104"/>
      <c r="BI874" s="104"/>
      <c r="BJ874" s="104"/>
      <c r="BK874" s="12"/>
      <c r="BL874" s="12"/>
    </row>
    <row r="875" spans="1:64" hidden="1" outlineLevel="1">
      <c r="A875" s="9"/>
      <c r="B875" s="9"/>
      <c r="C875" s="44"/>
      <c r="D875" s="271">
        <f>Asset18</f>
        <v>0</v>
      </c>
      <c r="E875" s="9"/>
      <c r="F875" s="9"/>
      <c r="G875" s="207">
        <f>'Adjustment for previous period'!G609</f>
        <v>0</v>
      </c>
      <c r="H875" s="35"/>
      <c r="I875" s="35"/>
      <c r="J875" s="35"/>
      <c r="K875" s="35"/>
      <c r="L875" s="35"/>
      <c r="M875" s="35"/>
      <c r="N875" s="29"/>
      <c r="O875" s="29"/>
      <c r="P875" s="29"/>
      <c r="Q875" s="29"/>
      <c r="R875" s="29"/>
      <c r="S875" s="104"/>
      <c r="T875" s="104"/>
      <c r="U875" s="104"/>
      <c r="V875" s="104"/>
      <c r="W875" s="104"/>
      <c r="X875" s="104"/>
      <c r="Y875" s="104"/>
      <c r="Z875" s="104"/>
      <c r="AA875" s="231"/>
      <c r="AB875" s="231"/>
      <c r="AC875" s="231"/>
      <c r="AD875" s="231"/>
      <c r="AE875" s="231"/>
      <c r="AF875" s="231"/>
      <c r="AG875" s="231"/>
      <c r="AH875" s="231"/>
      <c r="AI875" s="231"/>
      <c r="AJ875" s="231"/>
      <c r="AK875" s="231"/>
      <c r="AL875" s="231"/>
      <c r="AM875" s="231"/>
      <c r="AN875" s="231"/>
      <c r="AO875" s="231"/>
      <c r="AP875" s="231"/>
      <c r="AQ875" s="231"/>
      <c r="AR875" s="231"/>
      <c r="AS875" s="231"/>
      <c r="AT875" s="231"/>
      <c r="AU875" s="231"/>
      <c r="AV875" s="231"/>
      <c r="AW875" s="231"/>
      <c r="AX875" s="231"/>
      <c r="AY875" s="231"/>
      <c r="AZ875" s="231"/>
      <c r="BA875" s="231"/>
      <c r="BB875" s="231"/>
      <c r="BC875" s="231"/>
      <c r="BD875" s="104"/>
      <c r="BE875" s="104"/>
      <c r="BF875" s="104"/>
      <c r="BG875" s="104"/>
      <c r="BH875" s="104"/>
      <c r="BI875" s="104"/>
      <c r="BJ875" s="104"/>
      <c r="BK875" s="12"/>
      <c r="BL875" s="12"/>
    </row>
    <row r="876" spans="1:64" hidden="1" outlineLevel="1">
      <c r="A876" s="9"/>
      <c r="B876" s="9"/>
      <c r="C876" s="44"/>
      <c r="D876" s="271">
        <f>Asset19</f>
        <v>0</v>
      </c>
      <c r="E876" s="9"/>
      <c r="F876" s="9"/>
      <c r="G876" s="207">
        <f>'Adjustment for previous period'!G610</f>
        <v>0</v>
      </c>
      <c r="H876" s="35"/>
      <c r="I876" s="35"/>
      <c r="J876" s="35"/>
      <c r="K876" s="35"/>
      <c r="L876" s="35"/>
      <c r="M876" s="35"/>
      <c r="N876" s="29"/>
      <c r="O876" s="29"/>
      <c r="P876" s="29"/>
      <c r="Q876" s="29"/>
      <c r="R876" s="29"/>
      <c r="S876" s="104"/>
      <c r="T876" s="104"/>
      <c r="U876" s="104"/>
      <c r="V876" s="104"/>
      <c r="W876" s="104"/>
      <c r="X876" s="104"/>
      <c r="Y876" s="104"/>
      <c r="Z876" s="104"/>
      <c r="AA876" s="231"/>
      <c r="AB876" s="231"/>
      <c r="AC876" s="231"/>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104"/>
      <c r="BE876" s="104"/>
      <c r="BF876" s="104"/>
      <c r="BG876" s="104"/>
      <c r="BH876" s="104"/>
      <c r="BI876" s="104"/>
      <c r="BJ876" s="104"/>
      <c r="BK876" s="12"/>
      <c r="BL876" s="12"/>
    </row>
    <row r="877" spans="1:64" hidden="1" outlineLevel="1">
      <c r="A877" s="9"/>
      <c r="B877" s="9"/>
      <c r="C877" s="44"/>
      <c r="D877" s="271">
        <f>Asset20</f>
        <v>0</v>
      </c>
      <c r="E877" s="9"/>
      <c r="F877" s="9"/>
      <c r="G877" s="207">
        <f>'Adjustment for previous period'!G611</f>
        <v>0</v>
      </c>
      <c r="H877" s="35"/>
      <c r="I877" s="35"/>
      <c r="J877" s="35"/>
      <c r="K877" s="35"/>
      <c r="L877" s="35"/>
      <c r="M877" s="35"/>
      <c r="N877" s="29"/>
      <c r="O877" s="29"/>
      <c r="P877" s="29"/>
      <c r="Q877" s="29"/>
      <c r="R877" s="29"/>
      <c r="S877" s="104"/>
      <c r="T877" s="104"/>
      <c r="U877" s="104"/>
      <c r="V877" s="104"/>
      <c r="W877" s="104"/>
      <c r="X877" s="104"/>
      <c r="Y877" s="104"/>
      <c r="Z877" s="104"/>
      <c r="AA877" s="231"/>
      <c r="AB877" s="231"/>
      <c r="AC877" s="231"/>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104"/>
      <c r="BE877" s="104"/>
      <c r="BF877" s="104"/>
      <c r="BG877" s="104"/>
      <c r="BH877" s="104"/>
      <c r="BI877" s="104"/>
      <c r="BJ877" s="104"/>
      <c r="BK877" s="12"/>
      <c r="BL877" s="12"/>
    </row>
    <row r="878" spans="1:64" hidden="1" outlineLevel="1">
      <c r="A878" s="9"/>
      <c r="B878" s="9"/>
      <c r="C878" s="44"/>
      <c r="D878" s="337">
        <f>Asset21</f>
        <v>0</v>
      </c>
      <c r="E878" s="9"/>
      <c r="F878" s="9"/>
      <c r="G878" s="207">
        <f>'Adjustment for previous period'!G612</f>
        <v>0</v>
      </c>
      <c r="H878" s="35"/>
      <c r="I878" s="35"/>
      <c r="J878" s="35"/>
      <c r="K878" s="35"/>
      <c r="L878" s="35"/>
      <c r="M878" s="35"/>
      <c r="N878" s="29"/>
      <c r="O878" s="29"/>
      <c r="P878" s="29"/>
      <c r="Q878" s="29"/>
      <c r="R878" s="29"/>
      <c r="S878" s="104"/>
      <c r="T878" s="104"/>
      <c r="U878" s="104"/>
      <c r="V878" s="104"/>
      <c r="W878" s="104"/>
      <c r="X878" s="104"/>
      <c r="Y878" s="104"/>
      <c r="Z878" s="104"/>
      <c r="AA878" s="231"/>
      <c r="AB878" s="231"/>
      <c r="AC878" s="231"/>
      <c r="AD878" s="231"/>
      <c r="AE878" s="231"/>
      <c r="AF878" s="231"/>
      <c r="AG878" s="231"/>
      <c r="AH878" s="231"/>
      <c r="AI878" s="231"/>
      <c r="AJ878" s="231"/>
      <c r="AK878" s="231"/>
      <c r="AL878" s="231"/>
      <c r="AM878" s="231"/>
      <c r="AN878" s="231"/>
      <c r="AO878" s="231"/>
      <c r="AP878" s="231"/>
      <c r="AQ878" s="231"/>
      <c r="AR878" s="231"/>
      <c r="AS878" s="231"/>
      <c r="AT878" s="231"/>
      <c r="AU878" s="231"/>
      <c r="AV878" s="231"/>
      <c r="AW878" s="231"/>
      <c r="AX878" s="231"/>
      <c r="AY878" s="231"/>
      <c r="AZ878" s="231"/>
      <c r="BA878" s="231"/>
      <c r="BB878" s="231"/>
      <c r="BC878" s="231"/>
      <c r="BD878" s="104"/>
      <c r="BE878" s="104"/>
      <c r="BF878" s="104"/>
      <c r="BG878" s="104"/>
      <c r="BH878" s="104"/>
      <c r="BI878" s="104"/>
      <c r="BJ878" s="104"/>
      <c r="BK878" s="12"/>
      <c r="BL878" s="12"/>
    </row>
    <row r="879" spans="1:64" hidden="1" outlineLevel="1">
      <c r="A879" s="9"/>
      <c r="B879" s="9"/>
      <c r="C879" s="44"/>
      <c r="D879" s="337">
        <f>Asset22</f>
        <v>0</v>
      </c>
      <c r="E879" s="9"/>
      <c r="F879" s="9"/>
      <c r="G879" s="207">
        <f>'Adjustment for previous period'!G613</f>
        <v>0</v>
      </c>
      <c r="H879" s="35"/>
      <c r="I879" s="35"/>
      <c r="J879" s="35"/>
      <c r="K879" s="35"/>
      <c r="L879" s="35"/>
      <c r="M879" s="35"/>
      <c r="N879" s="29"/>
      <c r="O879" s="29"/>
      <c r="P879" s="29"/>
      <c r="Q879" s="29"/>
      <c r="R879" s="29"/>
      <c r="S879" s="104"/>
      <c r="T879" s="104"/>
      <c r="U879" s="104"/>
      <c r="V879" s="104"/>
      <c r="W879" s="104"/>
      <c r="X879" s="104"/>
      <c r="Y879" s="104"/>
      <c r="Z879" s="104"/>
      <c r="AA879" s="231"/>
      <c r="AB879" s="231"/>
      <c r="AC879" s="231"/>
      <c r="AD879" s="231"/>
      <c r="AE879" s="231"/>
      <c r="AF879" s="231"/>
      <c r="AG879" s="231"/>
      <c r="AH879" s="231"/>
      <c r="AI879" s="231"/>
      <c r="AJ879" s="231"/>
      <c r="AK879" s="231"/>
      <c r="AL879" s="231"/>
      <c r="AM879" s="231"/>
      <c r="AN879" s="231"/>
      <c r="AO879" s="231"/>
      <c r="AP879" s="231"/>
      <c r="AQ879" s="231"/>
      <c r="AR879" s="231"/>
      <c r="AS879" s="231"/>
      <c r="AT879" s="231"/>
      <c r="AU879" s="231"/>
      <c r="AV879" s="231"/>
      <c r="AW879" s="231"/>
      <c r="AX879" s="231"/>
      <c r="AY879" s="231"/>
      <c r="AZ879" s="231"/>
      <c r="BA879" s="231"/>
      <c r="BB879" s="231"/>
      <c r="BC879" s="231"/>
      <c r="BD879" s="104"/>
      <c r="BE879" s="104"/>
      <c r="BF879" s="104"/>
      <c r="BG879" s="104"/>
      <c r="BH879" s="104"/>
      <c r="BI879" s="104"/>
      <c r="BJ879" s="104"/>
      <c r="BK879" s="12"/>
      <c r="BL879" s="12"/>
    </row>
    <row r="880" spans="1:64" hidden="1" outlineLevel="1">
      <c r="A880" s="9"/>
      <c r="B880" s="9"/>
      <c r="C880" s="44"/>
      <c r="D880" s="337">
        <f>Asset23</f>
        <v>0</v>
      </c>
      <c r="E880" s="9"/>
      <c r="F880" s="9"/>
      <c r="G880" s="207">
        <f>'Adjustment for previous period'!G614</f>
        <v>0</v>
      </c>
      <c r="H880" s="35"/>
      <c r="I880" s="35"/>
      <c r="J880" s="35"/>
      <c r="K880" s="35"/>
      <c r="L880" s="35"/>
      <c r="M880" s="35"/>
      <c r="N880" s="29"/>
      <c r="O880" s="29"/>
      <c r="P880" s="29"/>
      <c r="Q880" s="29"/>
      <c r="R880" s="29"/>
      <c r="S880" s="104"/>
      <c r="T880" s="104"/>
      <c r="U880" s="104"/>
      <c r="V880" s="104"/>
      <c r="W880" s="104"/>
      <c r="X880" s="104"/>
      <c r="Y880" s="104"/>
      <c r="Z880" s="104"/>
      <c r="AA880" s="231"/>
      <c r="AB880" s="231"/>
      <c r="AC880" s="231"/>
      <c r="AD880" s="231"/>
      <c r="AE880" s="231"/>
      <c r="AF880" s="231"/>
      <c r="AG880" s="231"/>
      <c r="AH880" s="231"/>
      <c r="AI880" s="231"/>
      <c r="AJ880" s="231"/>
      <c r="AK880" s="231"/>
      <c r="AL880" s="231"/>
      <c r="AM880" s="231"/>
      <c r="AN880" s="231"/>
      <c r="AO880" s="231"/>
      <c r="AP880" s="231"/>
      <c r="AQ880" s="231"/>
      <c r="AR880" s="231"/>
      <c r="AS880" s="231"/>
      <c r="AT880" s="231"/>
      <c r="AU880" s="231"/>
      <c r="AV880" s="231"/>
      <c r="AW880" s="231"/>
      <c r="AX880" s="231"/>
      <c r="AY880" s="231"/>
      <c r="AZ880" s="231"/>
      <c r="BA880" s="231"/>
      <c r="BB880" s="231"/>
      <c r="BC880" s="231"/>
      <c r="BD880" s="104"/>
      <c r="BE880" s="104"/>
      <c r="BF880" s="104"/>
      <c r="BG880" s="104"/>
      <c r="BH880" s="104"/>
      <c r="BI880" s="104"/>
      <c r="BJ880" s="104"/>
      <c r="BK880" s="12"/>
      <c r="BL880" s="12"/>
    </row>
    <row r="881" spans="1:64" hidden="1" outlineLevel="1">
      <c r="A881" s="9"/>
      <c r="B881" s="9"/>
      <c r="C881" s="44"/>
      <c r="D881" s="337">
        <f>Asset24</f>
        <v>0</v>
      </c>
      <c r="E881" s="9"/>
      <c r="F881" s="9"/>
      <c r="G881" s="207">
        <f>'Adjustment for previous period'!G615</f>
        <v>0</v>
      </c>
      <c r="H881" s="35"/>
      <c r="I881" s="35"/>
      <c r="J881" s="35"/>
      <c r="K881" s="35"/>
      <c r="L881" s="35"/>
      <c r="M881" s="35"/>
      <c r="N881" s="29"/>
      <c r="O881" s="29"/>
      <c r="P881" s="29"/>
      <c r="Q881" s="29"/>
      <c r="R881" s="29"/>
      <c r="S881" s="104"/>
      <c r="T881" s="104"/>
      <c r="U881" s="104"/>
      <c r="V881" s="104"/>
      <c r="W881" s="104"/>
      <c r="X881" s="104"/>
      <c r="Y881" s="104"/>
      <c r="Z881" s="104"/>
      <c r="AA881" s="231"/>
      <c r="AB881" s="231"/>
      <c r="AC881" s="231"/>
      <c r="AD881" s="231"/>
      <c r="AE881" s="231"/>
      <c r="AF881" s="231"/>
      <c r="AG881" s="231"/>
      <c r="AH881" s="231"/>
      <c r="AI881" s="231"/>
      <c r="AJ881" s="231"/>
      <c r="AK881" s="231"/>
      <c r="AL881" s="231"/>
      <c r="AM881" s="231"/>
      <c r="AN881" s="231"/>
      <c r="AO881" s="231"/>
      <c r="AP881" s="231"/>
      <c r="AQ881" s="231"/>
      <c r="AR881" s="231"/>
      <c r="AS881" s="231"/>
      <c r="AT881" s="231"/>
      <c r="AU881" s="231"/>
      <c r="AV881" s="231"/>
      <c r="AW881" s="231"/>
      <c r="AX881" s="231"/>
      <c r="AY881" s="231"/>
      <c r="AZ881" s="231"/>
      <c r="BA881" s="231"/>
      <c r="BB881" s="231"/>
      <c r="BC881" s="231"/>
      <c r="BD881" s="104"/>
      <c r="BE881" s="104"/>
      <c r="BF881" s="104"/>
      <c r="BG881" s="104"/>
      <c r="BH881" s="104"/>
      <c r="BI881" s="104"/>
      <c r="BJ881" s="104"/>
      <c r="BK881" s="12"/>
      <c r="BL881" s="12"/>
    </row>
    <row r="882" spans="1:64" hidden="1" outlineLevel="1">
      <c r="A882" s="9"/>
      <c r="B882" s="9"/>
      <c r="C882" s="44"/>
      <c r="D882" s="337">
        <f>Asset25</f>
        <v>0</v>
      </c>
      <c r="E882" s="9"/>
      <c r="F882" s="9"/>
      <c r="G882" s="207">
        <f>'Adjustment for previous period'!G616</f>
        <v>0</v>
      </c>
      <c r="H882" s="35"/>
      <c r="I882" s="35"/>
      <c r="J882" s="35"/>
      <c r="K882" s="35"/>
      <c r="L882" s="35"/>
      <c r="M882" s="35"/>
      <c r="N882" s="29"/>
      <c r="O882" s="29"/>
      <c r="P882" s="29"/>
      <c r="Q882" s="29"/>
      <c r="R882" s="29"/>
      <c r="S882" s="104"/>
      <c r="T882" s="104"/>
      <c r="U882" s="104"/>
      <c r="V882" s="104"/>
      <c r="W882" s="104"/>
      <c r="X882" s="104"/>
      <c r="Y882" s="104"/>
      <c r="Z882" s="104"/>
      <c r="AA882" s="231"/>
      <c r="AB882" s="231"/>
      <c r="AC882" s="231"/>
      <c r="AD882" s="231"/>
      <c r="AE882" s="231"/>
      <c r="AF882" s="231"/>
      <c r="AG882" s="231"/>
      <c r="AH882" s="231"/>
      <c r="AI882" s="231"/>
      <c r="AJ882" s="231"/>
      <c r="AK882" s="231"/>
      <c r="AL882" s="231"/>
      <c r="AM882" s="231"/>
      <c r="AN882" s="231"/>
      <c r="AO882" s="231"/>
      <c r="AP882" s="231"/>
      <c r="AQ882" s="231"/>
      <c r="AR882" s="231"/>
      <c r="AS882" s="231"/>
      <c r="AT882" s="231"/>
      <c r="AU882" s="231"/>
      <c r="AV882" s="231"/>
      <c r="AW882" s="231"/>
      <c r="AX882" s="231"/>
      <c r="AY882" s="231"/>
      <c r="AZ882" s="231"/>
      <c r="BA882" s="231"/>
      <c r="BB882" s="231"/>
      <c r="BC882" s="231"/>
      <c r="BD882" s="104"/>
      <c r="BE882" s="104"/>
      <c r="BF882" s="104"/>
      <c r="BG882" s="104"/>
      <c r="BH882" s="104"/>
      <c r="BI882" s="104"/>
      <c r="BJ882" s="104"/>
      <c r="BK882" s="12"/>
      <c r="BL882" s="12"/>
    </row>
    <row r="883" spans="1:64" hidden="1" outlineLevel="1">
      <c r="A883" s="9"/>
      <c r="B883" s="9"/>
      <c r="C883" s="44"/>
      <c r="D883" s="337">
        <f>Asset26</f>
        <v>0</v>
      </c>
      <c r="E883" s="9"/>
      <c r="F883" s="9"/>
      <c r="G883" s="207">
        <f>'Adjustment for previous period'!G617</f>
        <v>0</v>
      </c>
      <c r="H883" s="35"/>
      <c r="I883" s="35"/>
      <c r="J883" s="35"/>
      <c r="K883" s="35"/>
      <c r="L883" s="35"/>
      <c r="M883" s="35"/>
      <c r="N883" s="29"/>
      <c r="O883" s="29"/>
      <c r="P883" s="29"/>
      <c r="Q883" s="29"/>
      <c r="R883" s="29"/>
      <c r="S883" s="104"/>
      <c r="T883" s="104"/>
      <c r="U883" s="104"/>
      <c r="V883" s="104"/>
      <c r="W883" s="104"/>
      <c r="X883" s="104"/>
      <c r="Y883" s="104"/>
      <c r="Z883" s="104"/>
      <c r="AA883" s="231"/>
      <c r="AB883" s="231"/>
      <c r="AC883" s="231"/>
      <c r="AD883" s="231"/>
      <c r="AE883" s="231"/>
      <c r="AF883" s="231"/>
      <c r="AG883" s="231"/>
      <c r="AH883" s="231"/>
      <c r="AI883" s="231"/>
      <c r="AJ883" s="231"/>
      <c r="AK883" s="231"/>
      <c r="AL883" s="231"/>
      <c r="AM883" s="231"/>
      <c r="AN883" s="231"/>
      <c r="AO883" s="231"/>
      <c r="AP883" s="231"/>
      <c r="AQ883" s="231"/>
      <c r="AR883" s="231"/>
      <c r="AS883" s="231"/>
      <c r="AT883" s="231"/>
      <c r="AU883" s="231"/>
      <c r="AV883" s="231"/>
      <c r="AW883" s="231"/>
      <c r="AX883" s="231"/>
      <c r="AY883" s="231"/>
      <c r="AZ883" s="231"/>
      <c r="BA883" s="231"/>
      <c r="BB883" s="231"/>
      <c r="BC883" s="231"/>
      <c r="BD883" s="104"/>
      <c r="BE883" s="104"/>
      <c r="BF883" s="104"/>
      <c r="BG883" s="104"/>
      <c r="BH883" s="104"/>
      <c r="BI883" s="104"/>
      <c r="BJ883" s="104"/>
      <c r="BK883" s="12"/>
      <c r="BL883" s="12"/>
    </row>
    <row r="884" spans="1:64" hidden="1" outlineLevel="1">
      <c r="A884" s="9"/>
      <c r="B884" s="9"/>
      <c r="C884" s="44"/>
      <c r="D884" s="337">
        <f>Asset27</f>
        <v>0</v>
      </c>
      <c r="E884" s="9"/>
      <c r="F884" s="9"/>
      <c r="G884" s="207">
        <f>'Adjustment for previous period'!G618</f>
        <v>0</v>
      </c>
      <c r="H884" s="35"/>
      <c r="I884" s="35"/>
      <c r="J884" s="35"/>
      <c r="K884" s="35"/>
      <c r="L884" s="35"/>
      <c r="M884" s="35"/>
      <c r="N884" s="29"/>
      <c r="O884" s="29"/>
      <c r="P884" s="29"/>
      <c r="Q884" s="29"/>
      <c r="R884" s="29"/>
      <c r="S884" s="104"/>
      <c r="T884" s="104"/>
      <c r="U884" s="104"/>
      <c r="V884" s="104"/>
      <c r="W884" s="104"/>
      <c r="X884" s="104"/>
      <c r="Y884" s="104"/>
      <c r="Z884" s="104"/>
      <c r="AA884" s="231"/>
      <c r="AB884" s="231"/>
      <c r="AC884" s="231"/>
      <c r="AD884" s="231"/>
      <c r="AE884" s="231"/>
      <c r="AF884" s="231"/>
      <c r="AG884" s="231"/>
      <c r="AH884" s="231"/>
      <c r="AI884" s="231"/>
      <c r="AJ884" s="231"/>
      <c r="AK884" s="231"/>
      <c r="AL884" s="231"/>
      <c r="AM884" s="231"/>
      <c r="AN884" s="231"/>
      <c r="AO884" s="231"/>
      <c r="AP884" s="231"/>
      <c r="AQ884" s="231"/>
      <c r="AR884" s="231"/>
      <c r="AS884" s="231"/>
      <c r="AT884" s="231"/>
      <c r="AU884" s="231"/>
      <c r="AV884" s="231"/>
      <c r="AW884" s="231"/>
      <c r="AX884" s="231"/>
      <c r="AY884" s="231"/>
      <c r="AZ884" s="231"/>
      <c r="BA884" s="231"/>
      <c r="BB884" s="231"/>
      <c r="BC884" s="231"/>
      <c r="BD884" s="104"/>
      <c r="BE884" s="104"/>
      <c r="BF884" s="104"/>
      <c r="BG884" s="104"/>
      <c r="BH884" s="104"/>
      <c r="BI884" s="104"/>
      <c r="BJ884" s="104"/>
      <c r="BK884" s="12"/>
      <c r="BL884" s="12"/>
    </row>
    <row r="885" spans="1:64" hidden="1" outlineLevel="1">
      <c r="A885" s="9"/>
      <c r="B885" s="9"/>
      <c r="C885" s="44"/>
      <c r="D885" s="337">
        <f>Asset28</f>
        <v>0</v>
      </c>
      <c r="E885" s="9"/>
      <c r="F885" s="9"/>
      <c r="G885" s="207">
        <f>'Adjustment for previous period'!G619</f>
        <v>0</v>
      </c>
      <c r="H885" s="35"/>
      <c r="I885" s="35"/>
      <c r="J885" s="35"/>
      <c r="K885" s="35"/>
      <c r="L885" s="35"/>
      <c r="M885" s="35"/>
      <c r="N885" s="29"/>
      <c r="O885" s="29"/>
      <c r="P885" s="29"/>
      <c r="Q885" s="29"/>
      <c r="R885" s="29"/>
      <c r="S885" s="104"/>
      <c r="T885" s="104"/>
      <c r="U885" s="104"/>
      <c r="V885" s="104"/>
      <c r="W885" s="104"/>
      <c r="X885" s="104"/>
      <c r="Y885" s="104"/>
      <c r="Z885" s="104"/>
      <c r="AA885" s="231"/>
      <c r="AB885" s="231"/>
      <c r="AC885" s="231"/>
      <c r="AD885" s="231"/>
      <c r="AE885" s="231"/>
      <c r="AF885" s="231"/>
      <c r="AG885" s="231"/>
      <c r="AH885" s="231"/>
      <c r="AI885" s="231"/>
      <c r="AJ885" s="231"/>
      <c r="AK885" s="231"/>
      <c r="AL885" s="231"/>
      <c r="AM885" s="231"/>
      <c r="AN885" s="231"/>
      <c r="AO885" s="231"/>
      <c r="AP885" s="231"/>
      <c r="AQ885" s="231"/>
      <c r="AR885" s="231"/>
      <c r="AS885" s="231"/>
      <c r="AT885" s="231"/>
      <c r="AU885" s="231"/>
      <c r="AV885" s="231"/>
      <c r="AW885" s="231"/>
      <c r="AX885" s="231"/>
      <c r="AY885" s="231"/>
      <c r="AZ885" s="231"/>
      <c r="BA885" s="231"/>
      <c r="BB885" s="231"/>
      <c r="BC885" s="231"/>
      <c r="BD885" s="104"/>
      <c r="BE885" s="104"/>
      <c r="BF885" s="104"/>
      <c r="BG885" s="104"/>
      <c r="BH885" s="104"/>
      <c r="BI885" s="104"/>
      <c r="BJ885" s="104"/>
      <c r="BK885" s="12"/>
      <c r="BL885" s="12"/>
    </row>
    <row r="886" spans="1:64" hidden="1" outlineLevel="1">
      <c r="A886" s="9"/>
      <c r="B886" s="9"/>
      <c r="C886" s="44"/>
      <c r="D886" s="337">
        <f>Asset29</f>
        <v>0</v>
      </c>
      <c r="E886" s="9"/>
      <c r="F886" s="9"/>
      <c r="G886" s="207">
        <f>'Adjustment for previous period'!G620</f>
        <v>0</v>
      </c>
      <c r="H886" s="35"/>
      <c r="I886" s="35"/>
      <c r="J886" s="35"/>
      <c r="K886" s="35"/>
      <c r="L886" s="35"/>
      <c r="M886" s="35"/>
      <c r="N886" s="29"/>
      <c r="O886" s="29"/>
      <c r="P886" s="29"/>
      <c r="Q886" s="29"/>
      <c r="R886" s="29"/>
      <c r="S886" s="104"/>
      <c r="T886" s="104"/>
      <c r="U886" s="104"/>
      <c r="V886" s="104"/>
      <c r="W886" s="104"/>
      <c r="X886" s="104"/>
      <c r="Y886" s="104"/>
      <c r="Z886" s="104"/>
      <c r="AA886" s="231"/>
      <c r="AB886" s="231"/>
      <c r="AC886" s="231"/>
      <c r="AD886" s="231"/>
      <c r="AE886" s="231"/>
      <c r="AF886" s="231"/>
      <c r="AG886" s="231"/>
      <c r="AH886" s="231"/>
      <c r="AI886" s="231"/>
      <c r="AJ886" s="231"/>
      <c r="AK886" s="231"/>
      <c r="AL886" s="231"/>
      <c r="AM886" s="231"/>
      <c r="AN886" s="231"/>
      <c r="AO886" s="231"/>
      <c r="AP886" s="231"/>
      <c r="AQ886" s="231"/>
      <c r="AR886" s="231"/>
      <c r="AS886" s="231"/>
      <c r="AT886" s="231"/>
      <c r="AU886" s="231"/>
      <c r="AV886" s="231"/>
      <c r="AW886" s="231"/>
      <c r="AX886" s="231"/>
      <c r="AY886" s="231"/>
      <c r="AZ886" s="231"/>
      <c r="BA886" s="231"/>
      <c r="BB886" s="231"/>
      <c r="BC886" s="231"/>
      <c r="BD886" s="104"/>
      <c r="BE886" s="104"/>
      <c r="BF886" s="104"/>
      <c r="BG886" s="104"/>
      <c r="BH886" s="104"/>
      <c r="BI886" s="104"/>
      <c r="BJ886" s="104"/>
      <c r="BK886" s="12"/>
      <c r="BL886" s="12"/>
    </row>
    <row r="887" spans="1:64" hidden="1" outlineLevel="1">
      <c r="A887" s="9"/>
      <c r="B887" s="9"/>
      <c r="C887" s="44"/>
      <c r="D887" s="337">
        <f>Asset30</f>
        <v>0</v>
      </c>
      <c r="E887" s="9"/>
      <c r="F887" s="9"/>
      <c r="G887" s="207">
        <f>'Adjustment for previous period'!G621</f>
        <v>0</v>
      </c>
      <c r="H887" s="35"/>
      <c r="I887" s="35"/>
      <c r="J887" s="35"/>
      <c r="K887" s="35"/>
      <c r="L887" s="35"/>
      <c r="M887" s="35"/>
      <c r="N887" s="29"/>
      <c r="O887" s="29"/>
      <c r="P887" s="29"/>
      <c r="Q887" s="29"/>
      <c r="R887" s="29"/>
      <c r="S887" s="104"/>
      <c r="T887" s="104"/>
      <c r="U887" s="104"/>
      <c r="V887" s="104"/>
      <c r="W887" s="104"/>
      <c r="X887" s="104"/>
      <c r="Y887" s="104"/>
      <c r="Z887" s="104"/>
      <c r="AA887" s="231"/>
      <c r="AB887" s="231"/>
      <c r="AC887" s="231"/>
      <c r="AD887" s="231"/>
      <c r="AE887" s="231"/>
      <c r="AF887" s="231"/>
      <c r="AG887" s="231"/>
      <c r="AH887" s="231"/>
      <c r="AI887" s="231"/>
      <c r="AJ887" s="231"/>
      <c r="AK887" s="231"/>
      <c r="AL887" s="231"/>
      <c r="AM887" s="231"/>
      <c r="AN887" s="231"/>
      <c r="AO887" s="231"/>
      <c r="AP887" s="231"/>
      <c r="AQ887" s="231"/>
      <c r="AR887" s="231"/>
      <c r="AS887" s="231"/>
      <c r="AT887" s="231"/>
      <c r="AU887" s="231"/>
      <c r="AV887" s="231"/>
      <c r="AW887" s="231"/>
      <c r="AX887" s="231"/>
      <c r="AY887" s="231"/>
      <c r="AZ887" s="231"/>
      <c r="BA887" s="231"/>
      <c r="BB887" s="231"/>
      <c r="BC887" s="231"/>
      <c r="BD887" s="104"/>
      <c r="BE887" s="104"/>
      <c r="BF887" s="104"/>
      <c r="BG887" s="104"/>
      <c r="BH887" s="104"/>
      <c r="BI887" s="104"/>
      <c r="BJ887" s="104"/>
      <c r="BK887" s="12"/>
      <c r="BL887" s="12"/>
    </row>
    <row r="888" spans="1:64" collapsed="1">
      <c r="A888" s="9"/>
      <c r="B888" s="9"/>
      <c r="C888" s="44"/>
      <c r="D888" s="117"/>
      <c r="E888" s="9"/>
      <c r="F888" s="9"/>
      <c r="G888" s="282"/>
      <c r="H888" s="35"/>
      <c r="I888" s="35"/>
      <c r="J888" s="35"/>
      <c r="K888" s="35"/>
      <c r="L888" s="35"/>
      <c r="M888" s="35"/>
      <c r="N888" s="29"/>
      <c r="O888" s="29"/>
      <c r="P888" s="29"/>
      <c r="Q888" s="29"/>
      <c r="R888" s="29"/>
      <c r="S888" s="104"/>
      <c r="T888" s="104"/>
      <c r="U888" s="104"/>
      <c r="V888" s="104"/>
      <c r="W888" s="104"/>
      <c r="X888" s="104"/>
      <c r="Y888" s="104"/>
      <c r="Z888" s="104"/>
      <c r="AA888" s="231"/>
      <c r="AB888" s="231"/>
      <c r="AC888" s="231"/>
      <c r="AD888" s="231"/>
      <c r="AE888" s="231"/>
      <c r="AF888" s="231"/>
      <c r="AG888" s="231"/>
      <c r="AH888" s="231"/>
      <c r="AI888" s="231"/>
      <c r="AJ888" s="231"/>
      <c r="AK888" s="231"/>
      <c r="AL888" s="231"/>
      <c r="AM888" s="231"/>
      <c r="AN888" s="231"/>
      <c r="AO888" s="231"/>
      <c r="AP888" s="231"/>
      <c r="AQ888" s="231"/>
      <c r="AR888" s="231"/>
      <c r="AS888" s="231"/>
      <c r="AT888" s="231"/>
      <c r="AU888" s="231"/>
      <c r="AV888" s="231"/>
      <c r="AW888" s="231"/>
      <c r="AX888" s="231"/>
      <c r="AY888" s="231"/>
      <c r="AZ888" s="231"/>
      <c r="BA888" s="231"/>
      <c r="BB888" s="231"/>
      <c r="BC888" s="231"/>
      <c r="BD888" s="104"/>
      <c r="BE888" s="104"/>
      <c r="BF888" s="104"/>
      <c r="BG888" s="104"/>
      <c r="BH888" s="104"/>
      <c r="BI888" s="104"/>
      <c r="BJ888" s="104"/>
      <c r="BK888" s="12"/>
      <c r="BL888" s="12"/>
    </row>
    <row r="889" spans="1:64">
      <c r="A889" s="9"/>
      <c r="B889" s="9"/>
      <c r="C889" s="44" t="s">
        <v>38</v>
      </c>
      <c r="D889" s="117"/>
      <c r="E889" s="9"/>
      <c r="F889" s="9"/>
      <c r="G889" s="313">
        <f>SUM(G890:G919)</f>
        <v>15.015729169743596</v>
      </c>
      <c r="H889" s="35"/>
      <c r="I889" s="35"/>
      <c r="J889" s="35"/>
      <c r="K889" s="35"/>
      <c r="L889" s="35"/>
      <c r="M889" s="35"/>
      <c r="N889" s="29"/>
      <c r="O889" s="29"/>
      <c r="P889" s="29"/>
      <c r="Q889" s="29"/>
      <c r="R889" s="29"/>
      <c r="S889" s="104"/>
      <c r="T889" s="104"/>
      <c r="U889" s="104"/>
      <c r="V889" s="104"/>
      <c r="W889" s="104"/>
      <c r="X889" s="104"/>
      <c r="Y889" s="104"/>
      <c r="Z889" s="104"/>
      <c r="AA889" s="231"/>
      <c r="AB889" s="231"/>
      <c r="AC889" s="231"/>
      <c r="AD889" s="231"/>
      <c r="AE889" s="231"/>
      <c r="AF889" s="231"/>
      <c r="AG889" s="231"/>
      <c r="AH889" s="231"/>
      <c r="AI889" s="231"/>
      <c r="AJ889" s="231"/>
      <c r="AK889" s="231"/>
      <c r="AL889" s="231"/>
      <c r="AM889" s="231"/>
      <c r="AN889" s="231"/>
      <c r="AO889" s="231"/>
      <c r="AP889" s="231"/>
      <c r="AQ889" s="231"/>
      <c r="AR889" s="231"/>
      <c r="AS889" s="231"/>
      <c r="AT889" s="231"/>
      <c r="AU889" s="231"/>
      <c r="AV889" s="231"/>
      <c r="AW889" s="231"/>
      <c r="AX889" s="231"/>
      <c r="AY889" s="231"/>
      <c r="AZ889" s="231"/>
      <c r="BA889" s="231"/>
      <c r="BB889" s="231"/>
      <c r="BC889" s="231"/>
      <c r="BD889" s="104"/>
      <c r="BE889" s="104"/>
      <c r="BF889" s="104"/>
      <c r="BG889" s="104"/>
      <c r="BH889" s="104"/>
      <c r="BI889" s="104"/>
      <c r="BJ889" s="104"/>
      <c r="BK889" s="12"/>
      <c r="BL889" s="12"/>
    </row>
    <row r="890" spans="1:64" hidden="1" outlineLevel="1">
      <c r="A890" s="9"/>
      <c r="B890" s="9"/>
      <c r="C890" s="9"/>
      <c r="D890" s="271" t="str">
        <f>Asset1</f>
        <v>Subtransmission</v>
      </c>
      <c r="E890" s="9"/>
      <c r="F890" s="9"/>
      <c r="G890" s="207">
        <f>'Adjustment for previous period'!G624</f>
        <v>-13.672105942844249</v>
      </c>
      <c r="H890" s="35"/>
      <c r="I890" s="35"/>
      <c r="J890" s="35"/>
      <c r="K890" s="35"/>
      <c r="L890" s="35"/>
      <c r="M890" s="35"/>
      <c r="N890" s="29"/>
      <c r="O890" s="29"/>
      <c r="P890" s="29"/>
      <c r="Q890" s="29"/>
      <c r="R890" s="29"/>
      <c r="S890" s="104"/>
      <c r="T890" s="104"/>
      <c r="U890" s="104"/>
      <c r="V890" s="104"/>
      <c r="W890" s="104"/>
      <c r="X890" s="104"/>
      <c r="Y890" s="104"/>
      <c r="Z890" s="104"/>
      <c r="AA890" s="231"/>
      <c r="AB890" s="231"/>
      <c r="AC890" s="231"/>
      <c r="AD890" s="231"/>
      <c r="AE890" s="231"/>
      <c r="AF890" s="231"/>
      <c r="AG890" s="231"/>
      <c r="AH890" s="231"/>
      <c r="AI890" s="231"/>
      <c r="AJ890" s="231"/>
      <c r="AK890" s="231"/>
      <c r="AL890" s="231"/>
      <c r="AM890" s="231"/>
      <c r="AN890" s="231"/>
      <c r="AO890" s="231"/>
      <c r="AP890" s="231"/>
      <c r="AQ890" s="231"/>
      <c r="AR890" s="231"/>
      <c r="AS890" s="231"/>
      <c r="AT890" s="231"/>
      <c r="AU890" s="231"/>
      <c r="AV890" s="231"/>
      <c r="AW890" s="231"/>
      <c r="AX890" s="231"/>
      <c r="AY890" s="231"/>
      <c r="AZ890" s="231"/>
      <c r="BA890" s="231"/>
      <c r="BB890" s="231"/>
      <c r="BC890" s="231"/>
      <c r="BD890" s="104"/>
      <c r="BE890" s="104"/>
      <c r="BF890" s="104"/>
      <c r="BG890" s="104"/>
      <c r="BH890" s="104"/>
      <c r="BI890" s="104"/>
      <c r="BJ890" s="104"/>
      <c r="BK890" s="12"/>
      <c r="BL890" s="12"/>
    </row>
    <row r="891" spans="1:64" hidden="1" outlineLevel="1">
      <c r="A891" s="9"/>
      <c r="B891" s="9"/>
      <c r="C891" s="44"/>
      <c r="D891" s="271" t="str">
        <f>Asset2</f>
        <v>Distribution system assets</v>
      </c>
      <c r="E891" s="9"/>
      <c r="F891" s="9"/>
      <c r="G891" s="207">
        <f>'Adjustment for previous period'!G625</f>
        <v>17.363918175697677</v>
      </c>
      <c r="H891" s="35"/>
      <c r="I891" s="35"/>
      <c r="J891" s="35"/>
      <c r="K891" s="35"/>
      <c r="L891" s="35"/>
      <c r="M891" s="35"/>
      <c r="N891" s="29"/>
      <c r="O891" s="29"/>
      <c r="P891" s="29"/>
      <c r="Q891" s="29"/>
      <c r="R891" s="29"/>
      <c r="S891" s="104"/>
      <c r="T891" s="104"/>
      <c r="U891" s="104"/>
      <c r="V891" s="104"/>
      <c r="W891" s="104"/>
      <c r="X891" s="104"/>
      <c r="Y891" s="104"/>
      <c r="Z891" s="104"/>
      <c r="AA891" s="231"/>
      <c r="AB891" s="231"/>
      <c r="AC891" s="231"/>
      <c r="AD891" s="231"/>
      <c r="AE891" s="231"/>
      <c r="AF891" s="231"/>
      <c r="AG891" s="231"/>
      <c r="AH891" s="231"/>
      <c r="AI891" s="231"/>
      <c r="AJ891" s="231"/>
      <c r="AK891" s="231"/>
      <c r="AL891" s="231"/>
      <c r="AM891" s="231"/>
      <c r="AN891" s="231"/>
      <c r="AO891" s="231"/>
      <c r="AP891" s="231"/>
      <c r="AQ891" s="231"/>
      <c r="AR891" s="231"/>
      <c r="AS891" s="231"/>
      <c r="AT891" s="231"/>
      <c r="AU891" s="231"/>
      <c r="AV891" s="231"/>
      <c r="AW891" s="231"/>
      <c r="AX891" s="231"/>
      <c r="AY891" s="231"/>
      <c r="AZ891" s="231"/>
      <c r="BA891" s="231"/>
      <c r="BB891" s="231"/>
      <c r="BC891" s="231"/>
      <c r="BD891" s="104"/>
      <c r="BE891" s="104"/>
      <c r="BF891" s="104"/>
      <c r="BG891" s="104"/>
      <c r="BH891" s="104"/>
      <c r="BI891" s="104"/>
      <c r="BJ891" s="104"/>
      <c r="BK891" s="12"/>
      <c r="BL891" s="12"/>
    </row>
    <row r="892" spans="1:64" hidden="1" outlineLevel="1">
      <c r="A892" s="9"/>
      <c r="B892" s="9"/>
      <c r="C892" s="44"/>
      <c r="D892" s="271" t="str">
        <f>Asset3</f>
        <v>Standard metering</v>
      </c>
      <c r="E892" s="9"/>
      <c r="F892" s="9"/>
      <c r="G892" s="207">
        <f>'Adjustment for previous period'!G626</f>
        <v>5.2553909454792151</v>
      </c>
      <c r="H892" s="35"/>
      <c r="I892" s="35"/>
      <c r="J892" s="35"/>
      <c r="K892" s="35"/>
      <c r="L892" s="35"/>
      <c r="M892" s="35"/>
      <c r="N892" s="29"/>
      <c r="O892" s="29"/>
      <c r="P892" s="29"/>
      <c r="Q892" s="29"/>
      <c r="R892" s="29"/>
      <c r="S892" s="104"/>
      <c r="T892" s="104"/>
      <c r="U892" s="104"/>
      <c r="V892" s="104"/>
      <c r="W892" s="104"/>
      <c r="X892" s="104"/>
      <c r="Y892" s="104"/>
      <c r="Z892" s="104"/>
      <c r="AA892" s="231"/>
      <c r="AB892" s="231"/>
      <c r="AC892" s="231"/>
      <c r="AD892" s="231"/>
      <c r="AE892" s="231"/>
      <c r="AF892" s="231"/>
      <c r="AG892" s="231"/>
      <c r="AH892" s="231"/>
      <c r="AI892" s="231"/>
      <c r="AJ892" s="231"/>
      <c r="AK892" s="231"/>
      <c r="AL892" s="231"/>
      <c r="AM892" s="231"/>
      <c r="AN892" s="231"/>
      <c r="AO892" s="231"/>
      <c r="AP892" s="231"/>
      <c r="AQ892" s="231"/>
      <c r="AR892" s="231"/>
      <c r="AS892" s="231"/>
      <c r="AT892" s="231"/>
      <c r="AU892" s="231"/>
      <c r="AV892" s="231"/>
      <c r="AW892" s="231"/>
      <c r="AX892" s="231"/>
      <c r="AY892" s="231"/>
      <c r="AZ892" s="231"/>
      <c r="BA892" s="231"/>
      <c r="BB892" s="231"/>
      <c r="BC892" s="231"/>
      <c r="BD892" s="104"/>
      <c r="BE892" s="104"/>
      <c r="BF892" s="104"/>
      <c r="BG892" s="104"/>
      <c r="BH892" s="104"/>
      <c r="BI892" s="104"/>
      <c r="BJ892" s="104"/>
      <c r="BK892" s="12"/>
      <c r="BL892" s="12"/>
    </row>
    <row r="893" spans="1:64" hidden="1" outlineLevel="1">
      <c r="A893" s="9"/>
      <c r="B893" s="9"/>
      <c r="C893" s="44"/>
      <c r="D893" s="271" t="str">
        <f>Asset4</f>
        <v>Public lighting</v>
      </c>
      <c r="E893" s="9"/>
      <c r="F893" s="9"/>
      <c r="G893" s="207">
        <f>'Adjustment for previous period'!G627</f>
        <v>0</v>
      </c>
      <c r="H893" s="35"/>
      <c r="I893" s="35"/>
      <c r="J893" s="35"/>
      <c r="K893" s="35"/>
      <c r="L893" s="35"/>
      <c r="M893" s="35"/>
      <c r="N893" s="29"/>
      <c r="O893" s="29"/>
      <c r="P893" s="29"/>
      <c r="Q893" s="29"/>
      <c r="R893" s="29"/>
      <c r="S893" s="104"/>
      <c r="T893" s="104"/>
      <c r="U893" s="104"/>
      <c r="V893" s="104"/>
      <c r="W893" s="104"/>
      <c r="X893" s="104"/>
      <c r="Y893" s="104"/>
      <c r="Z893" s="104"/>
      <c r="AA893" s="231"/>
      <c r="AB893" s="231"/>
      <c r="AC893" s="231"/>
      <c r="AD893" s="231"/>
      <c r="AE893" s="231"/>
      <c r="AF893" s="231"/>
      <c r="AG893" s="231"/>
      <c r="AH893" s="231"/>
      <c r="AI893" s="231"/>
      <c r="AJ893" s="231"/>
      <c r="AK893" s="231"/>
      <c r="AL893" s="231"/>
      <c r="AM893" s="231"/>
      <c r="AN893" s="231"/>
      <c r="AO893" s="231"/>
      <c r="AP893" s="231"/>
      <c r="AQ893" s="231"/>
      <c r="AR893" s="231"/>
      <c r="AS893" s="231"/>
      <c r="AT893" s="231"/>
      <c r="AU893" s="231"/>
      <c r="AV893" s="231"/>
      <c r="AW893" s="231"/>
      <c r="AX893" s="231"/>
      <c r="AY893" s="231"/>
      <c r="AZ893" s="231"/>
      <c r="BA893" s="231"/>
      <c r="BB893" s="231"/>
      <c r="BC893" s="231"/>
      <c r="BD893" s="104"/>
      <c r="BE893" s="104"/>
      <c r="BF893" s="104"/>
      <c r="BG893" s="104"/>
      <c r="BH893" s="104"/>
      <c r="BI893" s="104"/>
      <c r="BJ893" s="104"/>
      <c r="BK893" s="12"/>
      <c r="BL893" s="12"/>
    </row>
    <row r="894" spans="1:64" hidden="1" outlineLevel="1">
      <c r="A894" s="9"/>
      <c r="B894" s="9"/>
      <c r="C894" s="44"/>
      <c r="D894" s="271" t="str">
        <f>Asset5</f>
        <v>SCADA/Network control</v>
      </c>
      <c r="E894" s="9"/>
      <c r="F894" s="9"/>
      <c r="G894" s="207">
        <f>'Adjustment for previous period'!G628</f>
        <v>-0.42581112592047277</v>
      </c>
      <c r="H894" s="35"/>
      <c r="I894" s="35"/>
      <c r="J894" s="35"/>
      <c r="K894" s="35"/>
      <c r="L894" s="35"/>
      <c r="M894" s="35"/>
      <c r="N894" s="29"/>
      <c r="O894" s="29"/>
      <c r="P894" s="29"/>
      <c r="Q894" s="29"/>
      <c r="R894" s="29"/>
      <c r="S894" s="104"/>
      <c r="T894" s="104"/>
      <c r="U894" s="104"/>
      <c r="V894" s="104"/>
      <c r="W894" s="104"/>
      <c r="X894" s="104"/>
      <c r="Y894" s="104"/>
      <c r="Z894" s="104"/>
      <c r="AA894" s="231"/>
      <c r="AB894" s="231"/>
      <c r="AC894" s="231"/>
      <c r="AD894" s="231"/>
      <c r="AE894" s="231"/>
      <c r="AF894" s="231"/>
      <c r="AG894" s="231"/>
      <c r="AH894" s="231"/>
      <c r="AI894" s="231"/>
      <c r="AJ894" s="231"/>
      <c r="AK894" s="231"/>
      <c r="AL894" s="231"/>
      <c r="AM894" s="231"/>
      <c r="AN894" s="231"/>
      <c r="AO894" s="231"/>
      <c r="AP894" s="231"/>
      <c r="AQ894" s="231"/>
      <c r="AR894" s="231"/>
      <c r="AS894" s="231"/>
      <c r="AT894" s="231"/>
      <c r="AU894" s="231"/>
      <c r="AV894" s="231"/>
      <c r="AW894" s="231"/>
      <c r="AX894" s="231"/>
      <c r="AY894" s="231"/>
      <c r="AZ894" s="231"/>
      <c r="BA894" s="231"/>
      <c r="BB894" s="231"/>
      <c r="BC894" s="231"/>
      <c r="BD894" s="104"/>
      <c r="BE894" s="104"/>
      <c r="BF894" s="104"/>
      <c r="BG894" s="104"/>
      <c r="BH894" s="104"/>
      <c r="BI894" s="104"/>
      <c r="BJ894" s="104"/>
      <c r="BK894" s="12"/>
      <c r="BL894" s="12"/>
    </row>
    <row r="895" spans="1:64" hidden="1" outlineLevel="1">
      <c r="A895" s="9"/>
      <c r="B895" s="9"/>
      <c r="C895" s="44"/>
      <c r="D895" s="271" t="str">
        <f>Asset6</f>
        <v>Non-network general assets - IT</v>
      </c>
      <c r="E895" s="9"/>
      <c r="F895" s="9"/>
      <c r="G895" s="207">
        <f>'Adjustment for previous period'!G629</f>
        <v>4.9952742156455265</v>
      </c>
      <c r="H895" s="35"/>
      <c r="I895" s="35"/>
      <c r="J895" s="35"/>
      <c r="K895" s="35"/>
      <c r="L895" s="35"/>
      <c r="M895" s="35"/>
      <c r="N895" s="29"/>
      <c r="O895" s="29"/>
      <c r="P895" s="29"/>
      <c r="Q895" s="29"/>
      <c r="R895" s="29"/>
      <c r="S895" s="104"/>
      <c r="T895" s="104"/>
      <c r="U895" s="104"/>
      <c r="V895" s="104"/>
      <c r="W895" s="104"/>
      <c r="X895" s="104"/>
      <c r="Y895" s="104"/>
      <c r="Z895" s="104"/>
      <c r="AA895" s="231"/>
      <c r="AB895" s="231"/>
      <c r="AC895" s="231"/>
      <c r="AD895" s="231"/>
      <c r="AE895" s="231"/>
      <c r="AF895" s="231"/>
      <c r="AG895" s="231"/>
      <c r="AH895" s="231"/>
      <c r="AI895" s="231"/>
      <c r="AJ895" s="231"/>
      <c r="AK895" s="231"/>
      <c r="AL895" s="231"/>
      <c r="AM895" s="231"/>
      <c r="AN895" s="231"/>
      <c r="AO895" s="231"/>
      <c r="AP895" s="231"/>
      <c r="AQ895" s="231"/>
      <c r="AR895" s="231"/>
      <c r="AS895" s="231"/>
      <c r="AT895" s="231"/>
      <c r="AU895" s="231"/>
      <c r="AV895" s="231"/>
      <c r="AW895" s="231"/>
      <c r="AX895" s="231"/>
      <c r="AY895" s="231"/>
      <c r="AZ895" s="231"/>
      <c r="BA895" s="231"/>
      <c r="BB895" s="231"/>
      <c r="BC895" s="231"/>
      <c r="BD895" s="104"/>
      <c r="BE895" s="104"/>
      <c r="BF895" s="104"/>
      <c r="BG895" s="104"/>
      <c r="BH895" s="104"/>
      <c r="BI895" s="104"/>
      <c r="BJ895" s="104"/>
      <c r="BK895" s="12"/>
      <c r="BL895" s="12"/>
    </row>
    <row r="896" spans="1:64" hidden="1" outlineLevel="1">
      <c r="A896" s="9"/>
      <c r="B896" s="9"/>
      <c r="C896" s="44"/>
      <c r="D896" s="271" t="str">
        <f>Asset7</f>
        <v>Non-network general assets - Other</v>
      </c>
      <c r="E896" s="9"/>
      <c r="F896" s="9"/>
      <c r="G896" s="207">
        <f>'Adjustment for previous period'!G630</f>
        <v>1.499062901685899</v>
      </c>
      <c r="H896" s="35"/>
      <c r="I896" s="35"/>
      <c r="J896" s="35"/>
      <c r="K896" s="35"/>
      <c r="L896" s="35"/>
      <c r="M896" s="35"/>
      <c r="N896" s="29"/>
      <c r="O896" s="29"/>
      <c r="P896" s="29"/>
      <c r="Q896" s="29"/>
      <c r="R896" s="29"/>
      <c r="S896" s="104"/>
      <c r="T896" s="104"/>
      <c r="U896" s="104"/>
      <c r="V896" s="104"/>
      <c r="W896" s="104"/>
      <c r="X896" s="104"/>
      <c r="Y896" s="104"/>
      <c r="Z896" s="104"/>
      <c r="AA896" s="231"/>
      <c r="AB896" s="231"/>
      <c r="AC896" s="231"/>
      <c r="AD896" s="231"/>
      <c r="AE896" s="231"/>
      <c r="AF896" s="231"/>
      <c r="AG896" s="231"/>
      <c r="AH896" s="231"/>
      <c r="AI896" s="231"/>
      <c r="AJ896" s="231"/>
      <c r="AK896" s="231"/>
      <c r="AL896" s="231"/>
      <c r="AM896" s="231"/>
      <c r="AN896" s="231"/>
      <c r="AO896" s="231"/>
      <c r="AP896" s="231"/>
      <c r="AQ896" s="231"/>
      <c r="AR896" s="231"/>
      <c r="AS896" s="231"/>
      <c r="AT896" s="231"/>
      <c r="AU896" s="231"/>
      <c r="AV896" s="231"/>
      <c r="AW896" s="231"/>
      <c r="AX896" s="231"/>
      <c r="AY896" s="231"/>
      <c r="AZ896" s="231"/>
      <c r="BA896" s="231"/>
      <c r="BB896" s="231"/>
      <c r="BC896" s="231"/>
      <c r="BD896" s="104"/>
      <c r="BE896" s="104"/>
      <c r="BF896" s="104"/>
      <c r="BG896" s="104"/>
      <c r="BH896" s="104"/>
      <c r="BI896" s="104"/>
      <c r="BJ896" s="104"/>
      <c r="BK896" s="12"/>
      <c r="BL896" s="12"/>
    </row>
    <row r="897" spans="1:64" hidden="1" outlineLevel="1">
      <c r="A897" s="9"/>
      <c r="B897" s="9"/>
      <c r="C897" s="44"/>
      <c r="D897" s="271" t="str">
        <f>Asset8</f>
        <v>Equity Raising Costs</v>
      </c>
      <c r="E897" s="9"/>
      <c r="F897" s="9"/>
      <c r="G897" s="207">
        <f>'Adjustment for previous period'!G631</f>
        <v>0</v>
      </c>
      <c r="H897" s="35"/>
      <c r="I897" s="35"/>
      <c r="J897" s="35"/>
      <c r="K897" s="35"/>
      <c r="L897" s="35"/>
      <c r="M897" s="35"/>
      <c r="N897" s="29"/>
      <c r="O897" s="29"/>
      <c r="P897" s="29"/>
      <c r="Q897" s="29"/>
      <c r="R897" s="29"/>
      <c r="S897" s="104"/>
      <c r="T897" s="104"/>
      <c r="U897" s="104"/>
      <c r="V897" s="104"/>
      <c r="W897" s="104"/>
      <c r="X897" s="104"/>
      <c r="Y897" s="104"/>
      <c r="Z897" s="104"/>
      <c r="AA897" s="231"/>
      <c r="AB897" s="231"/>
      <c r="AC897" s="231"/>
      <c r="AD897" s="231"/>
      <c r="AE897" s="231"/>
      <c r="AF897" s="231"/>
      <c r="AG897" s="231"/>
      <c r="AH897" s="231"/>
      <c r="AI897" s="231"/>
      <c r="AJ897" s="231"/>
      <c r="AK897" s="231"/>
      <c r="AL897" s="231"/>
      <c r="AM897" s="231"/>
      <c r="AN897" s="231"/>
      <c r="AO897" s="231"/>
      <c r="AP897" s="231"/>
      <c r="AQ897" s="231"/>
      <c r="AR897" s="231"/>
      <c r="AS897" s="231"/>
      <c r="AT897" s="231"/>
      <c r="AU897" s="231"/>
      <c r="AV897" s="231"/>
      <c r="AW897" s="231"/>
      <c r="AX897" s="231"/>
      <c r="AY897" s="231"/>
      <c r="AZ897" s="231"/>
      <c r="BA897" s="231"/>
      <c r="BB897" s="231"/>
      <c r="BC897" s="231"/>
      <c r="BD897" s="104"/>
      <c r="BE897" s="104"/>
      <c r="BF897" s="104"/>
      <c r="BG897" s="104"/>
      <c r="BH897" s="104"/>
      <c r="BI897" s="104"/>
      <c r="BJ897" s="104"/>
      <c r="BK897" s="12"/>
      <c r="BL897" s="12"/>
    </row>
    <row r="898" spans="1:64" hidden="1" outlineLevel="1">
      <c r="A898" s="9"/>
      <c r="B898" s="9"/>
      <c r="C898" s="44"/>
      <c r="D898" s="271">
        <f>Asset9</f>
        <v>0</v>
      </c>
      <c r="E898" s="9"/>
      <c r="F898" s="9"/>
      <c r="G898" s="207">
        <f>'Adjustment for previous period'!G632</f>
        <v>0</v>
      </c>
      <c r="H898" s="35"/>
      <c r="I898" s="35"/>
      <c r="J898" s="35"/>
      <c r="K898" s="35"/>
      <c r="L898" s="35"/>
      <c r="M898" s="35"/>
      <c r="N898" s="29"/>
      <c r="O898" s="29"/>
      <c r="P898" s="29"/>
      <c r="Q898" s="29"/>
      <c r="R898" s="29"/>
      <c r="S898" s="104"/>
      <c r="T898" s="104"/>
      <c r="U898" s="104"/>
      <c r="V898" s="104"/>
      <c r="W898" s="104"/>
      <c r="X898" s="104"/>
      <c r="Y898" s="104"/>
      <c r="Z898" s="104"/>
      <c r="AA898" s="231"/>
      <c r="AB898" s="231"/>
      <c r="AC898" s="231"/>
      <c r="AD898" s="231"/>
      <c r="AE898" s="231"/>
      <c r="AF898" s="231"/>
      <c r="AG898" s="231"/>
      <c r="AH898" s="231"/>
      <c r="AI898" s="231"/>
      <c r="AJ898" s="231"/>
      <c r="AK898" s="231"/>
      <c r="AL898" s="231"/>
      <c r="AM898" s="231"/>
      <c r="AN898" s="231"/>
      <c r="AO898" s="231"/>
      <c r="AP898" s="231"/>
      <c r="AQ898" s="231"/>
      <c r="AR898" s="231"/>
      <c r="AS898" s="231"/>
      <c r="AT898" s="231"/>
      <c r="AU898" s="231"/>
      <c r="AV898" s="231"/>
      <c r="AW898" s="231"/>
      <c r="AX898" s="231"/>
      <c r="AY898" s="231"/>
      <c r="AZ898" s="231"/>
      <c r="BA898" s="231"/>
      <c r="BB898" s="231"/>
      <c r="BC898" s="231"/>
      <c r="BD898" s="104"/>
      <c r="BE898" s="104"/>
      <c r="BF898" s="104"/>
      <c r="BG898" s="104"/>
      <c r="BH898" s="104"/>
      <c r="BI898" s="104"/>
      <c r="BJ898" s="104"/>
      <c r="BK898" s="12"/>
      <c r="BL898" s="12"/>
    </row>
    <row r="899" spans="1:64" hidden="1" outlineLevel="1">
      <c r="A899" s="9"/>
      <c r="B899" s="9"/>
      <c r="C899" s="44"/>
      <c r="D899" s="271">
        <f>Asset10</f>
        <v>0</v>
      </c>
      <c r="E899" s="9"/>
      <c r="F899" s="9"/>
      <c r="G899" s="207">
        <f>'Adjustment for previous period'!G633</f>
        <v>0</v>
      </c>
      <c r="H899" s="35"/>
      <c r="I899" s="35"/>
      <c r="J899" s="35"/>
      <c r="K899" s="35"/>
      <c r="L899" s="35"/>
      <c r="M899" s="35"/>
      <c r="N899" s="29"/>
      <c r="O899" s="29"/>
      <c r="P899" s="29"/>
      <c r="Q899" s="29"/>
      <c r="R899" s="29"/>
      <c r="S899" s="104"/>
      <c r="T899" s="104"/>
      <c r="U899" s="104"/>
      <c r="V899" s="104"/>
      <c r="W899" s="104"/>
      <c r="X899" s="104"/>
      <c r="Y899" s="104"/>
      <c r="Z899" s="104"/>
      <c r="AA899" s="231"/>
      <c r="AB899" s="231"/>
      <c r="AC899" s="231"/>
      <c r="AD899" s="231"/>
      <c r="AE899" s="231"/>
      <c r="AF899" s="231"/>
      <c r="AG899" s="231"/>
      <c r="AH899" s="231"/>
      <c r="AI899" s="231"/>
      <c r="AJ899" s="231"/>
      <c r="AK899" s="231"/>
      <c r="AL899" s="231"/>
      <c r="AM899" s="231"/>
      <c r="AN899" s="231"/>
      <c r="AO899" s="231"/>
      <c r="AP899" s="231"/>
      <c r="AQ899" s="231"/>
      <c r="AR899" s="231"/>
      <c r="AS899" s="231"/>
      <c r="AT899" s="231"/>
      <c r="AU899" s="231"/>
      <c r="AV899" s="231"/>
      <c r="AW899" s="231"/>
      <c r="AX899" s="231"/>
      <c r="AY899" s="231"/>
      <c r="AZ899" s="231"/>
      <c r="BA899" s="231"/>
      <c r="BB899" s="231"/>
      <c r="BC899" s="231"/>
      <c r="BD899" s="104"/>
      <c r="BE899" s="104"/>
      <c r="BF899" s="104"/>
      <c r="BG899" s="104"/>
      <c r="BH899" s="104"/>
      <c r="BI899" s="104"/>
      <c r="BJ899" s="104"/>
      <c r="BK899" s="12"/>
      <c r="BL899" s="12"/>
    </row>
    <row r="900" spans="1:64" hidden="1" outlineLevel="1">
      <c r="A900" s="9"/>
      <c r="B900" s="9"/>
      <c r="C900" s="44"/>
      <c r="D900" s="271">
        <f>Asset11</f>
        <v>0</v>
      </c>
      <c r="E900" s="9"/>
      <c r="F900" s="9"/>
      <c r="G900" s="207">
        <f>'Adjustment for previous period'!G634</f>
        <v>0</v>
      </c>
      <c r="H900" s="35"/>
      <c r="I900" s="35"/>
      <c r="J900" s="35"/>
      <c r="K900" s="35"/>
      <c r="L900" s="35"/>
      <c r="M900" s="35"/>
      <c r="N900" s="29"/>
      <c r="O900" s="29"/>
      <c r="P900" s="29"/>
      <c r="Q900" s="29"/>
      <c r="R900" s="29"/>
      <c r="S900" s="104"/>
      <c r="T900" s="104"/>
      <c r="U900" s="104"/>
      <c r="V900" s="104"/>
      <c r="W900" s="104"/>
      <c r="X900" s="104"/>
      <c r="Y900" s="104"/>
      <c r="Z900" s="104"/>
      <c r="AA900" s="231"/>
      <c r="AB900" s="231"/>
      <c r="AC900" s="231"/>
      <c r="AD900" s="231"/>
      <c r="AE900" s="231"/>
      <c r="AF900" s="231"/>
      <c r="AG900" s="231"/>
      <c r="AH900" s="231"/>
      <c r="AI900" s="231"/>
      <c r="AJ900" s="231"/>
      <c r="AK900" s="231"/>
      <c r="AL900" s="231"/>
      <c r="AM900" s="231"/>
      <c r="AN900" s="231"/>
      <c r="AO900" s="231"/>
      <c r="AP900" s="231"/>
      <c r="AQ900" s="231"/>
      <c r="AR900" s="231"/>
      <c r="AS900" s="231"/>
      <c r="AT900" s="231"/>
      <c r="AU900" s="231"/>
      <c r="AV900" s="231"/>
      <c r="AW900" s="231"/>
      <c r="AX900" s="231"/>
      <c r="AY900" s="231"/>
      <c r="AZ900" s="231"/>
      <c r="BA900" s="231"/>
      <c r="BB900" s="231"/>
      <c r="BC900" s="231"/>
      <c r="BD900" s="104"/>
      <c r="BE900" s="104"/>
      <c r="BF900" s="104"/>
      <c r="BG900" s="104"/>
      <c r="BH900" s="104"/>
      <c r="BI900" s="104"/>
      <c r="BJ900" s="104"/>
      <c r="BK900" s="12"/>
      <c r="BL900" s="12"/>
    </row>
    <row r="901" spans="1:64" hidden="1" outlineLevel="1">
      <c r="A901" s="9"/>
      <c r="B901" s="9"/>
      <c r="C901" s="44"/>
      <c r="D901" s="271">
        <f>Asset12</f>
        <v>0</v>
      </c>
      <c r="E901" s="9"/>
      <c r="F901" s="9"/>
      <c r="G901" s="207">
        <f>'Adjustment for previous period'!G635</f>
        <v>0</v>
      </c>
      <c r="H901" s="35"/>
      <c r="I901" s="35"/>
      <c r="J901" s="35"/>
      <c r="K901" s="35"/>
      <c r="L901" s="35"/>
      <c r="M901" s="35"/>
      <c r="N901" s="29"/>
      <c r="O901" s="29"/>
      <c r="P901" s="29"/>
      <c r="Q901" s="29"/>
      <c r="R901" s="29"/>
      <c r="S901" s="104"/>
      <c r="T901" s="104"/>
      <c r="U901" s="104"/>
      <c r="V901" s="104"/>
      <c r="W901" s="104"/>
      <c r="X901" s="104"/>
      <c r="Y901" s="104"/>
      <c r="Z901" s="104"/>
      <c r="AA901" s="231"/>
      <c r="AB901" s="231"/>
      <c r="AC901" s="231"/>
      <c r="AD901" s="231"/>
      <c r="AE901" s="231"/>
      <c r="AF901" s="231"/>
      <c r="AG901" s="231"/>
      <c r="AH901" s="231"/>
      <c r="AI901" s="231"/>
      <c r="AJ901" s="231"/>
      <c r="AK901" s="231"/>
      <c r="AL901" s="231"/>
      <c r="AM901" s="231"/>
      <c r="AN901" s="231"/>
      <c r="AO901" s="231"/>
      <c r="AP901" s="231"/>
      <c r="AQ901" s="231"/>
      <c r="AR901" s="231"/>
      <c r="AS901" s="231"/>
      <c r="AT901" s="231"/>
      <c r="AU901" s="231"/>
      <c r="AV901" s="231"/>
      <c r="AW901" s="231"/>
      <c r="AX901" s="231"/>
      <c r="AY901" s="231"/>
      <c r="AZ901" s="231"/>
      <c r="BA901" s="231"/>
      <c r="BB901" s="231"/>
      <c r="BC901" s="231"/>
      <c r="BD901" s="104"/>
      <c r="BE901" s="104"/>
      <c r="BF901" s="104"/>
      <c r="BG901" s="104"/>
      <c r="BH901" s="104"/>
      <c r="BI901" s="104"/>
      <c r="BJ901" s="104"/>
      <c r="BK901" s="12"/>
      <c r="BL901" s="12"/>
    </row>
    <row r="902" spans="1:64" hidden="1" outlineLevel="1">
      <c r="A902" s="9"/>
      <c r="B902" s="9"/>
      <c r="C902" s="44"/>
      <c r="D902" s="271">
        <f>Asset13</f>
        <v>0</v>
      </c>
      <c r="E902" s="9"/>
      <c r="F902" s="9"/>
      <c r="G902" s="207">
        <f>'Adjustment for previous period'!G636</f>
        <v>0</v>
      </c>
      <c r="H902" s="35"/>
      <c r="I902" s="35"/>
      <c r="J902" s="35"/>
      <c r="K902" s="35"/>
      <c r="L902" s="35"/>
      <c r="M902" s="35"/>
      <c r="N902" s="29"/>
      <c r="O902" s="29"/>
      <c r="P902" s="29"/>
      <c r="Q902" s="29"/>
      <c r="R902" s="29"/>
      <c r="S902" s="104"/>
      <c r="T902" s="104"/>
      <c r="U902" s="104"/>
      <c r="V902" s="104"/>
      <c r="W902" s="104"/>
      <c r="X902" s="104"/>
      <c r="Y902" s="104"/>
      <c r="Z902" s="104"/>
      <c r="AA902" s="231"/>
      <c r="AB902" s="231"/>
      <c r="AC902" s="231"/>
      <c r="AD902" s="231"/>
      <c r="AE902" s="231"/>
      <c r="AF902" s="231"/>
      <c r="AG902" s="231"/>
      <c r="AH902" s="231"/>
      <c r="AI902" s="231"/>
      <c r="AJ902" s="231"/>
      <c r="AK902" s="231"/>
      <c r="AL902" s="231"/>
      <c r="AM902" s="231"/>
      <c r="AN902" s="231"/>
      <c r="AO902" s="231"/>
      <c r="AP902" s="231"/>
      <c r="AQ902" s="231"/>
      <c r="AR902" s="231"/>
      <c r="AS902" s="231"/>
      <c r="AT902" s="231"/>
      <c r="AU902" s="231"/>
      <c r="AV902" s="231"/>
      <c r="AW902" s="231"/>
      <c r="AX902" s="231"/>
      <c r="AY902" s="231"/>
      <c r="AZ902" s="231"/>
      <c r="BA902" s="231"/>
      <c r="BB902" s="231"/>
      <c r="BC902" s="231"/>
      <c r="BD902" s="104"/>
      <c r="BE902" s="104"/>
      <c r="BF902" s="104"/>
      <c r="BG902" s="104"/>
      <c r="BH902" s="104"/>
      <c r="BI902" s="104"/>
      <c r="BJ902" s="104"/>
      <c r="BK902" s="12"/>
      <c r="BL902" s="12"/>
    </row>
    <row r="903" spans="1:64" hidden="1" outlineLevel="1">
      <c r="A903" s="9"/>
      <c r="B903" s="9"/>
      <c r="C903" s="44"/>
      <c r="D903" s="271">
        <f>Asset14</f>
        <v>0</v>
      </c>
      <c r="E903" s="9"/>
      <c r="F903" s="9"/>
      <c r="G903" s="207">
        <f>'Adjustment for previous period'!G637</f>
        <v>0</v>
      </c>
      <c r="H903" s="35"/>
      <c r="I903" s="35"/>
      <c r="J903" s="35"/>
      <c r="K903" s="35"/>
      <c r="L903" s="35"/>
      <c r="M903" s="35"/>
      <c r="N903" s="29"/>
      <c r="O903" s="29"/>
      <c r="P903" s="29"/>
      <c r="Q903" s="29"/>
      <c r="R903" s="29"/>
      <c r="S903" s="104"/>
      <c r="T903" s="104"/>
      <c r="U903" s="104"/>
      <c r="V903" s="104"/>
      <c r="W903" s="104"/>
      <c r="X903" s="104"/>
      <c r="Y903" s="104"/>
      <c r="Z903" s="104"/>
      <c r="AA903" s="231"/>
      <c r="AB903" s="231"/>
      <c r="AC903" s="231"/>
      <c r="AD903" s="231"/>
      <c r="AE903" s="231"/>
      <c r="AF903" s="231"/>
      <c r="AG903" s="231"/>
      <c r="AH903" s="231"/>
      <c r="AI903" s="231"/>
      <c r="AJ903" s="231"/>
      <c r="AK903" s="231"/>
      <c r="AL903" s="231"/>
      <c r="AM903" s="231"/>
      <c r="AN903" s="231"/>
      <c r="AO903" s="231"/>
      <c r="AP903" s="231"/>
      <c r="AQ903" s="231"/>
      <c r="AR903" s="231"/>
      <c r="AS903" s="231"/>
      <c r="AT903" s="231"/>
      <c r="AU903" s="231"/>
      <c r="AV903" s="231"/>
      <c r="AW903" s="231"/>
      <c r="AX903" s="231"/>
      <c r="AY903" s="231"/>
      <c r="AZ903" s="231"/>
      <c r="BA903" s="231"/>
      <c r="BB903" s="231"/>
      <c r="BC903" s="231"/>
      <c r="BD903" s="104"/>
      <c r="BE903" s="104"/>
      <c r="BF903" s="104"/>
      <c r="BG903" s="104"/>
      <c r="BH903" s="104"/>
      <c r="BI903" s="104"/>
      <c r="BJ903" s="104"/>
      <c r="BK903" s="12"/>
      <c r="BL903" s="12"/>
    </row>
    <row r="904" spans="1:64" hidden="1" outlineLevel="1">
      <c r="A904" s="9"/>
      <c r="B904" s="9"/>
      <c r="C904" s="44"/>
      <c r="D904" s="271">
        <f>Asset15</f>
        <v>0</v>
      </c>
      <c r="E904" s="9"/>
      <c r="F904" s="9"/>
      <c r="G904" s="207">
        <f>'Adjustment for previous period'!G638</f>
        <v>0</v>
      </c>
      <c r="H904" s="35"/>
      <c r="I904" s="35"/>
      <c r="J904" s="35"/>
      <c r="K904" s="35"/>
      <c r="L904" s="35"/>
      <c r="M904" s="35"/>
      <c r="N904" s="29"/>
      <c r="O904" s="29"/>
      <c r="P904" s="29"/>
      <c r="Q904" s="29"/>
      <c r="R904" s="29"/>
      <c r="S904" s="104"/>
      <c r="T904" s="104"/>
      <c r="U904" s="104"/>
      <c r="V904" s="104"/>
      <c r="W904" s="104"/>
      <c r="X904" s="104"/>
      <c r="Y904" s="104"/>
      <c r="Z904" s="104"/>
      <c r="AA904" s="231"/>
      <c r="AB904" s="231"/>
      <c r="AC904" s="231"/>
      <c r="AD904" s="231"/>
      <c r="AE904" s="231"/>
      <c r="AF904" s="231"/>
      <c r="AG904" s="231"/>
      <c r="AH904" s="231"/>
      <c r="AI904" s="231"/>
      <c r="AJ904" s="231"/>
      <c r="AK904" s="231"/>
      <c r="AL904" s="231"/>
      <c r="AM904" s="231"/>
      <c r="AN904" s="231"/>
      <c r="AO904" s="231"/>
      <c r="AP904" s="231"/>
      <c r="AQ904" s="231"/>
      <c r="AR904" s="231"/>
      <c r="AS904" s="231"/>
      <c r="AT904" s="231"/>
      <c r="AU904" s="231"/>
      <c r="AV904" s="231"/>
      <c r="AW904" s="231"/>
      <c r="AX904" s="231"/>
      <c r="AY904" s="231"/>
      <c r="AZ904" s="231"/>
      <c r="BA904" s="231"/>
      <c r="BB904" s="231"/>
      <c r="BC904" s="231"/>
      <c r="BD904" s="104"/>
      <c r="BE904" s="104"/>
      <c r="BF904" s="104"/>
      <c r="BG904" s="104"/>
      <c r="BH904" s="104"/>
      <c r="BI904" s="104"/>
      <c r="BJ904" s="104"/>
      <c r="BK904" s="12"/>
      <c r="BL904" s="12"/>
    </row>
    <row r="905" spans="1:64" hidden="1" outlineLevel="1">
      <c r="A905" s="9"/>
      <c r="B905" s="9"/>
      <c r="C905" s="44"/>
      <c r="D905" s="271">
        <f>Asset16</f>
        <v>0</v>
      </c>
      <c r="E905" s="9"/>
      <c r="F905" s="9"/>
      <c r="G905" s="207">
        <f>'Adjustment for previous period'!G639</f>
        <v>0</v>
      </c>
      <c r="H905" s="35"/>
      <c r="I905" s="35"/>
      <c r="J905" s="35"/>
      <c r="K905" s="35"/>
      <c r="L905" s="35"/>
      <c r="M905" s="35"/>
      <c r="N905" s="29"/>
      <c r="O905" s="29"/>
      <c r="P905" s="29"/>
      <c r="Q905" s="29"/>
      <c r="R905" s="29"/>
      <c r="S905" s="104"/>
      <c r="T905" s="104"/>
      <c r="U905" s="104"/>
      <c r="V905" s="104"/>
      <c r="W905" s="104"/>
      <c r="X905" s="104"/>
      <c r="Y905" s="104"/>
      <c r="Z905" s="104"/>
      <c r="AA905" s="231"/>
      <c r="AB905" s="231"/>
      <c r="AC905" s="231"/>
      <c r="AD905" s="231"/>
      <c r="AE905" s="231"/>
      <c r="AF905" s="231"/>
      <c r="AG905" s="231"/>
      <c r="AH905" s="231"/>
      <c r="AI905" s="231"/>
      <c r="AJ905" s="231"/>
      <c r="AK905" s="231"/>
      <c r="AL905" s="231"/>
      <c r="AM905" s="231"/>
      <c r="AN905" s="231"/>
      <c r="AO905" s="231"/>
      <c r="AP905" s="231"/>
      <c r="AQ905" s="231"/>
      <c r="AR905" s="231"/>
      <c r="AS905" s="231"/>
      <c r="AT905" s="231"/>
      <c r="AU905" s="231"/>
      <c r="AV905" s="231"/>
      <c r="AW905" s="231"/>
      <c r="AX905" s="231"/>
      <c r="AY905" s="231"/>
      <c r="AZ905" s="231"/>
      <c r="BA905" s="231"/>
      <c r="BB905" s="231"/>
      <c r="BC905" s="231"/>
      <c r="BD905" s="104"/>
      <c r="BE905" s="104"/>
      <c r="BF905" s="104"/>
      <c r="BG905" s="104"/>
      <c r="BH905" s="104"/>
      <c r="BI905" s="104"/>
      <c r="BJ905" s="104"/>
      <c r="BK905" s="12"/>
      <c r="BL905" s="12"/>
    </row>
    <row r="906" spans="1:64" hidden="1" outlineLevel="1">
      <c r="A906" s="9"/>
      <c r="B906" s="9"/>
      <c r="C906" s="44"/>
      <c r="D906" s="271">
        <f>Asset17</f>
        <v>0</v>
      </c>
      <c r="E906" s="9"/>
      <c r="F906" s="9"/>
      <c r="G906" s="207">
        <f>'Adjustment for previous period'!G640</f>
        <v>0</v>
      </c>
      <c r="H906" s="35"/>
      <c r="I906" s="35"/>
      <c r="J906" s="35"/>
      <c r="K906" s="35"/>
      <c r="L906" s="35"/>
      <c r="M906" s="35"/>
      <c r="N906" s="29"/>
      <c r="O906" s="29"/>
      <c r="P906" s="29"/>
      <c r="Q906" s="29"/>
      <c r="R906" s="29"/>
      <c r="S906" s="104"/>
      <c r="T906" s="104"/>
      <c r="U906" s="104"/>
      <c r="V906" s="104"/>
      <c r="W906" s="104"/>
      <c r="X906" s="104"/>
      <c r="Y906" s="104"/>
      <c r="Z906" s="104"/>
      <c r="AA906" s="231"/>
      <c r="AB906" s="231"/>
      <c r="AC906" s="231"/>
      <c r="AD906" s="231"/>
      <c r="AE906" s="231"/>
      <c r="AF906" s="231"/>
      <c r="AG906" s="231"/>
      <c r="AH906" s="231"/>
      <c r="AI906" s="231"/>
      <c r="AJ906" s="231"/>
      <c r="AK906" s="231"/>
      <c r="AL906" s="231"/>
      <c r="AM906" s="231"/>
      <c r="AN906" s="231"/>
      <c r="AO906" s="231"/>
      <c r="AP906" s="231"/>
      <c r="AQ906" s="231"/>
      <c r="AR906" s="231"/>
      <c r="AS906" s="231"/>
      <c r="AT906" s="231"/>
      <c r="AU906" s="231"/>
      <c r="AV906" s="231"/>
      <c r="AW906" s="231"/>
      <c r="AX906" s="231"/>
      <c r="AY906" s="231"/>
      <c r="AZ906" s="231"/>
      <c r="BA906" s="231"/>
      <c r="BB906" s="231"/>
      <c r="BC906" s="231"/>
      <c r="BD906" s="104"/>
      <c r="BE906" s="104"/>
      <c r="BF906" s="104"/>
      <c r="BG906" s="104"/>
      <c r="BH906" s="104"/>
      <c r="BI906" s="104"/>
      <c r="BJ906" s="104"/>
      <c r="BK906" s="12"/>
      <c r="BL906" s="12"/>
    </row>
    <row r="907" spans="1:64" hidden="1" outlineLevel="1">
      <c r="A907" s="9"/>
      <c r="B907" s="9"/>
      <c r="C907" s="44"/>
      <c r="D907" s="271">
        <f>Asset18</f>
        <v>0</v>
      </c>
      <c r="E907" s="9"/>
      <c r="F907" s="9"/>
      <c r="G907" s="207">
        <f>'Adjustment for previous period'!G641</f>
        <v>0</v>
      </c>
      <c r="H907" s="35"/>
      <c r="I907" s="35"/>
      <c r="J907" s="35"/>
      <c r="K907" s="35"/>
      <c r="L907" s="35"/>
      <c r="M907" s="35"/>
      <c r="N907" s="29"/>
      <c r="O907" s="29"/>
      <c r="P907" s="29"/>
      <c r="Q907" s="29"/>
      <c r="R907" s="29"/>
      <c r="S907" s="104"/>
      <c r="T907" s="104"/>
      <c r="U907" s="104"/>
      <c r="V907" s="104"/>
      <c r="W907" s="104"/>
      <c r="X907" s="104"/>
      <c r="Y907" s="104"/>
      <c r="Z907" s="104"/>
      <c r="AA907" s="231"/>
      <c r="AB907" s="231"/>
      <c r="AC907" s="231"/>
      <c r="AD907" s="231"/>
      <c r="AE907" s="231"/>
      <c r="AF907" s="231"/>
      <c r="AG907" s="231"/>
      <c r="AH907" s="231"/>
      <c r="AI907" s="231"/>
      <c r="AJ907" s="231"/>
      <c r="AK907" s="231"/>
      <c r="AL907" s="231"/>
      <c r="AM907" s="231"/>
      <c r="AN907" s="231"/>
      <c r="AO907" s="231"/>
      <c r="AP907" s="231"/>
      <c r="AQ907" s="231"/>
      <c r="AR907" s="231"/>
      <c r="AS907" s="231"/>
      <c r="AT907" s="231"/>
      <c r="AU907" s="231"/>
      <c r="AV907" s="231"/>
      <c r="AW907" s="231"/>
      <c r="AX907" s="231"/>
      <c r="AY907" s="231"/>
      <c r="AZ907" s="231"/>
      <c r="BA907" s="231"/>
      <c r="BB907" s="231"/>
      <c r="BC907" s="231"/>
      <c r="BD907" s="104"/>
      <c r="BE907" s="104"/>
      <c r="BF907" s="104"/>
      <c r="BG907" s="104"/>
      <c r="BH907" s="104"/>
      <c r="BI907" s="104"/>
      <c r="BJ907" s="104"/>
      <c r="BK907" s="12"/>
      <c r="BL907" s="12"/>
    </row>
    <row r="908" spans="1:64" hidden="1" outlineLevel="1">
      <c r="A908" s="9"/>
      <c r="B908" s="9"/>
      <c r="C908" s="44"/>
      <c r="D908" s="271">
        <f>Asset19</f>
        <v>0</v>
      </c>
      <c r="E908" s="9"/>
      <c r="F908" s="9"/>
      <c r="G908" s="207">
        <f>'Adjustment for previous period'!G642</f>
        <v>0</v>
      </c>
      <c r="H908" s="35"/>
      <c r="I908" s="35"/>
      <c r="J908" s="35"/>
      <c r="K908" s="35"/>
      <c r="L908" s="35"/>
      <c r="M908" s="35"/>
      <c r="N908" s="29"/>
      <c r="O908" s="29"/>
      <c r="P908" s="29"/>
      <c r="Q908" s="29"/>
      <c r="R908" s="29"/>
      <c r="S908" s="104"/>
      <c r="T908" s="104"/>
      <c r="U908" s="104"/>
      <c r="V908" s="104"/>
      <c r="W908" s="104"/>
      <c r="X908" s="104"/>
      <c r="Y908" s="104"/>
      <c r="Z908" s="104"/>
      <c r="AA908" s="231"/>
      <c r="AB908" s="231"/>
      <c r="AC908" s="231"/>
      <c r="AD908" s="231"/>
      <c r="AE908" s="231"/>
      <c r="AF908" s="231"/>
      <c r="AG908" s="231"/>
      <c r="AH908" s="231"/>
      <c r="AI908" s="231"/>
      <c r="AJ908" s="231"/>
      <c r="AK908" s="231"/>
      <c r="AL908" s="231"/>
      <c r="AM908" s="231"/>
      <c r="AN908" s="231"/>
      <c r="AO908" s="231"/>
      <c r="AP908" s="231"/>
      <c r="AQ908" s="231"/>
      <c r="AR908" s="231"/>
      <c r="AS908" s="231"/>
      <c r="AT908" s="231"/>
      <c r="AU908" s="231"/>
      <c r="AV908" s="231"/>
      <c r="AW908" s="231"/>
      <c r="AX908" s="231"/>
      <c r="AY908" s="231"/>
      <c r="AZ908" s="231"/>
      <c r="BA908" s="231"/>
      <c r="BB908" s="231"/>
      <c r="BC908" s="231"/>
      <c r="BD908" s="104"/>
      <c r="BE908" s="104"/>
      <c r="BF908" s="104"/>
      <c r="BG908" s="104"/>
      <c r="BH908" s="104"/>
      <c r="BI908" s="104"/>
      <c r="BJ908" s="104"/>
      <c r="BK908" s="12"/>
      <c r="BL908" s="12"/>
    </row>
    <row r="909" spans="1:64" hidden="1" outlineLevel="1">
      <c r="A909" s="9"/>
      <c r="B909" s="9"/>
      <c r="C909" s="44"/>
      <c r="D909" s="271">
        <f>Asset20</f>
        <v>0</v>
      </c>
      <c r="E909" s="9"/>
      <c r="F909" s="9"/>
      <c r="G909" s="207">
        <f>'Adjustment for previous period'!G643</f>
        <v>0</v>
      </c>
      <c r="H909" s="35"/>
      <c r="I909" s="35"/>
      <c r="J909" s="35"/>
      <c r="K909" s="35"/>
      <c r="L909" s="35"/>
      <c r="M909" s="35"/>
      <c r="N909" s="29"/>
      <c r="O909" s="29"/>
      <c r="P909" s="29"/>
      <c r="Q909" s="29"/>
      <c r="R909" s="29"/>
      <c r="S909" s="104"/>
      <c r="T909" s="104"/>
      <c r="U909" s="104"/>
      <c r="V909" s="104"/>
      <c r="W909" s="104"/>
      <c r="X909" s="104"/>
      <c r="Y909" s="104"/>
      <c r="Z909" s="104"/>
      <c r="AA909" s="231"/>
      <c r="AB909" s="231"/>
      <c r="AC909" s="231"/>
      <c r="AD909" s="231"/>
      <c r="AE909" s="231"/>
      <c r="AF909" s="231"/>
      <c r="AG909" s="231"/>
      <c r="AH909" s="231"/>
      <c r="AI909" s="231"/>
      <c r="AJ909" s="231"/>
      <c r="AK909" s="231"/>
      <c r="AL909" s="231"/>
      <c r="AM909" s="231"/>
      <c r="AN909" s="231"/>
      <c r="AO909" s="231"/>
      <c r="AP909" s="231"/>
      <c r="AQ909" s="231"/>
      <c r="AR909" s="231"/>
      <c r="AS909" s="231"/>
      <c r="AT909" s="231"/>
      <c r="AU909" s="231"/>
      <c r="AV909" s="231"/>
      <c r="AW909" s="231"/>
      <c r="AX909" s="231"/>
      <c r="AY909" s="231"/>
      <c r="AZ909" s="231"/>
      <c r="BA909" s="231"/>
      <c r="BB909" s="231"/>
      <c r="BC909" s="231"/>
      <c r="BD909" s="104"/>
      <c r="BE909" s="104"/>
      <c r="BF909" s="104"/>
      <c r="BG909" s="104"/>
      <c r="BH909" s="104"/>
      <c r="BI909" s="104"/>
      <c r="BJ909" s="104"/>
      <c r="BK909" s="12"/>
      <c r="BL909" s="12"/>
    </row>
    <row r="910" spans="1:64" hidden="1" outlineLevel="1">
      <c r="A910" s="9"/>
      <c r="B910" s="9"/>
      <c r="C910" s="44"/>
      <c r="D910" s="337">
        <f>Asset21</f>
        <v>0</v>
      </c>
      <c r="E910" s="9"/>
      <c r="F910" s="9"/>
      <c r="G910" s="207">
        <f>'Adjustment for previous period'!G644</f>
        <v>0</v>
      </c>
      <c r="H910" s="35"/>
      <c r="I910" s="35"/>
      <c r="J910" s="35"/>
      <c r="K910" s="35"/>
      <c r="L910" s="35"/>
      <c r="M910" s="35"/>
      <c r="N910" s="29"/>
      <c r="O910" s="29"/>
      <c r="P910" s="29"/>
      <c r="Q910" s="29"/>
      <c r="R910" s="29"/>
      <c r="S910" s="104"/>
      <c r="T910" s="104"/>
      <c r="U910" s="104"/>
      <c r="V910" s="104"/>
      <c r="W910" s="104"/>
      <c r="X910" s="104"/>
      <c r="Y910" s="104"/>
      <c r="Z910" s="104"/>
      <c r="AA910" s="231"/>
      <c r="AB910" s="231"/>
      <c r="AC910" s="231"/>
      <c r="AD910" s="231"/>
      <c r="AE910" s="231"/>
      <c r="AF910" s="231"/>
      <c r="AG910" s="231"/>
      <c r="AH910" s="231"/>
      <c r="AI910" s="231"/>
      <c r="AJ910" s="231"/>
      <c r="AK910" s="231"/>
      <c r="AL910" s="231"/>
      <c r="AM910" s="231"/>
      <c r="AN910" s="231"/>
      <c r="AO910" s="231"/>
      <c r="AP910" s="231"/>
      <c r="AQ910" s="231"/>
      <c r="AR910" s="231"/>
      <c r="AS910" s="231"/>
      <c r="AT910" s="231"/>
      <c r="AU910" s="231"/>
      <c r="AV910" s="231"/>
      <c r="AW910" s="231"/>
      <c r="AX910" s="231"/>
      <c r="AY910" s="231"/>
      <c r="AZ910" s="231"/>
      <c r="BA910" s="231"/>
      <c r="BB910" s="231"/>
      <c r="BC910" s="231"/>
      <c r="BD910" s="104"/>
      <c r="BE910" s="104"/>
      <c r="BF910" s="104"/>
      <c r="BG910" s="104"/>
      <c r="BH910" s="104"/>
      <c r="BI910" s="104"/>
      <c r="BJ910" s="104"/>
      <c r="BK910" s="12"/>
      <c r="BL910" s="12"/>
    </row>
    <row r="911" spans="1:64" hidden="1" outlineLevel="1">
      <c r="A911" s="9"/>
      <c r="B911" s="9"/>
      <c r="C911" s="44"/>
      <c r="D911" s="337">
        <f>Asset22</f>
        <v>0</v>
      </c>
      <c r="E911" s="9"/>
      <c r="F911" s="9"/>
      <c r="G911" s="207">
        <f>'Adjustment for previous period'!G645</f>
        <v>0</v>
      </c>
      <c r="H911" s="35"/>
      <c r="I911" s="35"/>
      <c r="J911" s="35"/>
      <c r="K911" s="35"/>
      <c r="L911" s="35"/>
      <c r="M911" s="35"/>
      <c r="N911" s="29"/>
      <c r="O911" s="29"/>
      <c r="P911" s="29"/>
      <c r="Q911" s="29"/>
      <c r="R911" s="29"/>
      <c r="S911" s="104"/>
      <c r="T911" s="104"/>
      <c r="U911" s="104"/>
      <c r="V911" s="104"/>
      <c r="W911" s="104"/>
      <c r="X911" s="104"/>
      <c r="Y911" s="104"/>
      <c r="Z911" s="104"/>
      <c r="AA911" s="231"/>
      <c r="AB911" s="231"/>
      <c r="AC911" s="231"/>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104"/>
      <c r="BE911" s="104"/>
      <c r="BF911" s="104"/>
      <c r="BG911" s="104"/>
      <c r="BH911" s="104"/>
      <c r="BI911" s="104"/>
      <c r="BJ911" s="104"/>
      <c r="BK911" s="12"/>
      <c r="BL911" s="12"/>
    </row>
    <row r="912" spans="1:64" hidden="1" outlineLevel="1">
      <c r="A912" s="9"/>
      <c r="B912" s="9"/>
      <c r="C912" s="44"/>
      <c r="D912" s="337">
        <f>Asset23</f>
        <v>0</v>
      </c>
      <c r="E912" s="9"/>
      <c r="F912" s="9"/>
      <c r="G912" s="207">
        <f>'Adjustment for previous period'!G646</f>
        <v>0</v>
      </c>
      <c r="H912" s="35"/>
      <c r="I912" s="35"/>
      <c r="J912" s="35"/>
      <c r="K912" s="35"/>
      <c r="L912" s="35"/>
      <c r="M912" s="35"/>
      <c r="N912" s="29"/>
      <c r="O912" s="29"/>
      <c r="P912" s="29"/>
      <c r="Q912" s="29"/>
      <c r="R912" s="29"/>
      <c r="S912" s="104"/>
      <c r="T912" s="104"/>
      <c r="U912" s="104"/>
      <c r="V912" s="104"/>
      <c r="W912" s="104"/>
      <c r="X912" s="104"/>
      <c r="Y912" s="104"/>
      <c r="Z912" s="104"/>
      <c r="AA912" s="231"/>
      <c r="AB912" s="231"/>
      <c r="AC912" s="231"/>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104"/>
      <c r="BE912" s="104"/>
      <c r="BF912" s="104"/>
      <c r="BG912" s="104"/>
      <c r="BH912" s="104"/>
      <c r="BI912" s="104"/>
      <c r="BJ912" s="104"/>
      <c r="BK912" s="12"/>
      <c r="BL912" s="12"/>
    </row>
    <row r="913" spans="1:64" hidden="1" outlineLevel="1">
      <c r="A913" s="9"/>
      <c r="B913" s="9"/>
      <c r="C913" s="44"/>
      <c r="D913" s="337">
        <f>Asset24</f>
        <v>0</v>
      </c>
      <c r="E913" s="9"/>
      <c r="F913" s="9"/>
      <c r="G913" s="207">
        <f>'Adjustment for previous period'!G647</f>
        <v>0</v>
      </c>
      <c r="H913" s="35"/>
      <c r="I913" s="35"/>
      <c r="J913" s="35"/>
      <c r="K913" s="35"/>
      <c r="L913" s="35"/>
      <c r="M913" s="35"/>
      <c r="N913" s="29"/>
      <c r="O913" s="29"/>
      <c r="P913" s="29"/>
      <c r="Q913" s="29"/>
      <c r="R913" s="29"/>
      <c r="S913" s="104"/>
      <c r="T913" s="104"/>
      <c r="U913" s="104"/>
      <c r="V913" s="104"/>
      <c r="W913" s="104"/>
      <c r="X913" s="104"/>
      <c r="Y913" s="104"/>
      <c r="Z913" s="104"/>
      <c r="AA913" s="231"/>
      <c r="AB913" s="231"/>
      <c r="AC913" s="231"/>
      <c r="AD913" s="231"/>
      <c r="AE913" s="231"/>
      <c r="AF913" s="231"/>
      <c r="AG913" s="231"/>
      <c r="AH913" s="231"/>
      <c r="AI913" s="231"/>
      <c r="AJ913" s="231"/>
      <c r="AK913" s="231"/>
      <c r="AL913" s="231"/>
      <c r="AM913" s="231"/>
      <c r="AN913" s="231"/>
      <c r="AO913" s="231"/>
      <c r="AP913" s="231"/>
      <c r="AQ913" s="231"/>
      <c r="AR913" s="231"/>
      <c r="AS913" s="231"/>
      <c r="AT913" s="231"/>
      <c r="AU913" s="231"/>
      <c r="AV913" s="231"/>
      <c r="AW913" s="231"/>
      <c r="AX913" s="231"/>
      <c r="AY913" s="231"/>
      <c r="AZ913" s="231"/>
      <c r="BA913" s="231"/>
      <c r="BB913" s="231"/>
      <c r="BC913" s="231"/>
      <c r="BD913" s="104"/>
      <c r="BE913" s="104"/>
      <c r="BF913" s="104"/>
      <c r="BG913" s="104"/>
      <c r="BH913" s="104"/>
      <c r="BI913" s="104"/>
      <c r="BJ913" s="104"/>
      <c r="BK913" s="12"/>
      <c r="BL913" s="12"/>
    </row>
    <row r="914" spans="1:64" hidden="1" outlineLevel="1">
      <c r="A914" s="9"/>
      <c r="B914" s="9"/>
      <c r="C914" s="44"/>
      <c r="D914" s="337">
        <f>Asset25</f>
        <v>0</v>
      </c>
      <c r="E914" s="9"/>
      <c r="F914" s="9"/>
      <c r="G914" s="207">
        <f>'Adjustment for previous period'!G648</f>
        <v>0</v>
      </c>
      <c r="H914" s="35"/>
      <c r="I914" s="35"/>
      <c r="J914" s="35"/>
      <c r="K914" s="35"/>
      <c r="L914" s="35"/>
      <c r="M914" s="35"/>
      <c r="N914" s="29"/>
      <c r="O914" s="29"/>
      <c r="P914" s="29"/>
      <c r="Q914" s="29"/>
      <c r="R914" s="29"/>
      <c r="S914" s="104"/>
      <c r="T914" s="104"/>
      <c r="U914" s="104"/>
      <c r="V914" s="104"/>
      <c r="W914" s="104"/>
      <c r="X914" s="104"/>
      <c r="Y914" s="104"/>
      <c r="Z914" s="104"/>
      <c r="AA914" s="231"/>
      <c r="AB914" s="231"/>
      <c r="AC914" s="231"/>
      <c r="AD914" s="231"/>
      <c r="AE914" s="231"/>
      <c r="AF914" s="231"/>
      <c r="AG914" s="231"/>
      <c r="AH914" s="231"/>
      <c r="AI914" s="231"/>
      <c r="AJ914" s="231"/>
      <c r="AK914" s="231"/>
      <c r="AL914" s="231"/>
      <c r="AM914" s="231"/>
      <c r="AN914" s="231"/>
      <c r="AO914" s="231"/>
      <c r="AP914" s="231"/>
      <c r="AQ914" s="231"/>
      <c r="AR914" s="231"/>
      <c r="AS914" s="231"/>
      <c r="AT914" s="231"/>
      <c r="AU914" s="231"/>
      <c r="AV914" s="231"/>
      <c r="AW914" s="231"/>
      <c r="AX914" s="231"/>
      <c r="AY914" s="231"/>
      <c r="AZ914" s="231"/>
      <c r="BA914" s="231"/>
      <c r="BB914" s="231"/>
      <c r="BC914" s="231"/>
      <c r="BD914" s="104"/>
      <c r="BE914" s="104"/>
      <c r="BF914" s="104"/>
      <c r="BG914" s="104"/>
      <c r="BH914" s="104"/>
      <c r="BI914" s="104"/>
      <c r="BJ914" s="104"/>
      <c r="BK914" s="12"/>
      <c r="BL914" s="12"/>
    </row>
    <row r="915" spans="1:64" hidden="1" outlineLevel="1">
      <c r="A915" s="9"/>
      <c r="B915" s="9"/>
      <c r="C915" s="44"/>
      <c r="D915" s="337">
        <f>Asset26</f>
        <v>0</v>
      </c>
      <c r="E915" s="9"/>
      <c r="F915" s="9"/>
      <c r="G915" s="207">
        <f>'Adjustment for previous period'!G649</f>
        <v>0</v>
      </c>
      <c r="H915" s="35"/>
      <c r="I915" s="35"/>
      <c r="J915" s="35"/>
      <c r="K915" s="35"/>
      <c r="L915" s="35"/>
      <c r="M915" s="35"/>
      <c r="N915" s="29"/>
      <c r="O915" s="29"/>
      <c r="P915" s="29"/>
      <c r="Q915" s="29"/>
      <c r="R915" s="29"/>
      <c r="S915" s="104"/>
      <c r="T915" s="104"/>
      <c r="U915" s="104"/>
      <c r="V915" s="104"/>
      <c r="W915" s="104"/>
      <c r="X915" s="104"/>
      <c r="Y915" s="104"/>
      <c r="Z915" s="104"/>
      <c r="AA915" s="231"/>
      <c r="AB915" s="231"/>
      <c r="AC915" s="231"/>
      <c r="AD915" s="231"/>
      <c r="AE915" s="231"/>
      <c r="AF915" s="231"/>
      <c r="AG915" s="231"/>
      <c r="AH915" s="231"/>
      <c r="AI915" s="231"/>
      <c r="AJ915" s="231"/>
      <c r="AK915" s="231"/>
      <c r="AL915" s="231"/>
      <c r="AM915" s="231"/>
      <c r="AN915" s="231"/>
      <c r="AO915" s="231"/>
      <c r="AP915" s="231"/>
      <c r="AQ915" s="231"/>
      <c r="AR915" s="231"/>
      <c r="AS915" s="231"/>
      <c r="AT915" s="231"/>
      <c r="AU915" s="231"/>
      <c r="AV915" s="231"/>
      <c r="AW915" s="231"/>
      <c r="AX915" s="231"/>
      <c r="AY915" s="231"/>
      <c r="AZ915" s="231"/>
      <c r="BA915" s="231"/>
      <c r="BB915" s="231"/>
      <c r="BC915" s="231"/>
      <c r="BD915" s="104"/>
      <c r="BE915" s="104"/>
      <c r="BF915" s="104"/>
      <c r="BG915" s="104"/>
      <c r="BH915" s="104"/>
      <c r="BI915" s="104"/>
      <c r="BJ915" s="104"/>
      <c r="BK915" s="12"/>
      <c r="BL915" s="12"/>
    </row>
    <row r="916" spans="1:64" hidden="1" outlineLevel="1">
      <c r="A916" s="9"/>
      <c r="B916" s="9"/>
      <c r="C916" s="44"/>
      <c r="D916" s="337">
        <f>Asset27</f>
        <v>0</v>
      </c>
      <c r="E916" s="9"/>
      <c r="F916" s="9"/>
      <c r="G916" s="207">
        <f>'Adjustment for previous period'!G650</f>
        <v>0</v>
      </c>
      <c r="H916" s="35"/>
      <c r="I916" s="35"/>
      <c r="J916" s="35"/>
      <c r="K916" s="35"/>
      <c r="L916" s="35"/>
      <c r="M916" s="35"/>
      <c r="N916" s="29"/>
      <c r="O916" s="29"/>
      <c r="P916" s="29"/>
      <c r="Q916" s="29"/>
      <c r="R916" s="29"/>
      <c r="S916" s="104"/>
      <c r="T916" s="104"/>
      <c r="U916" s="104"/>
      <c r="V916" s="104"/>
      <c r="W916" s="104"/>
      <c r="X916" s="104"/>
      <c r="Y916" s="104"/>
      <c r="Z916" s="104"/>
      <c r="AA916" s="231"/>
      <c r="AB916" s="231"/>
      <c r="AC916" s="231"/>
      <c r="AD916" s="231"/>
      <c r="AE916" s="231"/>
      <c r="AF916" s="231"/>
      <c r="AG916" s="231"/>
      <c r="AH916" s="231"/>
      <c r="AI916" s="231"/>
      <c r="AJ916" s="231"/>
      <c r="AK916" s="231"/>
      <c r="AL916" s="231"/>
      <c r="AM916" s="231"/>
      <c r="AN916" s="231"/>
      <c r="AO916" s="231"/>
      <c r="AP916" s="231"/>
      <c r="AQ916" s="231"/>
      <c r="AR916" s="231"/>
      <c r="AS916" s="231"/>
      <c r="AT916" s="231"/>
      <c r="AU916" s="231"/>
      <c r="AV916" s="231"/>
      <c r="AW916" s="231"/>
      <c r="AX916" s="231"/>
      <c r="AY916" s="231"/>
      <c r="AZ916" s="231"/>
      <c r="BA916" s="231"/>
      <c r="BB916" s="231"/>
      <c r="BC916" s="231"/>
      <c r="BD916" s="104"/>
      <c r="BE916" s="104"/>
      <c r="BF916" s="104"/>
      <c r="BG916" s="104"/>
      <c r="BH916" s="104"/>
      <c r="BI916" s="104"/>
      <c r="BJ916" s="104"/>
      <c r="BK916" s="12"/>
      <c r="BL916" s="12"/>
    </row>
    <row r="917" spans="1:64" hidden="1" outlineLevel="1">
      <c r="A917" s="9"/>
      <c r="B917" s="9"/>
      <c r="C917" s="44"/>
      <c r="D917" s="337">
        <f>Asset28</f>
        <v>0</v>
      </c>
      <c r="E917" s="9"/>
      <c r="F917" s="9"/>
      <c r="G917" s="207">
        <f>'Adjustment for previous period'!G651</f>
        <v>0</v>
      </c>
      <c r="H917" s="35"/>
      <c r="I917" s="35"/>
      <c r="J917" s="35"/>
      <c r="K917" s="35"/>
      <c r="L917" s="35"/>
      <c r="M917" s="35"/>
      <c r="N917" s="29"/>
      <c r="O917" s="29"/>
      <c r="P917" s="29"/>
      <c r="Q917" s="29"/>
      <c r="R917" s="29"/>
      <c r="S917" s="104"/>
      <c r="T917" s="104"/>
      <c r="U917" s="104"/>
      <c r="V917" s="104"/>
      <c r="W917" s="104"/>
      <c r="X917" s="104"/>
      <c r="Y917" s="104"/>
      <c r="Z917" s="104"/>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104"/>
      <c r="BE917" s="104"/>
      <c r="BF917" s="104"/>
      <c r="BG917" s="104"/>
      <c r="BH917" s="104"/>
      <c r="BI917" s="104"/>
      <c r="BJ917" s="104"/>
      <c r="BK917" s="12"/>
      <c r="BL917" s="12"/>
    </row>
    <row r="918" spans="1:64" hidden="1" outlineLevel="1">
      <c r="A918" s="9"/>
      <c r="B918" s="9"/>
      <c r="C918" s="44"/>
      <c r="D918" s="337">
        <f>Asset29</f>
        <v>0</v>
      </c>
      <c r="E918" s="9"/>
      <c r="F918" s="9"/>
      <c r="G918" s="207">
        <f>'Adjustment for previous period'!G652</f>
        <v>0</v>
      </c>
      <c r="H918" s="35"/>
      <c r="I918" s="35"/>
      <c r="J918" s="35"/>
      <c r="K918" s="35"/>
      <c r="L918" s="35"/>
      <c r="M918" s="35"/>
      <c r="N918" s="29"/>
      <c r="O918" s="29"/>
      <c r="P918" s="29"/>
      <c r="Q918" s="29"/>
      <c r="R918" s="29"/>
      <c r="S918" s="104"/>
      <c r="T918" s="104"/>
      <c r="U918" s="104"/>
      <c r="V918" s="104"/>
      <c r="W918" s="104"/>
      <c r="X918" s="104"/>
      <c r="Y918" s="104"/>
      <c r="Z918" s="104"/>
      <c r="AA918" s="231"/>
      <c r="AB918" s="231"/>
      <c r="AC918" s="231"/>
      <c r="AD918" s="231"/>
      <c r="AE918" s="231"/>
      <c r="AF918" s="231"/>
      <c r="AG918" s="231"/>
      <c r="AH918" s="231"/>
      <c r="AI918" s="231"/>
      <c r="AJ918" s="231"/>
      <c r="AK918" s="231"/>
      <c r="AL918" s="231"/>
      <c r="AM918" s="231"/>
      <c r="AN918" s="231"/>
      <c r="AO918" s="231"/>
      <c r="AP918" s="231"/>
      <c r="AQ918" s="231"/>
      <c r="AR918" s="231"/>
      <c r="AS918" s="231"/>
      <c r="AT918" s="231"/>
      <c r="AU918" s="231"/>
      <c r="AV918" s="231"/>
      <c r="AW918" s="231"/>
      <c r="AX918" s="231"/>
      <c r="AY918" s="231"/>
      <c r="AZ918" s="231"/>
      <c r="BA918" s="231"/>
      <c r="BB918" s="231"/>
      <c r="BC918" s="231"/>
      <c r="BD918" s="104"/>
      <c r="BE918" s="104"/>
      <c r="BF918" s="104"/>
      <c r="BG918" s="104"/>
      <c r="BH918" s="104"/>
      <c r="BI918" s="104"/>
      <c r="BJ918" s="104"/>
      <c r="BK918" s="12"/>
      <c r="BL918" s="12"/>
    </row>
    <row r="919" spans="1:64" hidden="1" outlineLevel="1">
      <c r="A919" s="9"/>
      <c r="B919" s="9"/>
      <c r="C919" s="44"/>
      <c r="D919" s="337">
        <f>Asset30</f>
        <v>0</v>
      </c>
      <c r="E919" s="9"/>
      <c r="F919" s="9"/>
      <c r="G919" s="207">
        <f>'Adjustment for previous period'!G653</f>
        <v>0</v>
      </c>
      <c r="H919" s="35"/>
      <c r="I919" s="35"/>
      <c r="J919" s="35"/>
      <c r="K919" s="35"/>
      <c r="L919" s="35"/>
      <c r="M919" s="35"/>
      <c r="N919" s="29"/>
      <c r="O919" s="29"/>
      <c r="P919" s="29"/>
      <c r="Q919" s="29"/>
      <c r="R919" s="29"/>
      <c r="S919" s="104"/>
      <c r="T919" s="104"/>
      <c r="U919" s="104"/>
      <c r="V919" s="104"/>
      <c r="W919" s="104"/>
      <c r="X919" s="104"/>
      <c r="Y919" s="104"/>
      <c r="Z919" s="104"/>
      <c r="AA919" s="231"/>
      <c r="AB919" s="231"/>
      <c r="AC919" s="231"/>
      <c r="AD919" s="231"/>
      <c r="AE919" s="231"/>
      <c r="AF919" s="231"/>
      <c r="AG919" s="231"/>
      <c r="AH919" s="231"/>
      <c r="AI919" s="231"/>
      <c r="AJ919" s="231"/>
      <c r="AK919" s="231"/>
      <c r="AL919" s="231"/>
      <c r="AM919" s="231"/>
      <c r="AN919" s="231"/>
      <c r="AO919" s="231"/>
      <c r="AP919" s="231"/>
      <c r="AQ919" s="231"/>
      <c r="AR919" s="231"/>
      <c r="AS919" s="231"/>
      <c r="AT919" s="231"/>
      <c r="AU919" s="231"/>
      <c r="AV919" s="231"/>
      <c r="AW919" s="231"/>
      <c r="AX919" s="231"/>
      <c r="AY919" s="231"/>
      <c r="AZ919" s="231"/>
      <c r="BA919" s="231"/>
      <c r="BB919" s="231"/>
      <c r="BC919" s="231"/>
      <c r="BD919" s="104"/>
      <c r="BE919" s="104"/>
      <c r="BF919" s="104"/>
      <c r="BG919" s="104"/>
      <c r="BH919" s="104"/>
      <c r="BI919" s="104"/>
      <c r="BJ919" s="104"/>
      <c r="BK919" s="12"/>
      <c r="BL919" s="12"/>
    </row>
    <row r="920" spans="1:64" collapsed="1">
      <c r="A920" s="9"/>
      <c r="B920" s="9"/>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c r="AA920" s="231"/>
      <c r="AB920" s="231"/>
      <c r="AC920" s="231"/>
      <c r="AD920" s="231"/>
      <c r="AE920" s="231"/>
      <c r="AF920" s="231"/>
      <c r="AG920" s="231"/>
      <c r="AH920" s="231"/>
      <c r="AI920" s="231"/>
      <c r="AJ920" s="231"/>
      <c r="AK920" s="231"/>
      <c r="AL920" s="231"/>
      <c r="AM920" s="231"/>
      <c r="AN920" s="231"/>
      <c r="AO920" s="231"/>
      <c r="AP920" s="231"/>
      <c r="AQ920" s="231"/>
      <c r="AR920" s="231"/>
      <c r="AS920" s="231"/>
      <c r="AT920" s="231"/>
      <c r="AU920" s="231"/>
      <c r="AV920" s="231"/>
      <c r="AW920" s="231"/>
      <c r="AX920" s="231"/>
      <c r="AY920" s="231"/>
      <c r="AZ920" s="231"/>
      <c r="BA920" s="231"/>
      <c r="BB920" s="231"/>
      <c r="BC920" s="231"/>
      <c r="BD920" s="104"/>
      <c r="BE920" s="104"/>
      <c r="BF920" s="104"/>
      <c r="BG920" s="104"/>
      <c r="BH920" s="104"/>
      <c r="BI920" s="104"/>
      <c r="BJ920" s="104"/>
      <c r="BK920" s="12"/>
      <c r="BL920" s="12"/>
    </row>
    <row r="921" spans="1:64">
      <c r="A921" s="9"/>
      <c r="B921" s="9"/>
      <c r="C921" s="472" t="s">
        <v>102</v>
      </c>
      <c r="D921" s="473"/>
      <c r="E921" s="474"/>
      <c r="F921" s="474"/>
      <c r="G921" s="475">
        <f>SUM(G922:G941)</f>
        <v>0</v>
      </c>
      <c r="H921" s="104"/>
      <c r="I921" s="104"/>
      <c r="J921" s="104"/>
      <c r="K921" s="104"/>
      <c r="L921" s="104"/>
      <c r="M921" s="104"/>
      <c r="N921" s="104"/>
      <c r="O921" s="104"/>
      <c r="P921" s="104"/>
      <c r="Q921" s="104"/>
      <c r="R921" s="104"/>
      <c r="S921" s="104"/>
      <c r="T921" s="104"/>
      <c r="U921" s="104"/>
      <c r="V921" s="104"/>
      <c r="W921" s="104"/>
      <c r="X921" s="104"/>
      <c r="Y921" s="104"/>
      <c r="Z921" s="104"/>
      <c r="AA921" s="231"/>
      <c r="AB921" s="231"/>
      <c r="AC921" s="231"/>
      <c r="AD921" s="231"/>
      <c r="AE921" s="231"/>
      <c r="AF921" s="231"/>
      <c r="AG921" s="231"/>
      <c r="AH921" s="231"/>
      <c r="AI921" s="231"/>
      <c r="AJ921" s="231"/>
      <c r="AK921" s="231"/>
      <c r="AL921" s="231"/>
      <c r="AM921" s="231"/>
      <c r="AN921" s="231"/>
      <c r="AO921" s="231"/>
      <c r="AP921" s="231"/>
      <c r="AQ921" s="231"/>
      <c r="AR921" s="231"/>
      <c r="AS921" s="231"/>
      <c r="AT921" s="231"/>
      <c r="AU921" s="231"/>
      <c r="AV921" s="231"/>
      <c r="AW921" s="231"/>
      <c r="AX921" s="231"/>
      <c r="AY921" s="231"/>
      <c r="AZ921" s="231"/>
      <c r="BA921" s="231"/>
      <c r="BB921" s="231"/>
      <c r="BC921" s="231"/>
      <c r="BD921" s="104"/>
      <c r="BE921" s="104"/>
      <c r="BF921" s="104"/>
      <c r="BG921" s="104"/>
      <c r="BH921" s="104"/>
      <c r="BI921" s="104"/>
      <c r="BJ921" s="104"/>
      <c r="BK921" s="12"/>
      <c r="BL921" s="12"/>
    </row>
    <row r="922" spans="1:64" hidden="1" outlineLevel="1">
      <c r="A922" s="9"/>
      <c r="B922" s="9"/>
      <c r="C922" s="104"/>
      <c r="D922" s="131" t="str">
        <f>Asset1</f>
        <v>Subtransmission</v>
      </c>
      <c r="E922" s="104"/>
      <c r="F922" s="104"/>
      <c r="G922" s="475">
        <f>Input!N7</f>
        <v>0</v>
      </c>
      <c r="H922" s="104"/>
      <c r="I922" s="104"/>
      <c r="J922" s="104"/>
      <c r="K922" s="104"/>
      <c r="L922" s="104"/>
      <c r="M922" s="104"/>
      <c r="N922" s="104"/>
      <c r="O922" s="104"/>
      <c r="P922" s="104"/>
      <c r="Q922" s="104"/>
      <c r="R922" s="104"/>
      <c r="S922" s="104"/>
      <c r="T922" s="104"/>
      <c r="U922" s="104"/>
      <c r="V922" s="104"/>
      <c r="W922" s="104"/>
      <c r="X922" s="104"/>
      <c r="Y922" s="104"/>
      <c r="Z922" s="104"/>
      <c r="AA922" s="231"/>
      <c r="AB922" s="231"/>
      <c r="AC922" s="231"/>
      <c r="AD922" s="231"/>
      <c r="AE922" s="231"/>
      <c r="AF922" s="231"/>
      <c r="AG922" s="231"/>
      <c r="AH922" s="231"/>
      <c r="AI922" s="231"/>
      <c r="AJ922" s="231"/>
      <c r="AK922" s="231"/>
      <c r="AL922" s="231"/>
      <c r="AM922" s="231"/>
      <c r="AN922" s="231"/>
      <c r="AO922" s="231"/>
      <c r="AP922" s="231"/>
      <c r="AQ922" s="231"/>
      <c r="AR922" s="231"/>
      <c r="AS922" s="231"/>
      <c r="AT922" s="231"/>
      <c r="AU922" s="231"/>
      <c r="AV922" s="231"/>
      <c r="AW922" s="231"/>
      <c r="AX922" s="231"/>
      <c r="AY922" s="231"/>
      <c r="AZ922" s="231"/>
      <c r="BA922" s="231"/>
      <c r="BB922" s="231"/>
      <c r="BC922" s="231"/>
      <c r="BD922" s="104"/>
      <c r="BE922" s="104"/>
      <c r="BF922" s="104"/>
      <c r="BG922" s="104"/>
      <c r="BH922" s="104"/>
      <c r="BI922" s="104"/>
      <c r="BJ922" s="104"/>
      <c r="BK922" s="12"/>
      <c r="BL922" s="12"/>
    </row>
    <row r="923" spans="1:64" hidden="1" outlineLevel="1">
      <c r="A923" s="9"/>
      <c r="B923" s="9"/>
      <c r="C923" s="104"/>
      <c r="D923" s="131" t="str">
        <f>Asset2</f>
        <v>Distribution system assets</v>
      </c>
      <c r="E923" s="104"/>
      <c r="F923" s="104"/>
      <c r="G923" s="475">
        <f>Input!N8</f>
        <v>0</v>
      </c>
      <c r="H923" s="104"/>
      <c r="I923" s="104"/>
      <c r="J923" s="104"/>
      <c r="K923" s="104"/>
      <c r="L923" s="104"/>
      <c r="M923" s="104"/>
      <c r="N923" s="104"/>
      <c r="O923" s="104"/>
      <c r="P923" s="104"/>
      <c r="Q923" s="104"/>
      <c r="R923" s="104"/>
      <c r="S923" s="104"/>
      <c r="T923" s="104"/>
      <c r="U923" s="104"/>
      <c r="V923" s="104"/>
      <c r="W923" s="104"/>
      <c r="X923" s="104"/>
      <c r="Y923" s="104"/>
      <c r="Z923" s="104"/>
      <c r="AA923" s="231"/>
      <c r="AB923" s="231"/>
      <c r="AC923" s="231"/>
      <c r="AD923" s="231"/>
      <c r="AE923" s="231"/>
      <c r="AF923" s="231"/>
      <c r="AG923" s="231"/>
      <c r="AH923" s="231"/>
      <c r="AI923" s="231"/>
      <c r="AJ923" s="231"/>
      <c r="AK923" s="231"/>
      <c r="AL923" s="231"/>
      <c r="AM923" s="231"/>
      <c r="AN923" s="231"/>
      <c r="AO923" s="231"/>
      <c r="AP923" s="231"/>
      <c r="AQ923" s="231"/>
      <c r="AR923" s="231"/>
      <c r="AS923" s="231"/>
      <c r="AT923" s="231"/>
      <c r="AU923" s="231"/>
      <c r="AV923" s="231"/>
      <c r="AW923" s="231"/>
      <c r="AX923" s="231"/>
      <c r="AY923" s="231"/>
      <c r="AZ923" s="231"/>
      <c r="BA923" s="231"/>
      <c r="BB923" s="231"/>
      <c r="BC923" s="231"/>
      <c r="BD923" s="104"/>
      <c r="BE923" s="104"/>
      <c r="BF923" s="104"/>
      <c r="BG923" s="104"/>
      <c r="BH923" s="104"/>
      <c r="BI923" s="104"/>
      <c r="BJ923" s="104"/>
      <c r="BK923" s="12"/>
      <c r="BL923" s="12"/>
    </row>
    <row r="924" spans="1:64" hidden="1" outlineLevel="1">
      <c r="A924" s="9"/>
      <c r="B924" s="9"/>
      <c r="C924" s="104"/>
      <c r="D924" s="131" t="str">
        <f>Asset3</f>
        <v>Standard metering</v>
      </c>
      <c r="E924" s="104"/>
      <c r="F924" s="104"/>
      <c r="G924" s="475">
        <f>Input!N9</f>
        <v>0</v>
      </c>
      <c r="H924" s="104"/>
      <c r="I924" s="104"/>
      <c r="J924" s="104"/>
      <c r="K924" s="104"/>
      <c r="L924" s="104"/>
      <c r="M924" s="104"/>
      <c r="N924" s="104"/>
      <c r="O924" s="104"/>
      <c r="P924" s="104"/>
      <c r="Q924" s="104"/>
      <c r="R924" s="104"/>
      <c r="S924" s="104"/>
      <c r="T924" s="104"/>
      <c r="U924" s="104"/>
      <c r="V924" s="104"/>
      <c r="W924" s="104"/>
      <c r="X924" s="104"/>
      <c r="Y924" s="104"/>
      <c r="Z924" s="104"/>
      <c r="AA924" s="231"/>
      <c r="AB924" s="231"/>
      <c r="AC924" s="231"/>
      <c r="AD924" s="231"/>
      <c r="AE924" s="231"/>
      <c r="AF924" s="231"/>
      <c r="AG924" s="231"/>
      <c r="AH924" s="231"/>
      <c r="AI924" s="231"/>
      <c r="AJ924" s="231"/>
      <c r="AK924" s="231"/>
      <c r="AL924" s="231"/>
      <c r="AM924" s="231"/>
      <c r="AN924" s="231"/>
      <c r="AO924" s="231"/>
      <c r="AP924" s="231"/>
      <c r="AQ924" s="231"/>
      <c r="AR924" s="231"/>
      <c r="AS924" s="231"/>
      <c r="AT924" s="231"/>
      <c r="AU924" s="231"/>
      <c r="AV924" s="231"/>
      <c r="AW924" s="231"/>
      <c r="AX924" s="231"/>
      <c r="AY924" s="231"/>
      <c r="AZ924" s="231"/>
      <c r="BA924" s="231"/>
      <c r="BB924" s="231"/>
      <c r="BC924" s="231"/>
      <c r="BD924" s="104"/>
      <c r="BE924" s="104"/>
      <c r="BF924" s="104"/>
      <c r="BG924" s="104"/>
      <c r="BH924" s="104"/>
      <c r="BI924" s="104"/>
      <c r="BJ924" s="104"/>
      <c r="BK924" s="12"/>
      <c r="BL924" s="12"/>
    </row>
    <row r="925" spans="1:64" hidden="1" outlineLevel="1">
      <c r="A925" s="9"/>
      <c r="B925" s="9"/>
      <c r="C925" s="104"/>
      <c r="D925" s="131" t="str">
        <f>Asset4</f>
        <v>Public lighting</v>
      </c>
      <c r="E925" s="104"/>
      <c r="F925" s="104"/>
      <c r="G925" s="475">
        <f>Input!N10</f>
        <v>0</v>
      </c>
      <c r="H925" s="104"/>
      <c r="I925" s="104"/>
      <c r="J925" s="104"/>
      <c r="K925" s="104"/>
      <c r="L925" s="104"/>
      <c r="M925" s="104"/>
      <c r="N925" s="104"/>
      <c r="O925" s="104"/>
      <c r="P925" s="104"/>
      <c r="Q925" s="104"/>
      <c r="R925" s="104"/>
      <c r="S925" s="104"/>
      <c r="T925" s="104"/>
      <c r="U925" s="104"/>
      <c r="V925" s="104"/>
      <c r="W925" s="104"/>
      <c r="X925" s="104"/>
      <c r="Y925" s="104"/>
      <c r="Z925" s="104"/>
      <c r="AA925" s="231"/>
      <c r="AB925" s="231"/>
      <c r="AC925" s="231"/>
      <c r="AD925" s="231"/>
      <c r="AE925" s="231"/>
      <c r="AF925" s="231"/>
      <c r="AG925" s="231"/>
      <c r="AH925" s="231"/>
      <c r="AI925" s="231"/>
      <c r="AJ925" s="231"/>
      <c r="AK925" s="231"/>
      <c r="AL925" s="231"/>
      <c r="AM925" s="231"/>
      <c r="AN925" s="231"/>
      <c r="AO925" s="231"/>
      <c r="AP925" s="231"/>
      <c r="AQ925" s="231"/>
      <c r="AR925" s="231"/>
      <c r="AS925" s="231"/>
      <c r="AT925" s="231"/>
      <c r="AU925" s="231"/>
      <c r="AV925" s="231"/>
      <c r="AW925" s="231"/>
      <c r="AX925" s="231"/>
      <c r="AY925" s="231"/>
      <c r="AZ925" s="231"/>
      <c r="BA925" s="231"/>
      <c r="BB925" s="231"/>
      <c r="BC925" s="231"/>
      <c r="BD925" s="104"/>
      <c r="BE925" s="104"/>
      <c r="BF925" s="104"/>
      <c r="BG925" s="104"/>
      <c r="BH925" s="104"/>
      <c r="BI925" s="104"/>
      <c r="BJ925" s="104"/>
      <c r="BK925" s="12"/>
      <c r="BL925" s="12"/>
    </row>
    <row r="926" spans="1:64" hidden="1" outlineLevel="1">
      <c r="A926" s="9"/>
      <c r="B926" s="9"/>
      <c r="C926" s="104"/>
      <c r="D926" s="131" t="str">
        <f>Asset5</f>
        <v>SCADA/Network control</v>
      </c>
      <c r="E926" s="104"/>
      <c r="F926" s="104"/>
      <c r="G926" s="475">
        <f>Input!N11</f>
        <v>0</v>
      </c>
      <c r="H926" s="104"/>
      <c r="I926" s="104"/>
      <c r="J926" s="104"/>
      <c r="K926" s="104"/>
      <c r="L926" s="104"/>
      <c r="M926" s="104"/>
      <c r="N926" s="104"/>
      <c r="O926" s="104"/>
      <c r="P926" s="104"/>
      <c r="Q926" s="104"/>
      <c r="R926" s="104"/>
      <c r="S926" s="104"/>
      <c r="T926" s="104"/>
      <c r="U926" s="104"/>
      <c r="V926" s="104"/>
      <c r="W926" s="104"/>
      <c r="X926" s="104"/>
      <c r="Y926" s="104"/>
      <c r="Z926" s="104"/>
      <c r="AA926" s="231"/>
      <c r="AB926" s="231"/>
      <c r="AC926" s="231"/>
      <c r="AD926" s="231"/>
      <c r="AE926" s="231"/>
      <c r="AF926" s="231"/>
      <c r="AG926" s="231"/>
      <c r="AH926" s="231"/>
      <c r="AI926" s="231"/>
      <c r="AJ926" s="231"/>
      <c r="AK926" s="231"/>
      <c r="AL926" s="231"/>
      <c r="AM926" s="231"/>
      <c r="AN926" s="231"/>
      <c r="AO926" s="231"/>
      <c r="AP926" s="231"/>
      <c r="AQ926" s="231"/>
      <c r="AR926" s="231"/>
      <c r="AS926" s="231"/>
      <c r="AT926" s="231"/>
      <c r="AU926" s="231"/>
      <c r="AV926" s="231"/>
      <c r="AW926" s="231"/>
      <c r="AX926" s="231"/>
      <c r="AY926" s="231"/>
      <c r="AZ926" s="231"/>
      <c r="BA926" s="231"/>
      <c r="BB926" s="231"/>
      <c r="BC926" s="231"/>
      <c r="BD926" s="104"/>
      <c r="BE926" s="104"/>
      <c r="BF926" s="104"/>
      <c r="BG926" s="104"/>
      <c r="BH926" s="104"/>
      <c r="BI926" s="104"/>
      <c r="BJ926" s="104"/>
      <c r="BK926" s="12"/>
      <c r="BL926" s="12"/>
    </row>
    <row r="927" spans="1:64" hidden="1" outlineLevel="1">
      <c r="A927" s="9"/>
      <c r="B927" s="9"/>
      <c r="C927" s="104"/>
      <c r="D927" s="131" t="str">
        <f>Asset6</f>
        <v>Non-network general assets - IT</v>
      </c>
      <c r="E927" s="104"/>
      <c r="F927" s="104"/>
      <c r="G927" s="475">
        <f>Input!N12</f>
        <v>0</v>
      </c>
      <c r="H927" s="104"/>
      <c r="I927" s="104"/>
      <c r="J927" s="104"/>
      <c r="K927" s="104"/>
      <c r="L927" s="104"/>
      <c r="M927" s="104"/>
      <c r="N927" s="104"/>
      <c r="O927" s="104"/>
      <c r="P927" s="104"/>
      <c r="Q927" s="104"/>
      <c r="R927" s="104"/>
      <c r="S927" s="104"/>
      <c r="T927" s="104"/>
      <c r="U927" s="104"/>
      <c r="V927" s="104"/>
      <c r="W927" s="104"/>
      <c r="X927" s="104"/>
      <c r="Y927" s="104"/>
      <c r="Z927" s="104"/>
      <c r="AA927" s="231"/>
      <c r="AB927" s="231"/>
      <c r="AC927" s="231"/>
      <c r="AD927" s="231"/>
      <c r="AE927" s="231"/>
      <c r="AF927" s="231"/>
      <c r="AG927" s="231"/>
      <c r="AH927" s="231"/>
      <c r="AI927" s="231"/>
      <c r="AJ927" s="231"/>
      <c r="AK927" s="231"/>
      <c r="AL927" s="231"/>
      <c r="AM927" s="231"/>
      <c r="AN927" s="231"/>
      <c r="AO927" s="231"/>
      <c r="AP927" s="231"/>
      <c r="AQ927" s="231"/>
      <c r="AR927" s="231"/>
      <c r="AS927" s="231"/>
      <c r="AT927" s="231"/>
      <c r="AU927" s="231"/>
      <c r="AV927" s="231"/>
      <c r="AW927" s="231"/>
      <c r="AX927" s="231"/>
      <c r="AY927" s="231"/>
      <c r="AZ927" s="231"/>
      <c r="BA927" s="231"/>
      <c r="BB927" s="231"/>
      <c r="BC927" s="231"/>
      <c r="BD927" s="104"/>
      <c r="BE927" s="104"/>
      <c r="BF927" s="104"/>
      <c r="BG927" s="104"/>
      <c r="BH927" s="104"/>
      <c r="BI927" s="104"/>
      <c r="BJ927" s="104"/>
      <c r="BK927" s="12"/>
      <c r="BL927" s="12"/>
    </row>
    <row r="928" spans="1:64" hidden="1" outlineLevel="1">
      <c r="A928" s="9"/>
      <c r="B928" s="9"/>
      <c r="C928" s="104"/>
      <c r="D928" s="131" t="str">
        <f>Asset7</f>
        <v>Non-network general assets - Other</v>
      </c>
      <c r="E928" s="104"/>
      <c r="F928" s="104"/>
      <c r="G928" s="475">
        <f>Input!N13</f>
        <v>0</v>
      </c>
      <c r="H928" s="104"/>
      <c r="I928" s="104"/>
      <c r="J928" s="104"/>
      <c r="K928" s="104"/>
      <c r="L928" s="104"/>
      <c r="M928" s="104"/>
      <c r="N928" s="104"/>
      <c r="O928" s="104"/>
      <c r="P928" s="104"/>
      <c r="Q928" s="104"/>
      <c r="R928" s="104"/>
      <c r="S928" s="104"/>
      <c r="T928" s="104"/>
      <c r="U928" s="104"/>
      <c r="V928" s="104"/>
      <c r="W928" s="104"/>
      <c r="X928" s="104"/>
      <c r="Y928" s="104"/>
      <c r="Z928" s="104"/>
      <c r="AA928" s="231"/>
      <c r="AB928" s="231"/>
      <c r="AC928" s="231"/>
      <c r="AD928" s="231"/>
      <c r="AE928" s="231"/>
      <c r="AF928" s="231"/>
      <c r="AG928" s="231"/>
      <c r="AH928" s="231"/>
      <c r="AI928" s="231"/>
      <c r="AJ928" s="231"/>
      <c r="AK928" s="231"/>
      <c r="AL928" s="231"/>
      <c r="AM928" s="231"/>
      <c r="AN928" s="231"/>
      <c r="AO928" s="231"/>
      <c r="AP928" s="231"/>
      <c r="AQ928" s="231"/>
      <c r="AR928" s="231"/>
      <c r="AS928" s="231"/>
      <c r="AT928" s="231"/>
      <c r="AU928" s="231"/>
      <c r="AV928" s="231"/>
      <c r="AW928" s="231"/>
      <c r="AX928" s="231"/>
      <c r="AY928" s="231"/>
      <c r="AZ928" s="231"/>
      <c r="BA928" s="231"/>
      <c r="BB928" s="231"/>
      <c r="BC928" s="231"/>
      <c r="BD928" s="104"/>
      <c r="BE928" s="104"/>
      <c r="BF928" s="104"/>
      <c r="BG928" s="104"/>
      <c r="BH928" s="104"/>
      <c r="BI928" s="104"/>
      <c r="BJ928" s="104"/>
      <c r="BK928" s="12"/>
      <c r="BL928" s="12"/>
    </row>
    <row r="929" spans="1:64" hidden="1" outlineLevel="1">
      <c r="A929" s="9"/>
      <c r="B929" s="9"/>
      <c r="C929" s="104"/>
      <c r="D929" s="131" t="str">
        <f>Asset8</f>
        <v>Equity Raising Costs</v>
      </c>
      <c r="E929" s="104"/>
      <c r="F929" s="104"/>
      <c r="G929" s="475">
        <f>Input!N14</f>
        <v>0</v>
      </c>
      <c r="H929" s="104"/>
      <c r="I929" s="104"/>
      <c r="J929" s="104"/>
      <c r="K929" s="104"/>
      <c r="L929" s="104"/>
      <c r="M929" s="104"/>
      <c r="N929" s="104"/>
      <c r="O929" s="104"/>
      <c r="P929" s="104"/>
      <c r="Q929" s="104"/>
      <c r="R929" s="104"/>
      <c r="S929" s="104"/>
      <c r="T929" s="104"/>
      <c r="U929" s="104"/>
      <c r="V929" s="104"/>
      <c r="W929" s="104"/>
      <c r="X929" s="104"/>
      <c r="Y929" s="104"/>
      <c r="Z929" s="104"/>
      <c r="AA929" s="231"/>
      <c r="AB929" s="231"/>
      <c r="AC929" s="231"/>
      <c r="AD929" s="231"/>
      <c r="AE929" s="231"/>
      <c r="AF929" s="231"/>
      <c r="AG929" s="231"/>
      <c r="AH929" s="231"/>
      <c r="AI929" s="231"/>
      <c r="AJ929" s="231"/>
      <c r="AK929" s="231"/>
      <c r="AL929" s="231"/>
      <c r="AM929" s="231"/>
      <c r="AN929" s="231"/>
      <c r="AO929" s="231"/>
      <c r="AP929" s="231"/>
      <c r="AQ929" s="231"/>
      <c r="AR929" s="231"/>
      <c r="AS929" s="231"/>
      <c r="AT929" s="231"/>
      <c r="AU929" s="231"/>
      <c r="AV929" s="231"/>
      <c r="AW929" s="231"/>
      <c r="AX929" s="231"/>
      <c r="AY929" s="231"/>
      <c r="AZ929" s="231"/>
      <c r="BA929" s="231"/>
      <c r="BB929" s="231"/>
      <c r="BC929" s="231"/>
      <c r="BD929" s="104"/>
      <c r="BE929" s="104"/>
      <c r="BF929" s="104"/>
      <c r="BG929" s="104"/>
      <c r="BH929" s="104"/>
      <c r="BI929" s="104"/>
      <c r="BJ929" s="104"/>
      <c r="BK929" s="12"/>
      <c r="BL929" s="12"/>
    </row>
    <row r="930" spans="1:64" hidden="1" outlineLevel="1">
      <c r="A930" s="9"/>
      <c r="B930" s="9"/>
      <c r="C930" s="104"/>
      <c r="D930" s="131">
        <f>Asset9</f>
        <v>0</v>
      </c>
      <c r="E930" s="104"/>
      <c r="F930" s="104"/>
      <c r="G930" s="475">
        <f>Input!N15</f>
        <v>0</v>
      </c>
      <c r="H930" s="104"/>
      <c r="I930" s="104"/>
      <c r="J930" s="104"/>
      <c r="K930" s="104"/>
      <c r="L930" s="104"/>
      <c r="M930" s="104"/>
      <c r="N930" s="104"/>
      <c r="O930" s="104"/>
      <c r="P930" s="104"/>
      <c r="Q930" s="104"/>
      <c r="R930" s="104"/>
      <c r="S930" s="104"/>
      <c r="T930" s="104"/>
      <c r="U930" s="104"/>
      <c r="V930" s="104"/>
      <c r="W930" s="104"/>
      <c r="X930" s="104"/>
      <c r="Y930" s="104"/>
      <c r="Z930" s="104"/>
      <c r="AA930" s="231"/>
      <c r="AB930" s="231"/>
      <c r="AC930" s="231"/>
      <c r="AD930" s="231"/>
      <c r="AE930" s="231"/>
      <c r="AF930" s="231"/>
      <c r="AG930" s="231"/>
      <c r="AH930" s="231"/>
      <c r="AI930" s="231"/>
      <c r="AJ930" s="231"/>
      <c r="AK930" s="231"/>
      <c r="AL930" s="231"/>
      <c r="AM930" s="231"/>
      <c r="AN930" s="231"/>
      <c r="AO930" s="231"/>
      <c r="AP930" s="231"/>
      <c r="AQ930" s="231"/>
      <c r="AR930" s="231"/>
      <c r="AS930" s="231"/>
      <c r="AT930" s="231"/>
      <c r="AU930" s="231"/>
      <c r="AV930" s="231"/>
      <c r="AW930" s="231"/>
      <c r="AX930" s="231"/>
      <c r="AY930" s="231"/>
      <c r="AZ930" s="231"/>
      <c r="BA930" s="231"/>
      <c r="BB930" s="231"/>
      <c r="BC930" s="231"/>
      <c r="BD930" s="104"/>
      <c r="BE930" s="104"/>
      <c r="BF930" s="104"/>
      <c r="BG930" s="104"/>
      <c r="BH930" s="104"/>
      <c r="BI930" s="104"/>
      <c r="BJ930" s="104"/>
      <c r="BK930" s="12"/>
      <c r="BL930" s="12"/>
    </row>
    <row r="931" spans="1:64" hidden="1" outlineLevel="1">
      <c r="A931" s="9"/>
      <c r="B931" s="9"/>
      <c r="C931" s="104"/>
      <c r="D931" s="131">
        <f>Asset10</f>
        <v>0</v>
      </c>
      <c r="E931" s="104"/>
      <c r="F931" s="104"/>
      <c r="G931" s="475">
        <f>Input!N16</f>
        <v>0</v>
      </c>
      <c r="H931" s="104"/>
      <c r="I931" s="104"/>
      <c r="J931" s="104"/>
      <c r="K931" s="104"/>
      <c r="L931" s="104"/>
      <c r="M931" s="104"/>
      <c r="N931" s="104"/>
      <c r="O931" s="104"/>
      <c r="P931" s="104"/>
      <c r="Q931" s="104"/>
      <c r="R931" s="104"/>
      <c r="S931" s="104"/>
      <c r="T931" s="104"/>
      <c r="U931" s="104"/>
      <c r="V931" s="104"/>
      <c r="W931" s="104"/>
      <c r="X931" s="104"/>
      <c r="Y931" s="104"/>
      <c r="Z931" s="104"/>
      <c r="AA931" s="231"/>
      <c r="AB931" s="231"/>
      <c r="AC931" s="231"/>
      <c r="AD931" s="231"/>
      <c r="AE931" s="231"/>
      <c r="AF931" s="231"/>
      <c r="AG931" s="231"/>
      <c r="AH931" s="231"/>
      <c r="AI931" s="231"/>
      <c r="AJ931" s="231"/>
      <c r="AK931" s="231"/>
      <c r="AL931" s="231"/>
      <c r="AM931" s="231"/>
      <c r="AN931" s="231"/>
      <c r="AO931" s="231"/>
      <c r="AP931" s="231"/>
      <c r="AQ931" s="231"/>
      <c r="AR931" s="231"/>
      <c r="AS931" s="231"/>
      <c r="AT931" s="231"/>
      <c r="AU931" s="231"/>
      <c r="AV931" s="231"/>
      <c r="AW931" s="231"/>
      <c r="AX931" s="231"/>
      <c r="AY931" s="231"/>
      <c r="AZ931" s="231"/>
      <c r="BA931" s="231"/>
      <c r="BB931" s="231"/>
      <c r="BC931" s="231"/>
      <c r="BD931" s="104"/>
      <c r="BE931" s="104"/>
      <c r="BF931" s="104"/>
      <c r="BG931" s="104"/>
      <c r="BH931" s="104"/>
      <c r="BI931" s="104"/>
      <c r="BJ931" s="104"/>
      <c r="BK931" s="12"/>
      <c r="BL931" s="12"/>
    </row>
    <row r="932" spans="1:64" hidden="1" outlineLevel="1">
      <c r="A932" s="9"/>
      <c r="B932" s="9"/>
      <c r="C932" s="104"/>
      <c r="D932" s="131">
        <f>Asset11</f>
        <v>0</v>
      </c>
      <c r="E932" s="104"/>
      <c r="F932" s="104"/>
      <c r="G932" s="475">
        <f>Input!N17</f>
        <v>0</v>
      </c>
      <c r="H932" s="104"/>
      <c r="I932" s="104"/>
      <c r="J932" s="104"/>
      <c r="K932" s="104"/>
      <c r="L932" s="104"/>
      <c r="M932" s="104"/>
      <c r="N932" s="104"/>
      <c r="O932" s="104"/>
      <c r="P932" s="104"/>
      <c r="Q932" s="104"/>
      <c r="R932" s="104"/>
      <c r="S932" s="104"/>
      <c r="T932" s="104"/>
      <c r="U932" s="104"/>
      <c r="V932" s="104"/>
      <c r="W932" s="104"/>
      <c r="X932" s="104"/>
      <c r="Y932" s="104"/>
      <c r="Z932" s="104"/>
      <c r="AA932" s="231"/>
      <c r="AB932" s="231"/>
      <c r="AC932" s="231"/>
      <c r="AD932" s="231"/>
      <c r="AE932" s="231"/>
      <c r="AF932" s="231"/>
      <c r="AG932" s="231"/>
      <c r="AH932" s="231"/>
      <c r="AI932" s="231"/>
      <c r="AJ932" s="231"/>
      <c r="AK932" s="231"/>
      <c r="AL932" s="231"/>
      <c r="AM932" s="231"/>
      <c r="AN932" s="231"/>
      <c r="AO932" s="231"/>
      <c r="AP932" s="231"/>
      <c r="AQ932" s="231"/>
      <c r="AR932" s="231"/>
      <c r="AS932" s="231"/>
      <c r="AT932" s="231"/>
      <c r="AU932" s="231"/>
      <c r="AV932" s="231"/>
      <c r="AW932" s="231"/>
      <c r="AX932" s="231"/>
      <c r="AY932" s="231"/>
      <c r="AZ932" s="231"/>
      <c r="BA932" s="231"/>
      <c r="BB932" s="231"/>
      <c r="BC932" s="231"/>
      <c r="BD932" s="104"/>
      <c r="BE932" s="104"/>
      <c r="BF932" s="104"/>
      <c r="BG932" s="104"/>
      <c r="BH932" s="104"/>
      <c r="BI932" s="104"/>
      <c r="BJ932" s="104"/>
      <c r="BK932" s="12"/>
      <c r="BL932" s="12"/>
    </row>
    <row r="933" spans="1:64" hidden="1" outlineLevel="1">
      <c r="A933" s="9"/>
      <c r="B933" s="9"/>
      <c r="C933" s="104"/>
      <c r="D933" s="131">
        <f>Asset12</f>
        <v>0</v>
      </c>
      <c r="E933" s="104"/>
      <c r="F933" s="104"/>
      <c r="G933" s="475">
        <f>Input!N18</f>
        <v>0</v>
      </c>
      <c r="H933" s="104"/>
      <c r="I933" s="104"/>
      <c r="J933" s="104"/>
      <c r="K933" s="104"/>
      <c r="L933" s="104"/>
      <c r="M933" s="104"/>
      <c r="N933" s="104"/>
      <c r="O933" s="104"/>
      <c r="P933" s="104"/>
      <c r="Q933" s="104"/>
      <c r="R933" s="104"/>
      <c r="S933" s="104"/>
      <c r="T933" s="104"/>
      <c r="U933" s="104"/>
      <c r="V933" s="104"/>
      <c r="W933" s="104"/>
      <c r="X933" s="104"/>
      <c r="Y933" s="104"/>
      <c r="Z933" s="104"/>
      <c r="AA933" s="231"/>
      <c r="AB933" s="231"/>
      <c r="AC933" s="231"/>
      <c r="AD933" s="231"/>
      <c r="AE933" s="231"/>
      <c r="AF933" s="231"/>
      <c r="AG933" s="231"/>
      <c r="AH933" s="231"/>
      <c r="AI933" s="231"/>
      <c r="AJ933" s="231"/>
      <c r="AK933" s="231"/>
      <c r="AL933" s="231"/>
      <c r="AM933" s="231"/>
      <c r="AN933" s="231"/>
      <c r="AO933" s="231"/>
      <c r="AP933" s="231"/>
      <c r="AQ933" s="231"/>
      <c r="AR933" s="231"/>
      <c r="AS933" s="231"/>
      <c r="AT933" s="231"/>
      <c r="AU933" s="231"/>
      <c r="AV933" s="231"/>
      <c r="AW933" s="231"/>
      <c r="AX933" s="231"/>
      <c r="AY933" s="231"/>
      <c r="AZ933" s="231"/>
      <c r="BA933" s="231"/>
      <c r="BB933" s="231"/>
      <c r="BC933" s="231"/>
      <c r="BD933" s="104"/>
      <c r="BE933" s="104"/>
      <c r="BF933" s="104"/>
      <c r="BG933" s="104"/>
      <c r="BH933" s="104"/>
      <c r="BI933" s="104"/>
      <c r="BJ933" s="104"/>
      <c r="BK933" s="12"/>
      <c r="BL933" s="12"/>
    </row>
    <row r="934" spans="1:64" hidden="1" outlineLevel="1">
      <c r="A934" s="9"/>
      <c r="B934" s="9"/>
      <c r="C934" s="104"/>
      <c r="D934" s="131">
        <f>Asset13</f>
        <v>0</v>
      </c>
      <c r="E934" s="104"/>
      <c r="F934" s="104"/>
      <c r="G934" s="475">
        <f>Input!N19</f>
        <v>0</v>
      </c>
      <c r="H934" s="104"/>
      <c r="I934" s="104"/>
      <c r="J934" s="104"/>
      <c r="K934" s="104"/>
      <c r="L934" s="104"/>
      <c r="M934" s="104"/>
      <c r="N934" s="104"/>
      <c r="O934" s="104"/>
      <c r="P934" s="104"/>
      <c r="Q934" s="104"/>
      <c r="R934" s="104"/>
      <c r="S934" s="104"/>
      <c r="T934" s="104"/>
      <c r="U934" s="104"/>
      <c r="V934" s="104"/>
      <c r="W934" s="104"/>
      <c r="X934" s="104"/>
      <c r="Y934" s="104"/>
      <c r="Z934" s="104"/>
      <c r="AA934" s="231"/>
      <c r="AB934" s="231"/>
      <c r="AC934" s="231"/>
      <c r="AD934" s="231"/>
      <c r="AE934" s="231"/>
      <c r="AF934" s="231"/>
      <c r="AG934" s="231"/>
      <c r="AH934" s="231"/>
      <c r="AI934" s="231"/>
      <c r="AJ934" s="231"/>
      <c r="AK934" s="231"/>
      <c r="AL934" s="231"/>
      <c r="AM934" s="231"/>
      <c r="AN934" s="231"/>
      <c r="AO934" s="231"/>
      <c r="AP934" s="231"/>
      <c r="AQ934" s="231"/>
      <c r="AR934" s="231"/>
      <c r="AS934" s="231"/>
      <c r="AT934" s="231"/>
      <c r="AU934" s="231"/>
      <c r="AV934" s="231"/>
      <c r="AW934" s="231"/>
      <c r="AX934" s="231"/>
      <c r="AY934" s="231"/>
      <c r="AZ934" s="231"/>
      <c r="BA934" s="231"/>
      <c r="BB934" s="231"/>
      <c r="BC934" s="231"/>
      <c r="BD934" s="104"/>
      <c r="BE934" s="104"/>
      <c r="BF934" s="104"/>
      <c r="BG934" s="104"/>
      <c r="BH934" s="104"/>
      <c r="BI934" s="104"/>
      <c r="BJ934" s="104"/>
      <c r="BK934" s="12"/>
      <c r="BL934" s="12"/>
    </row>
    <row r="935" spans="1:64" hidden="1" outlineLevel="1">
      <c r="A935" s="9"/>
      <c r="B935" s="9"/>
      <c r="C935" s="104"/>
      <c r="D935" s="131">
        <f>Asset14</f>
        <v>0</v>
      </c>
      <c r="E935" s="104"/>
      <c r="F935" s="104"/>
      <c r="G935" s="475">
        <f>Input!N20</f>
        <v>0</v>
      </c>
      <c r="H935" s="104"/>
      <c r="I935" s="104"/>
      <c r="J935" s="104"/>
      <c r="K935" s="104"/>
      <c r="L935" s="104"/>
      <c r="M935" s="104"/>
      <c r="N935" s="104"/>
      <c r="O935" s="104"/>
      <c r="P935" s="104"/>
      <c r="Q935" s="104"/>
      <c r="R935" s="104"/>
      <c r="S935" s="104"/>
      <c r="T935" s="104"/>
      <c r="U935" s="104"/>
      <c r="V935" s="104"/>
      <c r="W935" s="104"/>
      <c r="X935" s="104"/>
      <c r="Y935" s="104"/>
      <c r="Z935" s="104"/>
      <c r="AA935" s="231"/>
      <c r="AB935" s="231"/>
      <c r="AC935" s="231"/>
      <c r="AD935" s="231"/>
      <c r="AE935" s="231"/>
      <c r="AF935" s="231"/>
      <c r="AG935" s="231"/>
      <c r="AH935" s="231"/>
      <c r="AI935" s="231"/>
      <c r="AJ935" s="231"/>
      <c r="AK935" s="231"/>
      <c r="AL935" s="231"/>
      <c r="AM935" s="231"/>
      <c r="AN935" s="231"/>
      <c r="AO935" s="231"/>
      <c r="AP935" s="231"/>
      <c r="AQ935" s="231"/>
      <c r="AR935" s="231"/>
      <c r="AS935" s="231"/>
      <c r="AT935" s="231"/>
      <c r="AU935" s="231"/>
      <c r="AV935" s="231"/>
      <c r="AW935" s="231"/>
      <c r="AX935" s="231"/>
      <c r="AY935" s="231"/>
      <c r="AZ935" s="231"/>
      <c r="BA935" s="231"/>
      <c r="BB935" s="231"/>
      <c r="BC935" s="231"/>
      <c r="BD935" s="104"/>
      <c r="BE935" s="104"/>
      <c r="BF935" s="104"/>
      <c r="BG935" s="104"/>
      <c r="BH935" s="104"/>
      <c r="BI935" s="104"/>
      <c r="BJ935" s="104"/>
      <c r="BK935" s="12"/>
      <c r="BL935" s="12"/>
    </row>
    <row r="936" spans="1:64" hidden="1" outlineLevel="1">
      <c r="A936" s="9"/>
      <c r="B936" s="9"/>
      <c r="C936" s="104"/>
      <c r="D936" s="131">
        <f>Asset15</f>
        <v>0</v>
      </c>
      <c r="E936" s="104"/>
      <c r="F936" s="104"/>
      <c r="G936" s="475">
        <f>Input!N21</f>
        <v>0</v>
      </c>
      <c r="H936" s="104"/>
      <c r="I936" s="104"/>
      <c r="J936" s="104"/>
      <c r="K936" s="104"/>
      <c r="L936" s="104"/>
      <c r="M936" s="104"/>
      <c r="N936" s="104"/>
      <c r="O936" s="104"/>
      <c r="P936" s="104"/>
      <c r="Q936" s="104"/>
      <c r="R936" s="104"/>
      <c r="S936" s="104"/>
      <c r="T936" s="104"/>
      <c r="U936" s="104"/>
      <c r="V936" s="104"/>
      <c r="W936" s="104"/>
      <c r="X936" s="104"/>
      <c r="Y936" s="104"/>
      <c r="Z936" s="104"/>
      <c r="AA936" s="231"/>
      <c r="AB936" s="231"/>
      <c r="AC936" s="231"/>
      <c r="AD936" s="231"/>
      <c r="AE936" s="231"/>
      <c r="AF936" s="231"/>
      <c r="AG936" s="231"/>
      <c r="AH936" s="231"/>
      <c r="AI936" s="231"/>
      <c r="AJ936" s="231"/>
      <c r="AK936" s="231"/>
      <c r="AL936" s="231"/>
      <c r="AM936" s="231"/>
      <c r="AN936" s="231"/>
      <c r="AO936" s="231"/>
      <c r="AP936" s="231"/>
      <c r="AQ936" s="231"/>
      <c r="AR936" s="231"/>
      <c r="AS936" s="231"/>
      <c r="AT936" s="231"/>
      <c r="AU936" s="231"/>
      <c r="AV936" s="231"/>
      <c r="AW936" s="231"/>
      <c r="AX936" s="231"/>
      <c r="AY936" s="231"/>
      <c r="AZ936" s="231"/>
      <c r="BA936" s="231"/>
      <c r="BB936" s="231"/>
      <c r="BC936" s="231"/>
      <c r="BD936" s="104"/>
      <c r="BE936" s="104"/>
      <c r="BF936" s="104"/>
      <c r="BG936" s="104"/>
      <c r="BH936" s="104"/>
      <c r="BI936" s="104"/>
      <c r="BJ936" s="104"/>
      <c r="BK936" s="12"/>
      <c r="BL936" s="12"/>
    </row>
    <row r="937" spans="1:64" hidden="1" outlineLevel="1">
      <c r="A937" s="9"/>
      <c r="B937" s="9"/>
      <c r="C937" s="104"/>
      <c r="D937" s="131">
        <f>Asset16</f>
        <v>0</v>
      </c>
      <c r="E937" s="104"/>
      <c r="F937" s="104"/>
      <c r="G937" s="475">
        <f>Input!N22</f>
        <v>0</v>
      </c>
      <c r="H937" s="104"/>
      <c r="I937" s="104"/>
      <c r="J937" s="104"/>
      <c r="K937" s="104"/>
      <c r="L937" s="104"/>
      <c r="M937" s="104"/>
      <c r="N937" s="104"/>
      <c r="O937" s="104"/>
      <c r="P937" s="104"/>
      <c r="Q937" s="104"/>
      <c r="R937" s="104"/>
      <c r="S937" s="104"/>
      <c r="T937" s="104"/>
      <c r="U937" s="104"/>
      <c r="V937" s="104"/>
      <c r="W937" s="104"/>
      <c r="X937" s="104"/>
      <c r="Y937" s="104"/>
      <c r="Z937" s="104"/>
      <c r="AA937" s="231"/>
      <c r="AB937" s="231"/>
      <c r="AC937" s="231"/>
      <c r="AD937" s="231"/>
      <c r="AE937" s="231"/>
      <c r="AF937" s="231"/>
      <c r="AG937" s="231"/>
      <c r="AH937" s="231"/>
      <c r="AI937" s="231"/>
      <c r="AJ937" s="231"/>
      <c r="AK937" s="231"/>
      <c r="AL937" s="231"/>
      <c r="AM937" s="231"/>
      <c r="AN937" s="231"/>
      <c r="AO937" s="231"/>
      <c r="AP937" s="231"/>
      <c r="AQ937" s="231"/>
      <c r="AR937" s="231"/>
      <c r="AS937" s="231"/>
      <c r="AT937" s="231"/>
      <c r="AU937" s="231"/>
      <c r="AV937" s="231"/>
      <c r="AW937" s="231"/>
      <c r="AX937" s="231"/>
      <c r="AY937" s="231"/>
      <c r="AZ937" s="231"/>
      <c r="BA937" s="231"/>
      <c r="BB937" s="231"/>
      <c r="BC937" s="231"/>
      <c r="BD937" s="104"/>
      <c r="BE937" s="104"/>
      <c r="BF937" s="104"/>
      <c r="BG937" s="104"/>
      <c r="BH937" s="104"/>
      <c r="BI937" s="104"/>
      <c r="BJ937" s="104"/>
      <c r="BK937" s="12"/>
      <c r="BL937" s="12"/>
    </row>
    <row r="938" spans="1:64" hidden="1" outlineLevel="1">
      <c r="A938" s="9"/>
      <c r="B938" s="9"/>
      <c r="C938" s="104"/>
      <c r="D938" s="131">
        <f>Asset17</f>
        <v>0</v>
      </c>
      <c r="E938" s="104"/>
      <c r="F938" s="104"/>
      <c r="G938" s="475">
        <f>Input!N23</f>
        <v>0</v>
      </c>
      <c r="H938" s="104"/>
      <c r="I938" s="104"/>
      <c r="J938" s="104"/>
      <c r="K938" s="104"/>
      <c r="L938" s="104"/>
      <c r="M938" s="104"/>
      <c r="N938" s="104"/>
      <c r="O938" s="104"/>
      <c r="P938" s="104"/>
      <c r="Q938" s="104"/>
      <c r="R938" s="104"/>
      <c r="S938" s="104"/>
      <c r="T938" s="104"/>
      <c r="U938" s="104"/>
      <c r="V938" s="104"/>
      <c r="W938" s="104"/>
      <c r="X938" s="104"/>
      <c r="Y938" s="104"/>
      <c r="Z938" s="104"/>
      <c r="AA938" s="231"/>
      <c r="AB938" s="231"/>
      <c r="AC938" s="231"/>
      <c r="AD938" s="231"/>
      <c r="AE938" s="231"/>
      <c r="AF938" s="231"/>
      <c r="AG938" s="231"/>
      <c r="AH938" s="231"/>
      <c r="AI938" s="231"/>
      <c r="AJ938" s="231"/>
      <c r="AK938" s="231"/>
      <c r="AL938" s="231"/>
      <c r="AM938" s="231"/>
      <c r="AN938" s="231"/>
      <c r="AO938" s="231"/>
      <c r="AP938" s="231"/>
      <c r="AQ938" s="231"/>
      <c r="AR938" s="231"/>
      <c r="AS938" s="231"/>
      <c r="AT938" s="231"/>
      <c r="AU938" s="231"/>
      <c r="AV938" s="231"/>
      <c r="AW938" s="231"/>
      <c r="AX938" s="231"/>
      <c r="AY938" s="231"/>
      <c r="AZ938" s="231"/>
      <c r="BA938" s="231"/>
      <c r="BB938" s="231"/>
      <c r="BC938" s="231"/>
      <c r="BD938" s="104"/>
      <c r="BE938" s="104"/>
      <c r="BF938" s="104"/>
      <c r="BG938" s="104"/>
      <c r="BH938" s="104"/>
      <c r="BI938" s="104"/>
      <c r="BJ938" s="104"/>
      <c r="BK938" s="12"/>
      <c r="BL938" s="12"/>
    </row>
    <row r="939" spans="1:64" hidden="1" outlineLevel="1">
      <c r="A939" s="9"/>
      <c r="B939" s="9"/>
      <c r="C939" s="104"/>
      <c r="D939" s="131">
        <f>Asset18</f>
        <v>0</v>
      </c>
      <c r="E939" s="104"/>
      <c r="F939" s="104"/>
      <c r="G939" s="475">
        <f>Input!N24</f>
        <v>0</v>
      </c>
      <c r="H939" s="104"/>
      <c r="I939" s="104"/>
      <c r="J939" s="104"/>
      <c r="K939" s="104"/>
      <c r="L939" s="104"/>
      <c r="M939" s="104"/>
      <c r="N939" s="104"/>
      <c r="O939" s="104"/>
      <c r="P939" s="104"/>
      <c r="Q939" s="104"/>
      <c r="R939" s="104"/>
      <c r="S939" s="104"/>
      <c r="T939" s="104"/>
      <c r="U939" s="104"/>
      <c r="V939" s="104"/>
      <c r="W939" s="104"/>
      <c r="X939" s="104"/>
      <c r="Y939" s="104"/>
      <c r="Z939" s="104"/>
      <c r="AA939" s="231"/>
      <c r="AB939" s="231"/>
      <c r="AC939" s="231"/>
      <c r="AD939" s="231"/>
      <c r="AE939" s="231"/>
      <c r="AF939" s="231"/>
      <c r="AG939" s="231"/>
      <c r="AH939" s="231"/>
      <c r="AI939" s="231"/>
      <c r="AJ939" s="231"/>
      <c r="AK939" s="231"/>
      <c r="AL939" s="231"/>
      <c r="AM939" s="231"/>
      <c r="AN939" s="231"/>
      <c r="AO939" s="231"/>
      <c r="AP939" s="231"/>
      <c r="AQ939" s="231"/>
      <c r="AR939" s="231"/>
      <c r="AS939" s="231"/>
      <c r="AT939" s="231"/>
      <c r="AU939" s="231"/>
      <c r="AV939" s="231"/>
      <c r="AW939" s="231"/>
      <c r="AX939" s="231"/>
      <c r="AY939" s="231"/>
      <c r="AZ939" s="231"/>
      <c r="BA939" s="231"/>
      <c r="BB939" s="231"/>
      <c r="BC939" s="231"/>
      <c r="BD939" s="104"/>
      <c r="BE939" s="104"/>
      <c r="BF939" s="104"/>
      <c r="BG939" s="104"/>
      <c r="BH939" s="104"/>
      <c r="BI939" s="104"/>
      <c r="BJ939" s="104"/>
      <c r="BK939" s="12"/>
      <c r="BL939" s="12"/>
    </row>
    <row r="940" spans="1:64" hidden="1" outlineLevel="1">
      <c r="A940" s="9"/>
      <c r="B940" s="9"/>
      <c r="C940" s="104"/>
      <c r="D940" s="131">
        <f>Asset19</f>
        <v>0</v>
      </c>
      <c r="E940" s="104"/>
      <c r="F940" s="104"/>
      <c r="G940" s="475">
        <f>Input!N25</f>
        <v>0</v>
      </c>
      <c r="H940" s="104"/>
      <c r="I940" s="104"/>
      <c r="J940" s="104"/>
      <c r="K940" s="104"/>
      <c r="L940" s="104"/>
      <c r="M940" s="104"/>
      <c r="N940" s="104"/>
      <c r="O940" s="104"/>
      <c r="P940" s="104"/>
      <c r="Q940" s="104"/>
      <c r="R940" s="104"/>
      <c r="S940" s="104"/>
      <c r="T940" s="104"/>
      <c r="U940" s="104"/>
      <c r="V940" s="104"/>
      <c r="W940" s="104"/>
      <c r="X940" s="104"/>
      <c r="Y940" s="104"/>
      <c r="Z940" s="104"/>
      <c r="AA940" s="231"/>
      <c r="AB940" s="231"/>
      <c r="AC940" s="231"/>
      <c r="AD940" s="231"/>
      <c r="AE940" s="231"/>
      <c r="AF940" s="231"/>
      <c r="AG940" s="231"/>
      <c r="AH940" s="231"/>
      <c r="AI940" s="231"/>
      <c r="AJ940" s="231"/>
      <c r="AK940" s="231"/>
      <c r="AL940" s="231"/>
      <c r="AM940" s="231"/>
      <c r="AN940" s="231"/>
      <c r="AO940" s="231"/>
      <c r="AP940" s="231"/>
      <c r="AQ940" s="231"/>
      <c r="AR940" s="231"/>
      <c r="AS940" s="231"/>
      <c r="AT940" s="231"/>
      <c r="AU940" s="231"/>
      <c r="AV940" s="231"/>
      <c r="AW940" s="231"/>
      <c r="AX940" s="231"/>
      <c r="AY940" s="231"/>
      <c r="AZ940" s="231"/>
      <c r="BA940" s="231"/>
      <c r="BB940" s="231"/>
      <c r="BC940" s="231"/>
      <c r="BD940" s="104"/>
      <c r="BE940" s="104"/>
      <c r="BF940" s="104"/>
      <c r="BG940" s="104"/>
      <c r="BH940" s="104"/>
      <c r="BI940" s="104"/>
      <c r="BJ940" s="104"/>
      <c r="BK940" s="12"/>
      <c r="BL940" s="12"/>
    </row>
    <row r="941" spans="1:64" hidden="1" outlineLevel="1">
      <c r="A941" s="9"/>
      <c r="B941" s="9"/>
      <c r="C941" s="104"/>
      <c r="D941" s="131">
        <f>Asset20</f>
        <v>0</v>
      </c>
      <c r="E941" s="104"/>
      <c r="F941" s="104"/>
      <c r="G941" s="475">
        <f>Input!N26</f>
        <v>0</v>
      </c>
      <c r="H941" s="104"/>
      <c r="I941" s="104"/>
      <c r="J941" s="104"/>
      <c r="K941" s="104"/>
      <c r="L941" s="104"/>
      <c r="M941" s="104"/>
      <c r="N941" s="104"/>
      <c r="O941" s="104"/>
      <c r="P941" s="104"/>
      <c r="Q941" s="104"/>
      <c r="R941" s="104"/>
      <c r="S941" s="104"/>
      <c r="T941" s="104"/>
      <c r="U941" s="104"/>
      <c r="V941" s="104"/>
      <c r="W941" s="104"/>
      <c r="X941" s="104"/>
      <c r="Y941" s="104"/>
      <c r="Z941" s="104"/>
      <c r="AA941" s="231"/>
      <c r="AB941" s="231"/>
      <c r="AC941" s="231"/>
      <c r="AD941" s="231"/>
      <c r="AE941" s="231"/>
      <c r="AF941" s="231"/>
      <c r="AG941" s="231"/>
      <c r="AH941" s="231"/>
      <c r="AI941" s="231"/>
      <c r="AJ941" s="231"/>
      <c r="AK941" s="231"/>
      <c r="AL941" s="231"/>
      <c r="AM941" s="231"/>
      <c r="AN941" s="231"/>
      <c r="AO941" s="231"/>
      <c r="AP941" s="231"/>
      <c r="AQ941" s="231"/>
      <c r="AR941" s="231"/>
      <c r="AS941" s="231"/>
      <c r="AT941" s="231"/>
      <c r="AU941" s="231"/>
      <c r="AV941" s="231"/>
      <c r="AW941" s="231"/>
      <c r="AX941" s="231"/>
      <c r="AY941" s="231"/>
      <c r="AZ941" s="231"/>
      <c r="BA941" s="231"/>
      <c r="BB941" s="231"/>
      <c r="BC941" s="231"/>
      <c r="BD941" s="104"/>
      <c r="BE941" s="104"/>
      <c r="BF941" s="104"/>
      <c r="BG941" s="104"/>
      <c r="BH941" s="104"/>
      <c r="BI941" s="104"/>
      <c r="BJ941" s="104"/>
      <c r="BK941" s="12"/>
      <c r="BL941" s="12"/>
    </row>
    <row r="942" spans="1:64" hidden="1" outlineLevel="1">
      <c r="A942" s="9"/>
      <c r="B942" s="9"/>
      <c r="C942" s="104"/>
      <c r="D942" s="131">
        <f>Asset21</f>
        <v>0</v>
      </c>
      <c r="E942" s="104"/>
      <c r="F942" s="104"/>
      <c r="G942" s="475">
        <f>Input!N27</f>
        <v>0</v>
      </c>
      <c r="H942" s="104"/>
      <c r="I942" s="104"/>
      <c r="J942" s="104"/>
      <c r="K942" s="104"/>
      <c r="L942" s="104"/>
      <c r="M942" s="104"/>
      <c r="N942" s="104"/>
      <c r="O942" s="104"/>
      <c r="P942" s="104"/>
      <c r="Q942" s="104"/>
      <c r="R942" s="104"/>
      <c r="S942" s="104"/>
      <c r="T942" s="104"/>
      <c r="U942" s="104"/>
      <c r="V942" s="104"/>
      <c r="W942" s="104"/>
      <c r="X942" s="104"/>
      <c r="Y942" s="104"/>
      <c r="Z942" s="104"/>
      <c r="AA942" s="231"/>
      <c r="AB942" s="231"/>
      <c r="AC942" s="231"/>
      <c r="AD942" s="231"/>
      <c r="AE942" s="231"/>
      <c r="AF942" s="231"/>
      <c r="AG942" s="231"/>
      <c r="AH942" s="231"/>
      <c r="AI942" s="231"/>
      <c r="AJ942" s="231"/>
      <c r="AK942" s="231"/>
      <c r="AL942" s="231"/>
      <c r="AM942" s="231"/>
      <c r="AN942" s="231"/>
      <c r="AO942" s="231"/>
      <c r="AP942" s="231"/>
      <c r="AQ942" s="231"/>
      <c r="AR942" s="231"/>
      <c r="AS942" s="231"/>
      <c r="AT942" s="231"/>
      <c r="AU942" s="231"/>
      <c r="AV942" s="231"/>
      <c r="AW942" s="231"/>
      <c r="AX942" s="231"/>
      <c r="AY942" s="231"/>
      <c r="AZ942" s="231"/>
      <c r="BA942" s="231"/>
      <c r="BB942" s="231"/>
      <c r="BC942" s="231"/>
      <c r="BD942" s="104"/>
      <c r="BE942" s="104"/>
      <c r="BF942" s="104"/>
      <c r="BG942" s="104"/>
      <c r="BH942" s="104"/>
      <c r="BI942" s="104"/>
      <c r="BJ942" s="104"/>
      <c r="BK942" s="12"/>
      <c r="BL942" s="12"/>
    </row>
    <row r="943" spans="1:64" hidden="1" outlineLevel="1">
      <c r="A943" s="9"/>
      <c r="B943" s="9"/>
      <c r="C943" s="104"/>
      <c r="D943" s="131">
        <f>Asset22</f>
        <v>0</v>
      </c>
      <c r="E943" s="104"/>
      <c r="F943" s="104"/>
      <c r="G943" s="475">
        <f>Input!N28</f>
        <v>0</v>
      </c>
      <c r="H943" s="104"/>
      <c r="I943" s="104"/>
      <c r="J943" s="104"/>
      <c r="K943" s="104"/>
      <c r="L943" s="104"/>
      <c r="M943" s="104"/>
      <c r="N943" s="104"/>
      <c r="O943" s="104"/>
      <c r="P943" s="104"/>
      <c r="Q943" s="104"/>
      <c r="R943" s="104"/>
      <c r="S943" s="104"/>
      <c r="T943" s="104"/>
      <c r="U943" s="104"/>
      <c r="V943" s="104"/>
      <c r="W943" s="104"/>
      <c r="X943" s="104"/>
      <c r="Y943" s="104"/>
      <c r="Z943" s="104"/>
      <c r="AA943" s="231"/>
      <c r="AB943" s="231"/>
      <c r="AC943" s="231"/>
      <c r="AD943" s="231"/>
      <c r="AE943" s="231"/>
      <c r="AF943" s="231"/>
      <c r="AG943" s="231"/>
      <c r="AH943" s="231"/>
      <c r="AI943" s="231"/>
      <c r="AJ943" s="231"/>
      <c r="AK943" s="231"/>
      <c r="AL943" s="231"/>
      <c r="AM943" s="231"/>
      <c r="AN943" s="231"/>
      <c r="AO943" s="231"/>
      <c r="AP943" s="231"/>
      <c r="AQ943" s="231"/>
      <c r="AR943" s="231"/>
      <c r="AS943" s="231"/>
      <c r="AT943" s="231"/>
      <c r="AU943" s="231"/>
      <c r="AV943" s="231"/>
      <c r="AW943" s="231"/>
      <c r="AX943" s="231"/>
      <c r="AY943" s="231"/>
      <c r="AZ943" s="231"/>
      <c r="BA943" s="231"/>
      <c r="BB943" s="231"/>
      <c r="BC943" s="231"/>
      <c r="BD943" s="104"/>
      <c r="BE943" s="104"/>
      <c r="BF943" s="104"/>
      <c r="BG943" s="104"/>
      <c r="BH943" s="104"/>
      <c r="BI943" s="104"/>
      <c r="BJ943" s="104"/>
      <c r="BK943" s="12"/>
      <c r="BL943" s="12"/>
    </row>
    <row r="944" spans="1:64" hidden="1" outlineLevel="1">
      <c r="A944" s="9"/>
      <c r="B944" s="9"/>
      <c r="C944" s="104"/>
      <c r="D944" s="131">
        <f>Asset23</f>
        <v>0</v>
      </c>
      <c r="E944" s="104"/>
      <c r="F944" s="104"/>
      <c r="G944" s="475">
        <f>Input!N29</f>
        <v>0</v>
      </c>
      <c r="H944" s="104"/>
      <c r="I944" s="104"/>
      <c r="J944" s="104"/>
      <c r="K944" s="104"/>
      <c r="L944" s="104"/>
      <c r="M944" s="104"/>
      <c r="N944" s="104"/>
      <c r="O944" s="104"/>
      <c r="P944" s="104"/>
      <c r="Q944" s="104"/>
      <c r="R944" s="104"/>
      <c r="S944" s="104"/>
      <c r="T944" s="104"/>
      <c r="U944" s="104"/>
      <c r="V944" s="104"/>
      <c r="W944" s="104"/>
      <c r="X944" s="104"/>
      <c r="Y944" s="104"/>
      <c r="Z944" s="104"/>
      <c r="AA944" s="231"/>
      <c r="AB944" s="231"/>
      <c r="AC944" s="231"/>
      <c r="AD944" s="231"/>
      <c r="AE944" s="231"/>
      <c r="AF944" s="231"/>
      <c r="AG944" s="231"/>
      <c r="AH944" s="231"/>
      <c r="AI944" s="231"/>
      <c r="AJ944" s="231"/>
      <c r="AK944" s="231"/>
      <c r="AL944" s="231"/>
      <c r="AM944" s="231"/>
      <c r="AN944" s="231"/>
      <c r="AO944" s="231"/>
      <c r="AP944" s="231"/>
      <c r="AQ944" s="231"/>
      <c r="AR944" s="231"/>
      <c r="AS944" s="231"/>
      <c r="AT944" s="231"/>
      <c r="AU944" s="231"/>
      <c r="AV944" s="231"/>
      <c r="AW944" s="231"/>
      <c r="AX944" s="231"/>
      <c r="AY944" s="231"/>
      <c r="AZ944" s="231"/>
      <c r="BA944" s="231"/>
      <c r="BB944" s="231"/>
      <c r="BC944" s="231"/>
      <c r="BD944" s="104"/>
      <c r="BE944" s="104"/>
      <c r="BF944" s="104"/>
      <c r="BG944" s="104"/>
      <c r="BH944" s="104"/>
      <c r="BI944" s="104"/>
      <c r="BJ944" s="104"/>
      <c r="BK944" s="12"/>
      <c r="BL944" s="12"/>
    </row>
    <row r="945" spans="1:64" hidden="1" outlineLevel="1">
      <c r="A945" s="9"/>
      <c r="B945" s="9"/>
      <c r="C945" s="104"/>
      <c r="D945" s="131">
        <f>Asset24</f>
        <v>0</v>
      </c>
      <c r="E945" s="104"/>
      <c r="F945" s="104"/>
      <c r="G945" s="475">
        <f>Input!N30</f>
        <v>0</v>
      </c>
      <c r="H945" s="104"/>
      <c r="I945" s="104"/>
      <c r="J945" s="104"/>
      <c r="K945" s="104"/>
      <c r="L945" s="104"/>
      <c r="M945" s="104"/>
      <c r="N945" s="104"/>
      <c r="O945" s="104"/>
      <c r="P945" s="104"/>
      <c r="Q945" s="104"/>
      <c r="R945" s="104"/>
      <c r="S945" s="104"/>
      <c r="T945" s="104"/>
      <c r="U945" s="104"/>
      <c r="V945" s="104"/>
      <c r="W945" s="104"/>
      <c r="X945" s="104"/>
      <c r="Y945" s="104"/>
      <c r="Z945" s="104"/>
      <c r="AA945" s="231"/>
      <c r="AB945" s="231"/>
      <c r="AC945" s="231"/>
      <c r="AD945" s="231"/>
      <c r="AE945" s="231"/>
      <c r="AF945" s="231"/>
      <c r="AG945" s="231"/>
      <c r="AH945" s="231"/>
      <c r="AI945" s="231"/>
      <c r="AJ945" s="231"/>
      <c r="AK945" s="231"/>
      <c r="AL945" s="231"/>
      <c r="AM945" s="231"/>
      <c r="AN945" s="231"/>
      <c r="AO945" s="231"/>
      <c r="AP945" s="231"/>
      <c r="AQ945" s="231"/>
      <c r="AR945" s="231"/>
      <c r="AS945" s="231"/>
      <c r="AT945" s="231"/>
      <c r="AU945" s="231"/>
      <c r="AV945" s="231"/>
      <c r="AW945" s="231"/>
      <c r="AX945" s="231"/>
      <c r="AY945" s="231"/>
      <c r="AZ945" s="231"/>
      <c r="BA945" s="231"/>
      <c r="BB945" s="231"/>
      <c r="BC945" s="231"/>
      <c r="BD945" s="104"/>
      <c r="BE945" s="104"/>
      <c r="BF945" s="104"/>
      <c r="BG945" s="104"/>
      <c r="BH945" s="104"/>
      <c r="BI945" s="104"/>
      <c r="BJ945" s="104"/>
      <c r="BK945" s="12"/>
      <c r="BL945" s="12"/>
    </row>
    <row r="946" spans="1:64" hidden="1" outlineLevel="1">
      <c r="A946" s="9"/>
      <c r="B946" s="9"/>
      <c r="C946" s="104"/>
      <c r="D946" s="131">
        <f>Asset25</f>
        <v>0</v>
      </c>
      <c r="E946" s="104"/>
      <c r="F946" s="104"/>
      <c r="G946" s="475">
        <f>Input!N31</f>
        <v>0</v>
      </c>
      <c r="H946" s="104"/>
      <c r="I946" s="104"/>
      <c r="J946" s="104"/>
      <c r="K946" s="104"/>
      <c r="L946" s="104"/>
      <c r="M946" s="104"/>
      <c r="N946" s="104"/>
      <c r="O946" s="104"/>
      <c r="P946" s="104"/>
      <c r="Q946" s="104"/>
      <c r="R946" s="104"/>
      <c r="S946" s="104"/>
      <c r="T946" s="104"/>
      <c r="U946" s="104"/>
      <c r="V946" s="104"/>
      <c r="W946" s="104"/>
      <c r="X946" s="104"/>
      <c r="Y946" s="104"/>
      <c r="Z946" s="104"/>
      <c r="AA946" s="231"/>
      <c r="AB946" s="231"/>
      <c r="AC946" s="231"/>
      <c r="AD946" s="231"/>
      <c r="AE946" s="231"/>
      <c r="AF946" s="231"/>
      <c r="AG946" s="231"/>
      <c r="AH946" s="231"/>
      <c r="AI946" s="231"/>
      <c r="AJ946" s="231"/>
      <c r="AK946" s="231"/>
      <c r="AL946" s="231"/>
      <c r="AM946" s="231"/>
      <c r="AN946" s="231"/>
      <c r="AO946" s="231"/>
      <c r="AP946" s="231"/>
      <c r="AQ946" s="231"/>
      <c r="AR946" s="231"/>
      <c r="AS946" s="231"/>
      <c r="AT946" s="231"/>
      <c r="AU946" s="231"/>
      <c r="AV946" s="231"/>
      <c r="AW946" s="231"/>
      <c r="AX946" s="231"/>
      <c r="AY946" s="231"/>
      <c r="AZ946" s="231"/>
      <c r="BA946" s="231"/>
      <c r="BB946" s="231"/>
      <c r="BC946" s="231"/>
      <c r="BD946" s="104"/>
      <c r="BE946" s="104"/>
      <c r="BF946" s="104"/>
      <c r="BG946" s="104"/>
      <c r="BH946" s="104"/>
      <c r="BI946" s="104"/>
      <c r="BJ946" s="104"/>
      <c r="BK946" s="12"/>
      <c r="BL946" s="12"/>
    </row>
    <row r="947" spans="1:64" hidden="1" outlineLevel="1">
      <c r="A947" s="9"/>
      <c r="B947" s="9"/>
      <c r="C947" s="104"/>
      <c r="D947" s="131">
        <f>Asset26</f>
        <v>0</v>
      </c>
      <c r="E947" s="104"/>
      <c r="F947" s="104"/>
      <c r="G947" s="475">
        <f>Input!N32</f>
        <v>0</v>
      </c>
      <c r="H947" s="104"/>
      <c r="I947" s="104"/>
      <c r="J947" s="104"/>
      <c r="K947" s="104"/>
      <c r="L947" s="104"/>
      <c r="M947" s="104"/>
      <c r="N947" s="104"/>
      <c r="O947" s="104"/>
      <c r="P947" s="104"/>
      <c r="Q947" s="104"/>
      <c r="R947" s="104"/>
      <c r="S947" s="104"/>
      <c r="T947" s="104"/>
      <c r="U947" s="104"/>
      <c r="V947" s="104"/>
      <c r="W947" s="104"/>
      <c r="X947" s="104"/>
      <c r="Y947" s="104"/>
      <c r="Z947" s="104"/>
      <c r="AA947" s="231"/>
      <c r="AB947" s="231"/>
      <c r="AC947" s="231"/>
      <c r="AD947" s="231"/>
      <c r="AE947" s="231"/>
      <c r="AF947" s="231"/>
      <c r="AG947" s="231"/>
      <c r="AH947" s="231"/>
      <c r="AI947" s="231"/>
      <c r="AJ947" s="231"/>
      <c r="AK947" s="231"/>
      <c r="AL947" s="231"/>
      <c r="AM947" s="231"/>
      <c r="AN947" s="231"/>
      <c r="AO947" s="231"/>
      <c r="AP947" s="231"/>
      <c r="AQ947" s="231"/>
      <c r="AR947" s="231"/>
      <c r="AS947" s="231"/>
      <c r="AT947" s="231"/>
      <c r="AU947" s="231"/>
      <c r="AV947" s="231"/>
      <c r="AW947" s="231"/>
      <c r="AX947" s="231"/>
      <c r="AY947" s="231"/>
      <c r="AZ947" s="231"/>
      <c r="BA947" s="231"/>
      <c r="BB947" s="231"/>
      <c r="BC947" s="231"/>
      <c r="BD947" s="104"/>
      <c r="BE947" s="104"/>
      <c r="BF947" s="104"/>
      <c r="BG947" s="104"/>
      <c r="BH947" s="104"/>
      <c r="BI947" s="104"/>
      <c r="BJ947" s="104"/>
      <c r="BK947" s="12"/>
      <c r="BL947" s="12"/>
    </row>
    <row r="948" spans="1:64" hidden="1" outlineLevel="1">
      <c r="A948" s="9"/>
      <c r="B948" s="9"/>
      <c r="C948" s="104"/>
      <c r="D948" s="131">
        <f>Asset27</f>
        <v>0</v>
      </c>
      <c r="E948" s="104"/>
      <c r="F948" s="104"/>
      <c r="G948" s="475">
        <f>Input!N33</f>
        <v>0</v>
      </c>
      <c r="H948" s="104"/>
      <c r="I948" s="104"/>
      <c r="J948" s="104"/>
      <c r="K948" s="104"/>
      <c r="L948" s="104"/>
      <c r="M948" s="104"/>
      <c r="N948" s="104"/>
      <c r="O948" s="104"/>
      <c r="P948" s="104"/>
      <c r="Q948" s="104"/>
      <c r="R948" s="104"/>
      <c r="S948" s="104"/>
      <c r="T948" s="104"/>
      <c r="U948" s="104"/>
      <c r="V948" s="104"/>
      <c r="W948" s="104"/>
      <c r="X948" s="104"/>
      <c r="Y948" s="104"/>
      <c r="Z948" s="104"/>
      <c r="AA948" s="231"/>
      <c r="AB948" s="231"/>
      <c r="AC948" s="231"/>
      <c r="AD948" s="231"/>
      <c r="AE948" s="231"/>
      <c r="AF948" s="231"/>
      <c r="AG948" s="231"/>
      <c r="AH948" s="231"/>
      <c r="AI948" s="231"/>
      <c r="AJ948" s="231"/>
      <c r="AK948" s="231"/>
      <c r="AL948" s="231"/>
      <c r="AM948" s="231"/>
      <c r="AN948" s="231"/>
      <c r="AO948" s="231"/>
      <c r="AP948" s="231"/>
      <c r="AQ948" s="231"/>
      <c r="AR948" s="231"/>
      <c r="AS948" s="231"/>
      <c r="AT948" s="231"/>
      <c r="AU948" s="231"/>
      <c r="AV948" s="231"/>
      <c r="AW948" s="231"/>
      <c r="AX948" s="231"/>
      <c r="AY948" s="231"/>
      <c r="AZ948" s="231"/>
      <c r="BA948" s="231"/>
      <c r="BB948" s="231"/>
      <c r="BC948" s="231"/>
      <c r="BD948" s="104"/>
      <c r="BE948" s="104"/>
      <c r="BF948" s="104"/>
      <c r="BG948" s="104"/>
      <c r="BH948" s="104"/>
      <c r="BI948" s="104"/>
      <c r="BJ948" s="104"/>
      <c r="BK948" s="12"/>
      <c r="BL948" s="12"/>
    </row>
    <row r="949" spans="1:64" hidden="1" outlineLevel="1">
      <c r="A949" s="9"/>
      <c r="B949" s="9"/>
      <c r="C949" s="104"/>
      <c r="D949" s="131">
        <f>Asset28</f>
        <v>0</v>
      </c>
      <c r="E949" s="104"/>
      <c r="F949" s="104"/>
      <c r="G949" s="475">
        <f>Input!N34</f>
        <v>0</v>
      </c>
      <c r="H949" s="104"/>
      <c r="I949" s="104"/>
      <c r="J949" s="104"/>
      <c r="K949" s="104"/>
      <c r="L949" s="104"/>
      <c r="M949" s="104"/>
      <c r="N949" s="104"/>
      <c r="O949" s="104"/>
      <c r="P949" s="104"/>
      <c r="Q949" s="104"/>
      <c r="R949" s="104"/>
      <c r="S949" s="104"/>
      <c r="T949" s="104"/>
      <c r="U949" s="104"/>
      <c r="V949" s="104"/>
      <c r="W949" s="104"/>
      <c r="X949" s="104"/>
      <c r="Y949" s="104"/>
      <c r="Z949" s="104"/>
      <c r="AA949" s="231"/>
      <c r="AB949" s="231"/>
      <c r="AC949" s="231"/>
      <c r="AD949" s="231"/>
      <c r="AE949" s="231"/>
      <c r="AF949" s="231"/>
      <c r="AG949" s="231"/>
      <c r="AH949" s="231"/>
      <c r="AI949" s="231"/>
      <c r="AJ949" s="231"/>
      <c r="AK949" s="231"/>
      <c r="AL949" s="231"/>
      <c r="AM949" s="231"/>
      <c r="AN949" s="231"/>
      <c r="AO949" s="231"/>
      <c r="AP949" s="231"/>
      <c r="AQ949" s="231"/>
      <c r="AR949" s="231"/>
      <c r="AS949" s="231"/>
      <c r="AT949" s="231"/>
      <c r="AU949" s="231"/>
      <c r="AV949" s="231"/>
      <c r="AW949" s="231"/>
      <c r="AX949" s="231"/>
      <c r="AY949" s="231"/>
      <c r="AZ949" s="231"/>
      <c r="BA949" s="231"/>
      <c r="BB949" s="231"/>
      <c r="BC949" s="231"/>
      <c r="BD949" s="104"/>
      <c r="BE949" s="104"/>
      <c r="BF949" s="104"/>
      <c r="BG949" s="104"/>
      <c r="BH949" s="104"/>
      <c r="BI949" s="104"/>
      <c r="BJ949" s="104"/>
      <c r="BK949" s="12"/>
      <c r="BL949" s="12"/>
    </row>
    <row r="950" spans="1:64" hidden="1" outlineLevel="1">
      <c r="A950" s="9"/>
      <c r="B950" s="9"/>
      <c r="C950" s="104"/>
      <c r="D950" s="131">
        <f>Asset29</f>
        <v>0</v>
      </c>
      <c r="E950" s="104"/>
      <c r="F950" s="104"/>
      <c r="G950" s="475">
        <f>Input!N35</f>
        <v>0</v>
      </c>
      <c r="H950" s="104"/>
      <c r="I950" s="104"/>
      <c r="J950" s="104"/>
      <c r="K950" s="104"/>
      <c r="L950" s="104"/>
      <c r="M950" s="104"/>
      <c r="N950" s="104"/>
      <c r="O950" s="104"/>
      <c r="P950" s="104"/>
      <c r="Q950" s="104"/>
      <c r="R950" s="104"/>
      <c r="S950" s="104"/>
      <c r="T950" s="104"/>
      <c r="U950" s="104"/>
      <c r="V950" s="104"/>
      <c r="W950" s="104"/>
      <c r="X950" s="104"/>
      <c r="Y950" s="104"/>
      <c r="Z950" s="104"/>
      <c r="AA950" s="231"/>
      <c r="AB950" s="231"/>
      <c r="AC950" s="231"/>
      <c r="AD950" s="231"/>
      <c r="AE950" s="231"/>
      <c r="AF950" s="231"/>
      <c r="AG950" s="231"/>
      <c r="AH950" s="231"/>
      <c r="AI950" s="231"/>
      <c r="AJ950" s="231"/>
      <c r="AK950" s="231"/>
      <c r="AL950" s="231"/>
      <c r="AM950" s="231"/>
      <c r="AN950" s="231"/>
      <c r="AO950" s="231"/>
      <c r="AP950" s="231"/>
      <c r="AQ950" s="231"/>
      <c r="AR950" s="231"/>
      <c r="AS950" s="231"/>
      <c r="AT950" s="231"/>
      <c r="AU950" s="231"/>
      <c r="AV950" s="231"/>
      <c r="AW950" s="231"/>
      <c r="AX950" s="231"/>
      <c r="AY950" s="231"/>
      <c r="AZ950" s="231"/>
      <c r="BA950" s="231"/>
      <c r="BB950" s="231"/>
      <c r="BC950" s="231"/>
      <c r="BD950" s="104"/>
      <c r="BE950" s="104"/>
      <c r="BF950" s="104"/>
      <c r="BG950" s="104"/>
      <c r="BH950" s="104"/>
      <c r="BI950" s="104"/>
      <c r="BJ950" s="104"/>
      <c r="BK950" s="12"/>
      <c r="BL950" s="12"/>
    </row>
    <row r="951" spans="1:64" hidden="1" outlineLevel="1">
      <c r="A951" s="9"/>
      <c r="B951" s="9"/>
      <c r="C951" s="104"/>
      <c r="D951" s="131">
        <f>Asset30</f>
        <v>0</v>
      </c>
      <c r="E951" s="104"/>
      <c r="F951" s="104"/>
      <c r="G951" s="475">
        <f>Input!N36</f>
        <v>0</v>
      </c>
      <c r="H951" s="104"/>
      <c r="I951" s="104"/>
      <c r="J951" s="104"/>
      <c r="K951" s="104"/>
      <c r="L951" s="104"/>
      <c r="M951" s="104"/>
      <c r="N951" s="104"/>
      <c r="O951" s="104"/>
      <c r="P951" s="104"/>
      <c r="Q951" s="104"/>
      <c r="R951" s="104"/>
      <c r="S951" s="104"/>
      <c r="T951" s="104"/>
      <c r="U951" s="104"/>
      <c r="V951" s="104"/>
      <c r="W951" s="104"/>
      <c r="X951" s="104"/>
      <c r="Y951" s="104"/>
      <c r="Z951" s="104"/>
      <c r="AA951" s="231"/>
      <c r="AB951" s="231"/>
      <c r="AC951" s="231"/>
      <c r="AD951" s="231"/>
      <c r="AE951" s="231"/>
      <c r="AF951" s="231"/>
      <c r="AG951" s="231"/>
      <c r="AH951" s="231"/>
      <c r="AI951" s="231"/>
      <c r="AJ951" s="231"/>
      <c r="AK951" s="231"/>
      <c r="AL951" s="231"/>
      <c r="AM951" s="231"/>
      <c r="AN951" s="231"/>
      <c r="AO951" s="231"/>
      <c r="AP951" s="231"/>
      <c r="AQ951" s="231"/>
      <c r="AR951" s="231"/>
      <c r="AS951" s="231"/>
      <c r="AT951" s="231"/>
      <c r="AU951" s="231"/>
      <c r="AV951" s="231"/>
      <c r="AW951" s="231"/>
      <c r="AX951" s="231"/>
      <c r="AY951" s="231"/>
      <c r="AZ951" s="231"/>
      <c r="BA951" s="231"/>
      <c r="BB951" s="231"/>
      <c r="BC951" s="231"/>
      <c r="BD951" s="104"/>
      <c r="BE951" s="104"/>
      <c r="BF951" s="104"/>
      <c r="BG951" s="104"/>
      <c r="BH951" s="104"/>
      <c r="BI951" s="104"/>
      <c r="BJ951" s="104"/>
      <c r="BK951" s="12"/>
      <c r="BL951" s="12"/>
    </row>
    <row r="952" spans="1:64" collapsed="1">
      <c r="A952" s="9"/>
      <c r="B952" s="9"/>
      <c r="C952" s="104"/>
      <c r="D952" s="131"/>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c r="AA952" s="231"/>
      <c r="AB952" s="231"/>
      <c r="AC952" s="231"/>
      <c r="AD952" s="231"/>
      <c r="AE952" s="231"/>
      <c r="AF952" s="231"/>
      <c r="AG952" s="231"/>
      <c r="AH952" s="231"/>
      <c r="AI952" s="231"/>
      <c r="AJ952" s="231"/>
      <c r="AK952" s="231"/>
      <c r="AL952" s="231"/>
      <c r="AM952" s="231"/>
      <c r="AN952" s="231"/>
      <c r="AO952" s="231"/>
      <c r="AP952" s="231"/>
      <c r="AQ952" s="231"/>
      <c r="AR952" s="231"/>
      <c r="AS952" s="231"/>
      <c r="AT952" s="231"/>
      <c r="AU952" s="231"/>
      <c r="AV952" s="231"/>
      <c r="AW952" s="231"/>
      <c r="AX952" s="231"/>
      <c r="AY952" s="231"/>
      <c r="AZ952" s="231"/>
      <c r="BA952" s="231"/>
      <c r="BB952" s="231"/>
      <c r="BC952" s="231"/>
      <c r="BD952" s="104"/>
      <c r="BE952" s="104"/>
      <c r="BF952" s="104"/>
      <c r="BG952" s="104"/>
      <c r="BH952" s="104"/>
      <c r="BI952" s="104"/>
      <c r="BJ952" s="104"/>
      <c r="BK952" s="12"/>
      <c r="BL952" s="12"/>
    </row>
    <row r="953" spans="1:64">
      <c r="A953" s="126"/>
      <c r="B953" s="126"/>
      <c r="C953" s="126"/>
      <c r="D953" s="127"/>
      <c r="E953" s="112"/>
      <c r="F953" s="112"/>
      <c r="G953" s="128"/>
      <c r="H953" s="129"/>
      <c r="I953" s="129"/>
      <c r="J953" s="129"/>
      <c r="K953" s="129"/>
      <c r="L953" s="129"/>
      <c r="M953" s="129"/>
      <c r="N953" s="130"/>
      <c r="O953" s="130"/>
      <c r="P953" s="130"/>
      <c r="Q953" s="130"/>
      <c r="R953" s="130"/>
      <c r="S953" s="130"/>
      <c r="T953" s="104"/>
      <c r="U953" s="104"/>
      <c r="V953" s="104"/>
      <c r="W953" s="104"/>
      <c r="X953" s="104"/>
      <c r="Y953" s="104"/>
      <c r="Z953" s="104"/>
      <c r="AA953" s="231"/>
      <c r="AB953" s="231"/>
      <c r="AC953" s="231"/>
      <c r="AD953" s="231"/>
      <c r="AE953" s="231"/>
      <c r="AF953" s="231"/>
      <c r="AG953" s="231"/>
      <c r="AH953" s="231"/>
      <c r="AI953" s="231"/>
      <c r="AJ953" s="231"/>
      <c r="AK953" s="231"/>
      <c r="AL953" s="231"/>
      <c r="AM953" s="231"/>
      <c r="AN953" s="231"/>
      <c r="AO953" s="231"/>
      <c r="AP953" s="231"/>
      <c r="AQ953" s="231"/>
      <c r="AR953" s="231"/>
      <c r="AS953" s="231"/>
      <c r="AT953" s="231"/>
      <c r="AU953" s="231"/>
      <c r="AV953" s="231"/>
      <c r="AW953" s="231"/>
      <c r="AX953" s="231"/>
      <c r="AY953" s="231"/>
      <c r="AZ953" s="231"/>
      <c r="BA953" s="231"/>
      <c r="BB953" s="231"/>
      <c r="BC953" s="231"/>
      <c r="BD953" s="104"/>
      <c r="BE953" s="104"/>
      <c r="BF953" s="104"/>
      <c r="BG953" s="104"/>
      <c r="BH953" s="104"/>
      <c r="BI953" s="104"/>
      <c r="BJ953" s="104"/>
      <c r="BK953" s="12"/>
      <c r="BL953" s="12"/>
    </row>
    <row r="954" spans="1:64">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c r="AA954" s="231"/>
      <c r="AB954" s="231"/>
      <c r="AC954" s="231"/>
      <c r="AD954" s="231"/>
      <c r="AE954" s="231"/>
      <c r="AF954" s="231"/>
      <c r="AG954" s="231"/>
      <c r="AH954" s="231"/>
      <c r="AI954" s="231"/>
      <c r="AJ954" s="231"/>
      <c r="AK954" s="231"/>
      <c r="AL954" s="231"/>
      <c r="AM954" s="231"/>
      <c r="AN954" s="231"/>
      <c r="AO954" s="231"/>
      <c r="AP954" s="231"/>
      <c r="AQ954" s="231"/>
      <c r="AR954" s="231"/>
      <c r="AS954" s="231"/>
      <c r="AT954" s="231"/>
      <c r="AU954" s="231"/>
      <c r="AV954" s="231"/>
      <c r="AW954" s="231"/>
      <c r="AX954" s="231"/>
      <c r="AY954" s="231"/>
      <c r="AZ954" s="231"/>
      <c r="BA954" s="231"/>
      <c r="BB954" s="231"/>
      <c r="BC954" s="231"/>
      <c r="BD954" s="104"/>
      <c r="BE954" s="104"/>
      <c r="BF954" s="104"/>
      <c r="BG954" s="104"/>
      <c r="BH954" s="104"/>
      <c r="BI954" s="104"/>
      <c r="BJ954" s="104"/>
      <c r="BK954" s="12"/>
      <c r="BL954" s="12"/>
    </row>
    <row r="955" spans="1:64" s="9" customFormat="1">
      <c r="B955" s="12"/>
      <c r="C955" s="94" t="s">
        <v>8</v>
      </c>
      <c r="D955" s="12"/>
      <c r="E955" s="12"/>
      <c r="F955" s="12"/>
      <c r="G955" s="206">
        <f>SUM(G956:G985)</f>
        <v>-109.2093202143104</v>
      </c>
      <c r="H955" s="470">
        <f>SUM(H956:H985)</f>
        <v>-147.36324558755132</v>
      </c>
      <c r="I955" s="470">
        <f t="shared" ref="I955:P955" si="132">SUM(I956:I985)</f>
        <v>-114.90675600616007</v>
      </c>
      <c r="J955" s="470">
        <f t="shared" si="132"/>
        <v>-134.48348218316744</v>
      </c>
      <c r="K955" s="470">
        <f t="shared" si="132"/>
        <v>-140.8687079459327</v>
      </c>
      <c r="L955" s="470">
        <f t="shared" si="132"/>
        <v>-146.36727157891406</v>
      </c>
      <c r="M955" s="470">
        <f t="shared" si="132"/>
        <v>0</v>
      </c>
      <c r="N955" s="119">
        <f t="shared" si="132"/>
        <v>0</v>
      </c>
      <c r="O955" s="119">
        <f t="shared" si="132"/>
        <v>0</v>
      </c>
      <c r="P955" s="119">
        <f t="shared" si="132"/>
        <v>0</v>
      </c>
      <c r="Q955" s="119">
        <f>SUM(Q956:Q985)</f>
        <v>0</v>
      </c>
      <c r="R955" s="110"/>
      <c r="S955" s="110"/>
      <c r="T955" s="110"/>
      <c r="U955" s="110"/>
      <c r="V955" s="110"/>
      <c r="W955" s="110"/>
      <c r="X955" s="110"/>
      <c r="Y955" s="110"/>
      <c r="Z955" s="110"/>
      <c r="AA955" s="218"/>
      <c r="AB955" s="218"/>
      <c r="AC955" s="218"/>
      <c r="AD955" s="218"/>
      <c r="AE955" s="218"/>
      <c r="AF955" s="218"/>
      <c r="AG955" s="218"/>
      <c r="AH955" s="218"/>
      <c r="AI955" s="218"/>
      <c r="AJ955" s="218"/>
      <c r="AK955" s="218"/>
      <c r="AL955" s="218"/>
      <c r="AM955" s="218"/>
      <c r="AN955" s="218"/>
      <c r="AO955" s="218"/>
      <c r="AP955" s="218"/>
      <c r="AQ955" s="218"/>
      <c r="AR955" s="218"/>
      <c r="AS955" s="218"/>
      <c r="AT955" s="218"/>
      <c r="AU955" s="218"/>
      <c r="AV955" s="218"/>
      <c r="AW955" s="218"/>
      <c r="AX955" s="218"/>
      <c r="AY955" s="218"/>
      <c r="AZ955" s="218"/>
      <c r="BA955" s="218"/>
      <c r="BB955" s="218"/>
      <c r="BC955" s="218"/>
      <c r="BD955" s="110"/>
      <c r="BE955" s="110"/>
      <c r="BF955" s="110"/>
      <c r="BG955" s="110"/>
      <c r="BH955" s="110"/>
      <c r="BI955" s="110"/>
      <c r="BJ955" s="110"/>
      <c r="BK955" s="12"/>
      <c r="BL955" s="12"/>
    </row>
    <row r="956" spans="1:64" ht="12" hidden="1" customHeight="1" outlineLevel="1">
      <c r="A956" s="9"/>
      <c r="B956" s="9"/>
      <c r="C956" s="9"/>
      <c r="D956" s="271" t="str">
        <f>Asset1</f>
        <v>Subtransmission</v>
      </c>
      <c r="E956" s="9"/>
      <c r="F956" s="9"/>
      <c r="G956" s="204">
        <f t="shared" ref="G956:G985" si="133">-(G988-G826)</f>
        <v>-9.4796066608498126</v>
      </c>
      <c r="H956" s="334">
        <f>SUMIF($D$75:$D$466,$D696,H$75:H$466)*Input!I$314</f>
        <v>-7.0394143044566855</v>
      </c>
      <c r="I956" s="334">
        <f>SUMIF($D$75:$D$466,$D696,I$75:I$466)*Input!J$314</f>
        <v>-7.8232816166671153</v>
      </c>
      <c r="J956" s="334">
        <f>SUMIF($D$75:$D$466,$D696,J$75:J$466)*Input!K$314</f>
        <v>-9.0313540160258832</v>
      </c>
      <c r="K956" s="334">
        <f>SUMIF($D$75:$D$466,$D696,K$75:K$466)*Input!L$314</f>
        <v>-10.739769096001647</v>
      </c>
      <c r="L956" s="334">
        <f>SUMIF($D$75:$D$466,$D696,L$75:L$466)*Input!M$314</f>
        <v>-12.487864204324563</v>
      </c>
      <c r="M956" s="334">
        <f>SUMIF($D$75:$D$466,$D696,M$75:M$466)*Input!N$314</f>
        <v>0</v>
      </c>
      <c r="N956" s="334">
        <f>SUMIF($D$75:$D$466,$D696,N$75:N$466)*Input!O$314</f>
        <v>0</v>
      </c>
      <c r="O956" s="334">
        <f>SUMIF($D$75:$D$466,$D696,O$75:O$466)*Input!P$314</f>
        <v>0</v>
      </c>
      <c r="P956" s="334">
        <f>SUMIF($D$75:$D$466,$D696,P$75:P$466)*Input!Q$314</f>
        <v>0</v>
      </c>
      <c r="Q956" s="334">
        <f>SUMIF($D$75:$D$466,$D696,Q$75:Q$466)*Input!R$314</f>
        <v>0</v>
      </c>
      <c r="R956" s="9"/>
      <c r="S956" s="12"/>
      <c r="T956" s="12"/>
      <c r="U956" s="12"/>
      <c r="V956" s="12"/>
      <c r="W956" s="12"/>
      <c r="X956" s="12"/>
      <c r="Y956" s="12"/>
      <c r="Z956" s="12"/>
      <c r="AA956" s="224"/>
      <c r="AB956" s="224"/>
      <c r="AC956" s="224"/>
      <c r="AD956" s="224"/>
      <c r="AE956" s="224"/>
      <c r="AF956" s="224"/>
      <c r="AG956" s="224"/>
      <c r="AH956" s="224"/>
      <c r="AI956" s="224"/>
      <c r="AJ956" s="224"/>
      <c r="AK956" s="224"/>
      <c r="AL956" s="224"/>
      <c r="AM956" s="224"/>
      <c r="AN956" s="224"/>
      <c r="AO956" s="224"/>
      <c r="AP956" s="224"/>
      <c r="AQ956" s="224"/>
      <c r="AR956" s="224"/>
      <c r="AS956" s="224"/>
      <c r="AT956" s="224"/>
      <c r="AU956" s="224"/>
      <c r="AV956" s="224"/>
      <c r="AW956" s="224"/>
      <c r="AX956" s="224"/>
      <c r="AY956" s="224"/>
      <c r="AZ956" s="224"/>
      <c r="BA956" s="224"/>
      <c r="BB956" s="224"/>
      <c r="BC956" s="224"/>
      <c r="BD956" s="12"/>
      <c r="BE956" s="12"/>
      <c r="BF956" s="12"/>
      <c r="BG956" s="12"/>
      <c r="BH956" s="12"/>
      <c r="BI956" s="12"/>
      <c r="BJ956" s="12"/>
      <c r="BK956" s="12"/>
      <c r="BL956" s="12"/>
    </row>
    <row r="957" spans="1:64" ht="12" hidden="1" customHeight="1" outlineLevel="1">
      <c r="A957" s="9"/>
      <c r="B957" s="9"/>
      <c r="C957" s="9"/>
      <c r="D957" s="271" t="str">
        <f>Asset2</f>
        <v>Distribution system assets</v>
      </c>
      <c r="E957" s="9"/>
      <c r="F957" s="9"/>
      <c r="G957" s="204">
        <f t="shared" si="133"/>
        <v>-50.180559172553863</v>
      </c>
      <c r="H957" s="334">
        <f>SUMIF($D$75:$D$466,$D697,H$75:H$466)*Input!I$314</f>
        <v>-61.920741159487562</v>
      </c>
      <c r="I957" s="334">
        <f>SUMIF($D$75:$D$466,$D697,I$75:I$466)*Input!J$314</f>
        <v>-68.108482479425263</v>
      </c>
      <c r="J957" s="334">
        <f>SUMIF($D$75:$D$466,$D697,J$75:J$466)*Input!K$314</f>
        <v>-73.861025892339015</v>
      </c>
      <c r="K957" s="334">
        <f>SUMIF($D$75:$D$466,$D697,K$75:K$466)*Input!L$314</f>
        <v>-80.610224842246723</v>
      </c>
      <c r="L957" s="334">
        <f>SUMIF($D$75:$D$466,$D697,L$75:L$466)*Input!M$314</f>
        <v>-88.498992818491175</v>
      </c>
      <c r="M957" s="334">
        <f>SUMIF($D$75:$D$466,$D697,M$75:M$466)*Input!N$314</f>
        <v>0</v>
      </c>
      <c r="N957" s="334">
        <f>SUMIF($D$75:$D$466,$D697,N$75:N$466)*Input!O$314</f>
        <v>0</v>
      </c>
      <c r="O957" s="334">
        <f>SUMIF($D$75:$D$466,$D697,O$75:O$466)*Input!P$314</f>
        <v>0</v>
      </c>
      <c r="P957" s="334">
        <f>SUMIF($D$75:$D$466,$D697,P$75:P$466)*Input!Q$314</f>
        <v>0</v>
      </c>
      <c r="Q957" s="334">
        <f>SUMIF($D$75:$D$466,$D697,Q$75:Q$466)*Input!R$314</f>
        <v>0</v>
      </c>
      <c r="R957" s="9"/>
      <c r="S957" s="12"/>
      <c r="T957" s="12"/>
      <c r="U957" s="12"/>
      <c r="V957" s="12"/>
      <c r="W957" s="12"/>
      <c r="X957" s="12"/>
      <c r="Y957" s="12"/>
      <c r="Z957" s="12"/>
      <c r="AA957" s="224"/>
      <c r="AB957" s="224"/>
      <c r="AC957" s="224"/>
      <c r="AD957" s="224"/>
      <c r="AE957" s="224"/>
      <c r="AF957" s="224"/>
      <c r="AG957" s="224"/>
      <c r="AH957" s="224"/>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12"/>
      <c r="BE957" s="12"/>
      <c r="BF957" s="12"/>
      <c r="BG957" s="12"/>
      <c r="BH957" s="12"/>
      <c r="BI957" s="12"/>
      <c r="BJ957" s="12"/>
      <c r="BK957" s="12"/>
      <c r="BL957" s="12"/>
    </row>
    <row r="958" spans="1:64" ht="12" hidden="1" customHeight="1" outlineLevel="1">
      <c r="A958" s="9"/>
      <c r="B958" s="9"/>
      <c r="C958" s="9"/>
      <c r="D958" s="271" t="str">
        <f>Asset3</f>
        <v>Standard metering</v>
      </c>
      <c r="E958" s="9"/>
      <c r="F958" s="9"/>
      <c r="G958" s="204">
        <f t="shared" si="133"/>
        <v>-13.669703459507025</v>
      </c>
      <c r="H958" s="334">
        <f>SUMIF($D$75:$D$466,$D698,H$75:H$466)*Input!I$314</f>
        <v>-16.230563390343036</v>
      </c>
      <c r="I958" s="334">
        <f>SUMIF($D$75:$D$466,$D698,I$75:I$466)*Input!J$314</f>
        <v>0</v>
      </c>
      <c r="J958" s="334">
        <f>SUMIF($D$75:$D$466,$D698,J$75:J$466)*Input!K$314</f>
        <v>0</v>
      </c>
      <c r="K958" s="334">
        <f>SUMIF($D$75:$D$466,$D698,K$75:K$466)*Input!L$314</f>
        <v>0</v>
      </c>
      <c r="L958" s="334">
        <f>SUMIF($D$75:$D$466,$D698,L$75:L$466)*Input!M$314</f>
        <v>0</v>
      </c>
      <c r="M958" s="334">
        <f>SUMIF($D$75:$D$466,$D698,M$75:M$466)*Input!N$314</f>
        <v>0</v>
      </c>
      <c r="N958" s="334">
        <f>SUMIF($D$75:$D$466,$D698,N$75:N$466)*Input!O$314</f>
        <v>0</v>
      </c>
      <c r="O958" s="334">
        <f>SUMIF($D$75:$D$466,$D698,O$75:O$466)*Input!P$314</f>
        <v>0</v>
      </c>
      <c r="P958" s="334">
        <f>SUMIF($D$75:$D$466,$D698,P$75:P$466)*Input!Q$314</f>
        <v>0</v>
      </c>
      <c r="Q958" s="334">
        <f>SUMIF($D$75:$D$466,$D698,Q$75:Q$466)*Input!R$314</f>
        <v>0</v>
      </c>
      <c r="R958" s="9"/>
      <c r="S958" s="12"/>
      <c r="T958" s="12"/>
      <c r="U958" s="12"/>
      <c r="V958" s="12"/>
      <c r="W958" s="12"/>
      <c r="X958" s="12"/>
      <c r="Y958" s="12"/>
      <c r="Z958" s="12"/>
      <c r="AA958" s="224"/>
      <c r="AB958" s="224"/>
      <c r="AC958" s="224"/>
      <c r="AD958" s="224"/>
      <c r="AE958" s="224"/>
      <c r="AF958" s="224"/>
      <c r="AG958" s="224"/>
      <c r="AH958" s="224"/>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12"/>
      <c r="BE958" s="12"/>
      <c r="BF958" s="12"/>
      <c r="BG958" s="12"/>
      <c r="BH958" s="12"/>
      <c r="BI958" s="12"/>
      <c r="BJ958" s="12"/>
      <c r="BK958" s="12"/>
      <c r="BL958" s="12"/>
    </row>
    <row r="959" spans="1:64" ht="12" hidden="1" customHeight="1" outlineLevel="1">
      <c r="A959" s="9"/>
      <c r="B959" s="9"/>
      <c r="C959" s="9"/>
      <c r="D959" s="271" t="str">
        <f>Asset4</f>
        <v>Public lighting</v>
      </c>
      <c r="E959" s="9"/>
      <c r="F959" s="9"/>
      <c r="G959" s="204">
        <f t="shared" si="133"/>
        <v>-6.6263012669373902</v>
      </c>
      <c r="H959" s="334">
        <f>SUMIF($D$75:$D$466,$D699,H$75:H$466)*Input!I$314</f>
        <v>-0.3998181760608121</v>
      </c>
      <c r="I959" s="334">
        <f>SUMIF($D$75:$D$466,$D699,I$75:I$466)*Input!J$314</f>
        <v>0</v>
      </c>
      <c r="J959" s="334">
        <f>SUMIF($D$75:$D$466,$D699,J$75:J$466)*Input!K$314</f>
        <v>0</v>
      </c>
      <c r="K959" s="334">
        <f>SUMIF($D$75:$D$466,$D699,K$75:K$466)*Input!L$314</f>
        <v>0</v>
      </c>
      <c r="L959" s="334">
        <f>SUMIF($D$75:$D$466,$D699,L$75:L$466)*Input!M$314</f>
        <v>0</v>
      </c>
      <c r="M959" s="334">
        <f>SUMIF($D$75:$D$466,$D699,M$75:M$466)*Input!N$314</f>
        <v>0</v>
      </c>
      <c r="N959" s="334">
        <f>SUMIF($D$75:$D$466,$D699,N$75:N$466)*Input!O$314</f>
        <v>0</v>
      </c>
      <c r="O959" s="334">
        <f>SUMIF($D$75:$D$466,$D699,O$75:O$466)*Input!P$314</f>
        <v>0</v>
      </c>
      <c r="P959" s="334">
        <f>SUMIF($D$75:$D$466,$D699,P$75:P$466)*Input!Q$314</f>
        <v>0</v>
      </c>
      <c r="Q959" s="334">
        <f>SUMIF($D$75:$D$466,$D699,Q$75:Q$466)*Input!R$314</f>
        <v>0</v>
      </c>
      <c r="R959" s="9"/>
      <c r="S959" s="12"/>
      <c r="T959" s="12"/>
      <c r="U959" s="12"/>
      <c r="V959" s="12"/>
      <c r="W959" s="12"/>
      <c r="X959" s="12"/>
      <c r="Y959" s="12"/>
      <c r="Z959" s="12"/>
      <c r="AA959" s="224"/>
      <c r="AB959" s="224"/>
      <c r="AC959" s="224"/>
      <c r="AD959" s="224"/>
      <c r="AE959" s="224"/>
      <c r="AF959" s="224"/>
      <c r="AG959" s="224"/>
      <c r="AH959" s="224"/>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12"/>
      <c r="BE959" s="12"/>
      <c r="BF959" s="12"/>
      <c r="BG959" s="12"/>
      <c r="BH959" s="12"/>
      <c r="BI959" s="12"/>
      <c r="BJ959" s="12"/>
      <c r="BK959" s="12"/>
      <c r="BL959" s="12"/>
    </row>
    <row r="960" spans="1:64" ht="12" hidden="1" customHeight="1" outlineLevel="1">
      <c r="A960" s="9"/>
      <c r="B960" s="9"/>
      <c r="C960" s="9"/>
      <c r="D960" s="271" t="str">
        <f>Asset5</f>
        <v>SCADA/Network control</v>
      </c>
      <c r="E960" s="9"/>
      <c r="F960" s="9"/>
      <c r="G960" s="204">
        <f t="shared" si="133"/>
        <v>-10.073008250776279</v>
      </c>
      <c r="H960" s="334">
        <f>SUMIF($D$75:$D$466,$D700,H$75:H$466)*Input!I$314</f>
        <v>-1.7117584534478618E-15</v>
      </c>
      <c r="I960" s="334">
        <f>SUMIF($D$75:$D$466,$D700,I$75:I$466)*Input!J$314</f>
        <v>-0.27551700916947958</v>
      </c>
      <c r="J960" s="334">
        <f>SUMIF($D$75:$D$466,$D700,J$75:J$466)*Input!K$314</f>
        <v>-1.5506897091565668</v>
      </c>
      <c r="K960" s="334">
        <f>SUMIF($D$75:$D$466,$D700,K$75:K$466)*Input!L$314</f>
        <v>-1.995117265772838</v>
      </c>
      <c r="L960" s="334">
        <f>SUMIF($D$75:$D$466,$D700,L$75:L$466)*Input!M$314</f>
        <v>-2.1985883126571499</v>
      </c>
      <c r="M960" s="334">
        <f>SUMIF($D$75:$D$466,$D700,M$75:M$466)*Input!N$314</f>
        <v>0</v>
      </c>
      <c r="N960" s="334">
        <f>SUMIF($D$75:$D$466,$D700,N$75:N$466)*Input!O$314</f>
        <v>0</v>
      </c>
      <c r="O960" s="334">
        <f>SUMIF($D$75:$D$466,$D700,O$75:O$466)*Input!P$314</f>
        <v>0</v>
      </c>
      <c r="P960" s="334">
        <f>SUMIF($D$75:$D$466,$D700,P$75:P$466)*Input!Q$314</f>
        <v>0</v>
      </c>
      <c r="Q960" s="334">
        <f>SUMIF($D$75:$D$466,$D700,Q$75:Q$466)*Input!R$314</f>
        <v>0</v>
      </c>
      <c r="R960" s="9"/>
      <c r="S960" s="12"/>
      <c r="T960" s="12"/>
      <c r="U960" s="12"/>
      <c r="V960" s="12"/>
      <c r="W960" s="12"/>
      <c r="X960" s="12"/>
      <c r="Y960" s="12"/>
      <c r="Z960" s="12"/>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12"/>
      <c r="BE960" s="12"/>
      <c r="BF960" s="12"/>
      <c r="BG960" s="12"/>
      <c r="BH960" s="12"/>
      <c r="BI960" s="12"/>
      <c r="BJ960" s="12"/>
      <c r="BK960" s="12"/>
      <c r="BL960" s="12"/>
    </row>
    <row r="961" spans="1:64" ht="12" hidden="1" customHeight="1" outlineLevel="1">
      <c r="A961" s="9"/>
      <c r="B961" s="9"/>
      <c r="C961" s="9"/>
      <c r="D961" s="271" t="str">
        <f>Asset6</f>
        <v>Non-network general assets - IT</v>
      </c>
      <c r="E961" s="9"/>
      <c r="F961" s="9"/>
      <c r="G961" s="204">
        <f t="shared" si="133"/>
        <v>-18.835893236065399</v>
      </c>
      <c r="H961" s="334">
        <f>SUMIF($D$75:$D$466,$D701,H$75:H$466)*Input!I$314</f>
        <v>-26.541574661726372</v>
      </c>
      <c r="I961" s="334">
        <f>SUMIF($D$75:$D$466,$D701,I$75:I$466)*Input!J$314</f>
        <v>-37.597913657369766</v>
      </c>
      <c r="J961" s="334">
        <f>SUMIF($D$75:$D$466,$D701,J$75:J$466)*Input!K$314</f>
        <v>-48.123885217595586</v>
      </c>
      <c r="K961" s="334">
        <f>SUMIF($D$75:$D$466,$D701,K$75:K$466)*Input!L$314</f>
        <v>-44.393378816738142</v>
      </c>
      <c r="L961" s="334">
        <f>SUMIF($D$75:$D$466,$D701,L$75:L$466)*Input!M$314</f>
        <v>-39.035291848491134</v>
      </c>
      <c r="M961" s="334">
        <f>SUMIF($D$75:$D$466,$D701,M$75:M$466)*Input!N$314</f>
        <v>0</v>
      </c>
      <c r="N961" s="334">
        <f>SUMIF($D$75:$D$466,$D701,N$75:N$466)*Input!O$314</f>
        <v>0</v>
      </c>
      <c r="O961" s="334">
        <f>SUMIF($D$75:$D$466,$D701,O$75:O$466)*Input!P$314</f>
        <v>0</v>
      </c>
      <c r="P961" s="334">
        <f>SUMIF($D$75:$D$466,$D701,P$75:P$466)*Input!Q$314</f>
        <v>0</v>
      </c>
      <c r="Q961" s="334">
        <f>SUMIF($D$75:$D$466,$D701,Q$75:Q$466)*Input!R$314</f>
        <v>0</v>
      </c>
      <c r="R961" s="9"/>
      <c r="S961" s="12"/>
      <c r="T961" s="12"/>
      <c r="U961" s="12"/>
      <c r="V961" s="12"/>
      <c r="W961" s="12"/>
      <c r="X961" s="12"/>
      <c r="Y961" s="12"/>
      <c r="Z961" s="12"/>
      <c r="AA961" s="224"/>
      <c r="AB961" s="224"/>
      <c r="AC961" s="224"/>
      <c r="AD961" s="224"/>
      <c r="AE961" s="224"/>
      <c r="AF961" s="224"/>
      <c r="AG961" s="224"/>
      <c r="AH961" s="224"/>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12"/>
      <c r="BE961" s="12"/>
      <c r="BF961" s="12"/>
      <c r="BG961" s="12"/>
      <c r="BH961" s="12"/>
      <c r="BI961" s="12"/>
      <c r="BJ961" s="12"/>
      <c r="BK961" s="12"/>
      <c r="BL961" s="12"/>
    </row>
    <row r="962" spans="1:64" ht="12" hidden="1" customHeight="1" outlineLevel="1">
      <c r="A962" s="9"/>
      <c r="B962" s="9"/>
      <c r="C962" s="9"/>
      <c r="D962" s="271" t="str">
        <f>Asset7</f>
        <v>Non-network general assets - Other</v>
      </c>
      <c r="E962" s="9"/>
      <c r="F962" s="9"/>
      <c r="G962" s="204">
        <f t="shared" si="133"/>
        <v>-0.34424816762061555</v>
      </c>
      <c r="H962" s="334">
        <f>SUMIF($D$75:$D$466,$D702,H$75:H$466)*Input!I$314</f>
        <v>-35.231133895476837</v>
      </c>
      <c r="I962" s="334">
        <f>SUMIF($D$75:$D$466,$D702,I$75:I$466)*Input!J$314</f>
        <v>-1.0669167636159624</v>
      </c>
      <c r="J962" s="334">
        <f>SUMIF($D$75:$D$466,$D702,J$75:J$466)*Input!K$314</f>
        <v>-1.8811885899833436</v>
      </c>
      <c r="K962" s="334">
        <f>SUMIF($D$75:$D$466,$D702,K$75:K$466)*Input!L$314</f>
        <v>-3.0941154611363086</v>
      </c>
      <c r="L962" s="334">
        <f>SUMIF($D$75:$D$466,$D702,L$75:L$466)*Input!M$314</f>
        <v>-4.1095987971275152</v>
      </c>
      <c r="M962" s="334">
        <f>SUMIF($D$75:$D$466,$D702,M$75:M$466)*Input!N$314</f>
        <v>0</v>
      </c>
      <c r="N962" s="334">
        <f>SUMIF($D$75:$D$466,$D702,N$75:N$466)*Input!O$314</f>
        <v>0</v>
      </c>
      <c r="O962" s="334">
        <f>SUMIF($D$75:$D$466,$D702,O$75:O$466)*Input!P$314</f>
        <v>0</v>
      </c>
      <c r="P962" s="334">
        <f>SUMIF($D$75:$D$466,$D702,P$75:P$466)*Input!Q$314</f>
        <v>0</v>
      </c>
      <c r="Q962" s="334">
        <f>SUMIF($D$75:$D$466,$D702,Q$75:Q$466)*Input!R$314</f>
        <v>0</v>
      </c>
      <c r="R962" s="9"/>
      <c r="S962" s="12"/>
      <c r="T962" s="12"/>
      <c r="U962" s="12"/>
      <c r="V962" s="12"/>
      <c r="W962" s="12"/>
      <c r="X962" s="12"/>
      <c r="Y962" s="12"/>
      <c r="Z962" s="12"/>
      <c r="AA962" s="224"/>
      <c r="AB962" s="224"/>
      <c r="AC962" s="224"/>
      <c r="AD962" s="224"/>
      <c r="AE962" s="224"/>
      <c r="AF962" s="224"/>
      <c r="AG962" s="224"/>
      <c r="AH962" s="224"/>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12"/>
      <c r="BE962" s="12"/>
      <c r="BF962" s="12"/>
      <c r="BG962" s="12"/>
      <c r="BH962" s="12"/>
      <c r="BI962" s="12"/>
      <c r="BJ962" s="12"/>
      <c r="BK962" s="12"/>
      <c r="BL962" s="12"/>
    </row>
    <row r="963" spans="1:64" ht="12" hidden="1" customHeight="1" outlineLevel="1">
      <c r="A963" s="9"/>
      <c r="B963" s="9"/>
      <c r="C963" s="9"/>
      <c r="D963" s="271" t="str">
        <f>Asset8</f>
        <v>Equity Raising Costs</v>
      </c>
      <c r="E963" s="9"/>
      <c r="F963" s="9"/>
      <c r="G963" s="204">
        <f t="shared" si="133"/>
        <v>0</v>
      </c>
      <c r="H963" s="334">
        <f>SUMIF($D$75:$D$466,$D703,H$75:H$466)*Input!I$314</f>
        <v>0</v>
      </c>
      <c r="I963" s="334">
        <f>SUMIF($D$75:$D$466,$D703,I$75:I$466)*Input!J$314</f>
        <v>-3.4644479912474151E-2</v>
      </c>
      <c r="J963" s="334">
        <f>SUMIF($D$75:$D$466,$D703,J$75:J$466)*Input!K$314</f>
        <v>-3.5338758067032752E-2</v>
      </c>
      <c r="K963" s="334">
        <f>SUMIF($D$75:$D$466,$D703,K$75:K$466)*Input!L$314</f>
        <v>-3.6102464037047213E-2</v>
      </c>
      <c r="L963" s="334">
        <f>SUMIF($D$75:$D$466,$D703,L$75:L$466)*Input!M$314</f>
        <v>-3.6935597822517534E-2</v>
      </c>
      <c r="M963" s="334">
        <f>SUMIF($D$75:$D$466,$D703,M$75:M$466)*Input!N$314</f>
        <v>0</v>
      </c>
      <c r="N963" s="334">
        <f>SUMIF($D$75:$D$466,$D703,N$75:N$466)*Input!O$314</f>
        <v>0</v>
      </c>
      <c r="O963" s="334">
        <f>SUMIF($D$75:$D$466,$D703,O$75:O$466)*Input!P$314</f>
        <v>0</v>
      </c>
      <c r="P963" s="334">
        <f>SUMIF($D$75:$D$466,$D703,P$75:P$466)*Input!Q$314</f>
        <v>0</v>
      </c>
      <c r="Q963" s="334">
        <f>SUMIF($D$75:$D$466,$D703,Q$75:Q$466)*Input!R$314</f>
        <v>0</v>
      </c>
      <c r="R963" s="9"/>
      <c r="S963" s="12"/>
      <c r="T963" s="12"/>
      <c r="U963" s="12"/>
      <c r="V963" s="12"/>
      <c r="W963" s="12"/>
      <c r="X963" s="12"/>
      <c r="Y963" s="12"/>
      <c r="Z963" s="12"/>
      <c r="AA963" s="224"/>
      <c r="AB963" s="224"/>
      <c r="AC963" s="224"/>
      <c r="AD963" s="224"/>
      <c r="AE963" s="224"/>
      <c r="AF963" s="224"/>
      <c r="AG963" s="224"/>
      <c r="AH963" s="224"/>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12"/>
      <c r="BE963" s="12"/>
      <c r="BF963" s="12"/>
      <c r="BG963" s="12"/>
      <c r="BH963" s="12"/>
      <c r="BI963" s="12"/>
      <c r="BJ963" s="12"/>
      <c r="BK963" s="12"/>
      <c r="BL963" s="12"/>
    </row>
    <row r="964" spans="1:64" ht="12" hidden="1" customHeight="1" outlineLevel="1">
      <c r="A964" s="9"/>
      <c r="B964" s="9"/>
      <c r="C964" s="9"/>
      <c r="D964" s="271">
        <f>Asset9</f>
        <v>0</v>
      </c>
      <c r="E964" s="9"/>
      <c r="F964" s="9"/>
      <c r="G964" s="204">
        <f t="shared" si="133"/>
        <v>0</v>
      </c>
      <c r="H964" s="334">
        <f>SUMIF($D$75:$D$466,$D704,H$75:H$466)*Input!I$314</f>
        <v>0</v>
      </c>
      <c r="I964" s="334">
        <f>SUMIF($D$75:$D$466,$D704,I$75:I$466)*Input!J$314</f>
        <v>0</v>
      </c>
      <c r="J964" s="334">
        <f>SUMIF($D$75:$D$466,$D704,J$75:J$466)*Input!K$314</f>
        <v>0</v>
      </c>
      <c r="K964" s="334">
        <f>SUMIF($D$75:$D$466,$D704,K$75:K$466)*Input!L$314</f>
        <v>0</v>
      </c>
      <c r="L964" s="334">
        <f>SUMIF($D$75:$D$466,$D704,L$75:L$466)*Input!M$314</f>
        <v>0</v>
      </c>
      <c r="M964" s="334">
        <f>SUMIF($D$75:$D$466,$D704,M$75:M$466)*Input!N$314</f>
        <v>0</v>
      </c>
      <c r="N964" s="334">
        <f>SUMIF($D$75:$D$466,$D704,N$75:N$466)*Input!O$314</f>
        <v>0</v>
      </c>
      <c r="O964" s="334">
        <f>SUMIF($D$75:$D$466,$D704,O$75:O$466)*Input!P$314</f>
        <v>0</v>
      </c>
      <c r="P964" s="334">
        <f>SUMIF($D$75:$D$466,$D704,P$75:P$466)*Input!Q$314</f>
        <v>0</v>
      </c>
      <c r="Q964" s="334">
        <f>SUMIF($D$75:$D$466,$D704,Q$75:Q$466)*Input!R$314</f>
        <v>0</v>
      </c>
      <c r="R964" s="9"/>
      <c r="S964" s="12"/>
      <c r="T964" s="12"/>
      <c r="U964" s="12"/>
      <c r="V964" s="12"/>
      <c r="W964" s="12"/>
      <c r="X964" s="12"/>
      <c r="Y964" s="12"/>
      <c r="Z964" s="12"/>
      <c r="AA964" s="224"/>
      <c r="AB964" s="224"/>
      <c r="AC964" s="224"/>
      <c r="AD964" s="224"/>
      <c r="AE964" s="224"/>
      <c r="AF964" s="224"/>
      <c r="AG964" s="224"/>
      <c r="AH964" s="224"/>
      <c r="AI964" s="224"/>
      <c r="AJ964" s="224"/>
      <c r="AK964" s="224"/>
      <c r="AL964" s="224"/>
      <c r="AM964" s="224"/>
      <c r="AN964" s="224"/>
      <c r="AO964" s="224"/>
      <c r="AP964" s="224"/>
      <c r="AQ964" s="224"/>
      <c r="AR964" s="224"/>
      <c r="AS964" s="224"/>
      <c r="AT964" s="224"/>
      <c r="AU964" s="224"/>
      <c r="AV964" s="224"/>
      <c r="AW964" s="224"/>
      <c r="AX964" s="224"/>
      <c r="AY964" s="224"/>
      <c r="AZ964" s="224"/>
      <c r="BA964" s="224"/>
      <c r="BB964" s="224"/>
      <c r="BC964" s="224"/>
      <c r="BD964" s="12"/>
      <c r="BE964" s="12"/>
      <c r="BF964" s="12"/>
      <c r="BG964" s="12"/>
      <c r="BH964" s="12"/>
      <c r="BI964" s="12"/>
      <c r="BJ964" s="12"/>
      <c r="BK964" s="12"/>
      <c r="BL964" s="12"/>
    </row>
    <row r="965" spans="1:64" ht="12" hidden="1" customHeight="1" outlineLevel="1">
      <c r="A965" s="9"/>
      <c r="B965" s="9"/>
      <c r="C965" s="9"/>
      <c r="D965" s="271">
        <f>Asset10</f>
        <v>0</v>
      </c>
      <c r="E965" s="9"/>
      <c r="F965" s="9"/>
      <c r="G965" s="204">
        <f t="shared" si="133"/>
        <v>0</v>
      </c>
      <c r="H965" s="334">
        <f>SUMIF($D$75:$D$466,$D705,H$75:H$466)*Input!I$314</f>
        <v>0</v>
      </c>
      <c r="I965" s="334">
        <f>SUMIF($D$75:$D$466,$D705,I$75:I$466)*Input!J$314</f>
        <v>0</v>
      </c>
      <c r="J965" s="334">
        <f>SUMIF($D$75:$D$466,$D705,J$75:J$466)*Input!K$314</f>
        <v>0</v>
      </c>
      <c r="K965" s="334">
        <f>SUMIF($D$75:$D$466,$D705,K$75:K$466)*Input!L$314</f>
        <v>0</v>
      </c>
      <c r="L965" s="334">
        <f>SUMIF($D$75:$D$466,$D705,L$75:L$466)*Input!M$314</f>
        <v>0</v>
      </c>
      <c r="M965" s="334">
        <f>SUMIF($D$75:$D$466,$D705,M$75:M$466)*Input!N$314</f>
        <v>0</v>
      </c>
      <c r="N965" s="334">
        <f>SUMIF($D$75:$D$466,$D705,N$75:N$466)*Input!O$314</f>
        <v>0</v>
      </c>
      <c r="O965" s="334">
        <f>SUMIF($D$75:$D$466,$D705,O$75:O$466)*Input!P$314</f>
        <v>0</v>
      </c>
      <c r="P965" s="334">
        <f>SUMIF($D$75:$D$466,$D705,P$75:P$466)*Input!Q$314</f>
        <v>0</v>
      </c>
      <c r="Q965" s="334">
        <f>SUMIF($D$75:$D$466,$D705,Q$75:Q$466)*Input!R$314</f>
        <v>0</v>
      </c>
      <c r="R965" s="9"/>
      <c r="S965" s="12"/>
      <c r="T965" s="12"/>
      <c r="U965" s="12"/>
      <c r="V965" s="12"/>
      <c r="W965" s="12"/>
      <c r="X965" s="12"/>
      <c r="Y965" s="12"/>
      <c r="Z965" s="12"/>
      <c r="AA965" s="224"/>
      <c r="AB965" s="224"/>
      <c r="AC965" s="224"/>
      <c r="AD965" s="224"/>
      <c r="AE965" s="224"/>
      <c r="AF965" s="224"/>
      <c r="AG965" s="224"/>
      <c r="AH965" s="224"/>
      <c r="AI965" s="224"/>
      <c r="AJ965" s="224"/>
      <c r="AK965" s="224"/>
      <c r="AL965" s="224"/>
      <c r="AM965" s="224"/>
      <c r="AN965" s="224"/>
      <c r="AO965" s="224"/>
      <c r="AP965" s="224"/>
      <c r="AQ965" s="224"/>
      <c r="AR965" s="224"/>
      <c r="AS965" s="224"/>
      <c r="AT965" s="224"/>
      <c r="AU965" s="224"/>
      <c r="AV965" s="224"/>
      <c r="AW965" s="224"/>
      <c r="AX965" s="224"/>
      <c r="AY965" s="224"/>
      <c r="AZ965" s="224"/>
      <c r="BA965" s="224"/>
      <c r="BB965" s="224"/>
      <c r="BC965" s="224"/>
      <c r="BD965" s="12"/>
      <c r="BE965" s="12"/>
      <c r="BF965" s="12"/>
      <c r="BG965" s="12"/>
      <c r="BH965" s="12"/>
      <c r="BI965" s="12"/>
      <c r="BJ965" s="12"/>
      <c r="BK965" s="12"/>
      <c r="BL965" s="12"/>
    </row>
    <row r="966" spans="1:64" ht="12" hidden="1" customHeight="1" outlineLevel="1">
      <c r="A966" s="9"/>
      <c r="B966" s="9"/>
      <c r="C966" s="9"/>
      <c r="D966" s="271">
        <f>Asset11</f>
        <v>0</v>
      </c>
      <c r="E966" s="9"/>
      <c r="F966" s="9"/>
      <c r="G966" s="204">
        <f t="shared" si="133"/>
        <v>0</v>
      </c>
      <c r="H966" s="334">
        <f>SUMIF($D$75:$D$466,$D706,H$75:H$466)*Input!I$314</f>
        <v>0</v>
      </c>
      <c r="I966" s="334">
        <f>SUMIF($D$75:$D$466,$D706,I$75:I$466)*Input!J$314</f>
        <v>0</v>
      </c>
      <c r="J966" s="334">
        <f>SUMIF($D$75:$D$466,$D706,J$75:J$466)*Input!K$314</f>
        <v>0</v>
      </c>
      <c r="K966" s="334">
        <f>SUMIF($D$75:$D$466,$D706,K$75:K$466)*Input!L$314</f>
        <v>0</v>
      </c>
      <c r="L966" s="334">
        <f>SUMIF($D$75:$D$466,$D706,L$75:L$466)*Input!M$314</f>
        <v>0</v>
      </c>
      <c r="M966" s="334">
        <f>SUMIF($D$75:$D$466,$D706,M$75:M$466)*Input!N$314</f>
        <v>0</v>
      </c>
      <c r="N966" s="334">
        <f>SUMIF($D$75:$D$466,$D706,N$75:N$466)*Input!O$314</f>
        <v>0</v>
      </c>
      <c r="O966" s="334">
        <f>SUMIF($D$75:$D$466,$D706,O$75:O$466)*Input!P$314</f>
        <v>0</v>
      </c>
      <c r="P966" s="334">
        <f>SUMIF($D$75:$D$466,$D706,P$75:P$466)*Input!Q$314</f>
        <v>0</v>
      </c>
      <c r="Q966" s="334">
        <f>SUMIF($D$75:$D$466,$D706,Q$75:Q$466)*Input!R$314</f>
        <v>0</v>
      </c>
      <c r="R966" s="9"/>
      <c r="S966" s="12"/>
      <c r="T966" s="12"/>
      <c r="U966" s="12"/>
      <c r="V966" s="12"/>
      <c r="W966" s="12"/>
      <c r="X966" s="12"/>
      <c r="Y966" s="12"/>
      <c r="Z966" s="12"/>
      <c r="AA966" s="224"/>
      <c r="AB966" s="224"/>
      <c r="AC966" s="224"/>
      <c r="AD966" s="224"/>
      <c r="AE966" s="224"/>
      <c r="AF966" s="224"/>
      <c r="AG966" s="224"/>
      <c r="AH966" s="224"/>
      <c r="AI966" s="224"/>
      <c r="AJ966" s="224"/>
      <c r="AK966" s="224"/>
      <c r="AL966" s="224"/>
      <c r="AM966" s="224"/>
      <c r="AN966" s="224"/>
      <c r="AO966" s="224"/>
      <c r="AP966" s="224"/>
      <c r="AQ966" s="224"/>
      <c r="AR966" s="224"/>
      <c r="AS966" s="224"/>
      <c r="AT966" s="224"/>
      <c r="AU966" s="224"/>
      <c r="AV966" s="224"/>
      <c r="AW966" s="224"/>
      <c r="AX966" s="224"/>
      <c r="AY966" s="224"/>
      <c r="AZ966" s="224"/>
      <c r="BA966" s="224"/>
      <c r="BB966" s="224"/>
      <c r="BC966" s="224"/>
      <c r="BD966" s="12"/>
      <c r="BE966" s="12"/>
      <c r="BF966" s="12"/>
      <c r="BG966" s="12"/>
      <c r="BH966" s="12"/>
      <c r="BI966" s="12"/>
      <c r="BJ966" s="12"/>
      <c r="BK966" s="12"/>
      <c r="BL966" s="12"/>
    </row>
    <row r="967" spans="1:64" ht="12" hidden="1" customHeight="1" outlineLevel="1">
      <c r="A967" s="9"/>
      <c r="B967" s="9"/>
      <c r="C967" s="9"/>
      <c r="D967" s="271">
        <f>Asset12</f>
        <v>0</v>
      </c>
      <c r="E967" s="9"/>
      <c r="F967" s="9"/>
      <c r="G967" s="204">
        <f t="shared" si="133"/>
        <v>0</v>
      </c>
      <c r="H967" s="334">
        <f>SUMIF($D$75:$D$466,$D707,H$75:H$466)*Input!I$314</f>
        <v>0</v>
      </c>
      <c r="I967" s="334">
        <f>SUMIF($D$75:$D$466,$D707,I$75:I$466)*Input!J$314</f>
        <v>0</v>
      </c>
      <c r="J967" s="334">
        <f>SUMIF($D$75:$D$466,$D707,J$75:J$466)*Input!K$314</f>
        <v>0</v>
      </c>
      <c r="K967" s="334">
        <f>SUMIF($D$75:$D$466,$D707,K$75:K$466)*Input!L$314</f>
        <v>0</v>
      </c>
      <c r="L967" s="334">
        <f>SUMIF($D$75:$D$466,$D707,L$75:L$466)*Input!M$314</f>
        <v>0</v>
      </c>
      <c r="M967" s="334">
        <f>SUMIF($D$75:$D$466,$D707,M$75:M$466)*Input!N$314</f>
        <v>0</v>
      </c>
      <c r="N967" s="334">
        <f>SUMIF($D$75:$D$466,$D707,N$75:N$466)*Input!O$314</f>
        <v>0</v>
      </c>
      <c r="O967" s="334">
        <f>SUMIF($D$75:$D$466,$D707,O$75:O$466)*Input!P$314</f>
        <v>0</v>
      </c>
      <c r="P967" s="334">
        <f>SUMIF($D$75:$D$466,$D707,P$75:P$466)*Input!Q$314</f>
        <v>0</v>
      </c>
      <c r="Q967" s="334">
        <f>SUMIF($D$75:$D$466,$D707,Q$75:Q$466)*Input!R$314</f>
        <v>0</v>
      </c>
      <c r="R967" s="9"/>
      <c r="S967" s="12"/>
      <c r="T967" s="12"/>
      <c r="U967" s="12"/>
      <c r="V967" s="12"/>
      <c r="W967" s="12"/>
      <c r="X967" s="12"/>
      <c r="Y967" s="12"/>
      <c r="Z967" s="12"/>
      <c r="AA967" s="224"/>
      <c r="AB967" s="224"/>
      <c r="AC967" s="224"/>
      <c r="AD967" s="224"/>
      <c r="AE967" s="224"/>
      <c r="AF967" s="224"/>
      <c r="AG967" s="224"/>
      <c r="AH967" s="224"/>
      <c r="AI967" s="224"/>
      <c r="AJ967" s="224"/>
      <c r="AK967" s="224"/>
      <c r="AL967" s="224"/>
      <c r="AM967" s="224"/>
      <c r="AN967" s="224"/>
      <c r="AO967" s="224"/>
      <c r="AP967" s="224"/>
      <c r="AQ967" s="224"/>
      <c r="AR967" s="224"/>
      <c r="AS967" s="224"/>
      <c r="AT967" s="224"/>
      <c r="AU967" s="224"/>
      <c r="AV967" s="224"/>
      <c r="AW967" s="224"/>
      <c r="AX967" s="224"/>
      <c r="AY967" s="224"/>
      <c r="AZ967" s="224"/>
      <c r="BA967" s="224"/>
      <c r="BB967" s="224"/>
      <c r="BC967" s="224"/>
      <c r="BD967" s="12"/>
      <c r="BE967" s="12"/>
      <c r="BF967" s="12"/>
      <c r="BG967" s="12"/>
      <c r="BH967" s="12"/>
      <c r="BI967" s="12"/>
      <c r="BJ967" s="12"/>
      <c r="BK967" s="12"/>
      <c r="BL967" s="12"/>
    </row>
    <row r="968" spans="1:64" ht="12" hidden="1" customHeight="1" outlineLevel="1">
      <c r="A968" s="9"/>
      <c r="B968" s="9"/>
      <c r="C968" s="9"/>
      <c r="D968" s="271">
        <f>Asset13</f>
        <v>0</v>
      </c>
      <c r="E968" s="9"/>
      <c r="F968" s="9"/>
      <c r="G968" s="204">
        <f t="shared" si="133"/>
        <v>0</v>
      </c>
      <c r="H968" s="334">
        <f>SUMIF($D$75:$D$466,$D708,H$75:H$466)*Input!I$314</f>
        <v>0</v>
      </c>
      <c r="I968" s="334">
        <f>SUMIF($D$75:$D$466,$D708,I$75:I$466)*Input!J$314</f>
        <v>0</v>
      </c>
      <c r="J968" s="334">
        <f>SUMIF($D$75:$D$466,$D708,J$75:J$466)*Input!K$314</f>
        <v>0</v>
      </c>
      <c r="K968" s="334">
        <f>SUMIF($D$75:$D$466,$D708,K$75:K$466)*Input!L$314</f>
        <v>0</v>
      </c>
      <c r="L968" s="334">
        <f>SUMIF($D$75:$D$466,$D708,L$75:L$466)*Input!M$314</f>
        <v>0</v>
      </c>
      <c r="M968" s="334">
        <f>SUMIF($D$75:$D$466,$D708,M$75:M$466)*Input!N$314</f>
        <v>0</v>
      </c>
      <c r="N968" s="334">
        <f>SUMIF($D$75:$D$466,$D708,N$75:N$466)*Input!O$314</f>
        <v>0</v>
      </c>
      <c r="O968" s="334">
        <f>SUMIF($D$75:$D$466,$D708,O$75:O$466)*Input!P$314</f>
        <v>0</v>
      </c>
      <c r="P968" s="334">
        <f>SUMIF($D$75:$D$466,$D708,P$75:P$466)*Input!Q$314</f>
        <v>0</v>
      </c>
      <c r="Q968" s="334">
        <f>SUMIF($D$75:$D$466,$D708,Q$75:Q$466)*Input!R$314</f>
        <v>0</v>
      </c>
      <c r="R968" s="9"/>
      <c r="S968" s="12"/>
      <c r="T968" s="12"/>
      <c r="U968" s="12"/>
      <c r="V968" s="12"/>
      <c r="W968" s="12"/>
      <c r="X968" s="12"/>
      <c r="Y968" s="12"/>
      <c r="Z968" s="12"/>
      <c r="AA968" s="224"/>
      <c r="AB968" s="224"/>
      <c r="AC968" s="224"/>
      <c r="AD968" s="224"/>
      <c r="AE968" s="224"/>
      <c r="AF968" s="224"/>
      <c r="AG968" s="224"/>
      <c r="AH968" s="224"/>
      <c r="AI968" s="224"/>
      <c r="AJ968" s="224"/>
      <c r="AK968" s="224"/>
      <c r="AL968" s="224"/>
      <c r="AM968" s="224"/>
      <c r="AN968" s="224"/>
      <c r="AO968" s="224"/>
      <c r="AP968" s="224"/>
      <c r="AQ968" s="224"/>
      <c r="AR968" s="224"/>
      <c r="AS968" s="224"/>
      <c r="AT968" s="224"/>
      <c r="AU968" s="224"/>
      <c r="AV968" s="224"/>
      <c r="AW968" s="224"/>
      <c r="AX968" s="224"/>
      <c r="AY968" s="224"/>
      <c r="AZ968" s="224"/>
      <c r="BA968" s="224"/>
      <c r="BB968" s="224"/>
      <c r="BC968" s="224"/>
      <c r="BD968" s="12"/>
      <c r="BE968" s="12"/>
      <c r="BF968" s="12"/>
      <c r="BG968" s="12"/>
      <c r="BH968" s="12"/>
      <c r="BI968" s="12"/>
      <c r="BJ968" s="12"/>
      <c r="BK968" s="12"/>
      <c r="BL968" s="12"/>
    </row>
    <row r="969" spans="1:64" ht="12" hidden="1" customHeight="1" outlineLevel="1">
      <c r="A969" s="9"/>
      <c r="B969" s="9"/>
      <c r="C969" s="9"/>
      <c r="D969" s="271">
        <f>Asset14</f>
        <v>0</v>
      </c>
      <c r="E969" s="9"/>
      <c r="F969" s="9"/>
      <c r="G969" s="204">
        <f t="shared" si="133"/>
        <v>0</v>
      </c>
      <c r="H969" s="334">
        <f>SUMIF($D$75:$D$466,$D709,H$75:H$466)*Input!I$314</f>
        <v>0</v>
      </c>
      <c r="I969" s="334">
        <f>SUMIF($D$75:$D$466,$D709,I$75:I$466)*Input!J$314</f>
        <v>0</v>
      </c>
      <c r="J969" s="334">
        <f>SUMIF($D$75:$D$466,$D709,J$75:J$466)*Input!K$314</f>
        <v>0</v>
      </c>
      <c r="K969" s="334">
        <f>SUMIF($D$75:$D$466,$D709,K$75:K$466)*Input!L$314</f>
        <v>0</v>
      </c>
      <c r="L969" s="334">
        <f>SUMIF($D$75:$D$466,$D709,L$75:L$466)*Input!M$314</f>
        <v>0</v>
      </c>
      <c r="M969" s="334">
        <f>SUMIF($D$75:$D$466,$D709,M$75:M$466)*Input!N$314</f>
        <v>0</v>
      </c>
      <c r="N969" s="334">
        <f>SUMIF($D$75:$D$466,$D709,N$75:N$466)*Input!O$314</f>
        <v>0</v>
      </c>
      <c r="O969" s="334">
        <f>SUMIF($D$75:$D$466,$D709,O$75:O$466)*Input!P$314</f>
        <v>0</v>
      </c>
      <c r="P969" s="334">
        <f>SUMIF($D$75:$D$466,$D709,P$75:P$466)*Input!Q$314</f>
        <v>0</v>
      </c>
      <c r="Q969" s="334">
        <f>SUMIF($D$75:$D$466,$D709,Q$75:Q$466)*Input!R$314</f>
        <v>0</v>
      </c>
      <c r="R969" s="9"/>
      <c r="S969" s="12"/>
      <c r="T969" s="12"/>
      <c r="U969" s="12"/>
      <c r="V969" s="12"/>
      <c r="W969" s="12"/>
      <c r="X969" s="12"/>
      <c r="Y969" s="12"/>
      <c r="Z969" s="12"/>
      <c r="AA969" s="224"/>
      <c r="AB969" s="224"/>
      <c r="AC969" s="224"/>
      <c r="AD969" s="224"/>
      <c r="AE969" s="224"/>
      <c r="AF969" s="224"/>
      <c r="AG969" s="224"/>
      <c r="AH969" s="224"/>
      <c r="AI969" s="224"/>
      <c r="AJ969" s="224"/>
      <c r="AK969" s="224"/>
      <c r="AL969" s="224"/>
      <c r="AM969" s="224"/>
      <c r="AN969" s="224"/>
      <c r="AO969" s="224"/>
      <c r="AP969" s="224"/>
      <c r="AQ969" s="224"/>
      <c r="AR969" s="224"/>
      <c r="AS969" s="224"/>
      <c r="AT969" s="224"/>
      <c r="AU969" s="224"/>
      <c r="AV969" s="224"/>
      <c r="AW969" s="224"/>
      <c r="AX969" s="224"/>
      <c r="AY969" s="224"/>
      <c r="AZ969" s="224"/>
      <c r="BA969" s="224"/>
      <c r="BB969" s="224"/>
      <c r="BC969" s="224"/>
      <c r="BD969" s="12"/>
      <c r="BE969" s="12"/>
      <c r="BF969" s="12"/>
      <c r="BG969" s="12"/>
      <c r="BH969" s="12"/>
      <c r="BI969" s="12"/>
      <c r="BJ969" s="12"/>
      <c r="BK969" s="12"/>
      <c r="BL969" s="12"/>
    </row>
    <row r="970" spans="1:64" ht="12" hidden="1" customHeight="1" outlineLevel="1">
      <c r="A970" s="9"/>
      <c r="B970" s="9"/>
      <c r="C970" s="9"/>
      <c r="D970" s="271">
        <f>Asset15</f>
        <v>0</v>
      </c>
      <c r="E970" s="9"/>
      <c r="F970" s="9"/>
      <c r="G970" s="204">
        <f t="shared" si="133"/>
        <v>0</v>
      </c>
      <c r="H970" s="334">
        <f>SUMIF($D$75:$D$466,$D710,H$75:H$466)*Input!I$314</f>
        <v>0</v>
      </c>
      <c r="I970" s="334">
        <f>SUMIF($D$75:$D$466,$D710,I$75:I$466)*Input!J$314</f>
        <v>0</v>
      </c>
      <c r="J970" s="334">
        <f>SUMIF($D$75:$D$466,$D710,J$75:J$466)*Input!K$314</f>
        <v>0</v>
      </c>
      <c r="K970" s="334">
        <f>SUMIF($D$75:$D$466,$D710,K$75:K$466)*Input!L$314</f>
        <v>0</v>
      </c>
      <c r="L970" s="334">
        <f>SUMIF($D$75:$D$466,$D710,L$75:L$466)*Input!M$314</f>
        <v>0</v>
      </c>
      <c r="M970" s="334">
        <f>SUMIF($D$75:$D$466,$D710,M$75:M$466)*Input!N$314</f>
        <v>0</v>
      </c>
      <c r="N970" s="334">
        <f>SUMIF($D$75:$D$466,$D710,N$75:N$466)*Input!O$314</f>
        <v>0</v>
      </c>
      <c r="O970" s="334">
        <f>SUMIF($D$75:$D$466,$D710,O$75:O$466)*Input!P$314</f>
        <v>0</v>
      </c>
      <c r="P970" s="334">
        <f>SUMIF($D$75:$D$466,$D710,P$75:P$466)*Input!Q$314</f>
        <v>0</v>
      </c>
      <c r="Q970" s="334">
        <f>SUMIF($D$75:$D$466,$D710,Q$75:Q$466)*Input!R$314</f>
        <v>0</v>
      </c>
      <c r="R970" s="9"/>
      <c r="S970" s="12"/>
      <c r="T970" s="12"/>
      <c r="U970" s="12"/>
      <c r="V970" s="12"/>
      <c r="W970" s="12"/>
      <c r="X970" s="12"/>
      <c r="Y970" s="12"/>
      <c r="Z970" s="12"/>
      <c r="AA970" s="224"/>
      <c r="AB970" s="224"/>
      <c r="AC970" s="224"/>
      <c r="AD970" s="224"/>
      <c r="AE970" s="224"/>
      <c r="AF970" s="224"/>
      <c r="AG970" s="224"/>
      <c r="AH970" s="224"/>
      <c r="AI970" s="224"/>
      <c r="AJ970" s="224"/>
      <c r="AK970" s="224"/>
      <c r="AL970" s="224"/>
      <c r="AM970" s="224"/>
      <c r="AN970" s="224"/>
      <c r="AO970" s="224"/>
      <c r="AP970" s="224"/>
      <c r="AQ970" s="224"/>
      <c r="AR970" s="224"/>
      <c r="AS970" s="224"/>
      <c r="AT970" s="224"/>
      <c r="AU970" s="224"/>
      <c r="AV970" s="224"/>
      <c r="AW970" s="224"/>
      <c r="AX970" s="224"/>
      <c r="AY970" s="224"/>
      <c r="AZ970" s="224"/>
      <c r="BA970" s="224"/>
      <c r="BB970" s="224"/>
      <c r="BC970" s="224"/>
      <c r="BD970" s="12"/>
      <c r="BE970" s="12"/>
      <c r="BF970" s="12"/>
      <c r="BG970" s="12"/>
      <c r="BH970" s="12"/>
      <c r="BI970" s="12"/>
      <c r="BJ970" s="12"/>
      <c r="BK970" s="12"/>
      <c r="BL970" s="12"/>
    </row>
    <row r="971" spans="1:64" ht="12" hidden="1" customHeight="1" outlineLevel="1">
      <c r="A971" s="9"/>
      <c r="B971" s="9"/>
      <c r="C971" s="9"/>
      <c r="D971" s="271">
        <f>Asset16</f>
        <v>0</v>
      </c>
      <c r="E971" s="9"/>
      <c r="F971" s="9"/>
      <c r="G971" s="204">
        <f t="shared" si="133"/>
        <v>0</v>
      </c>
      <c r="H971" s="334">
        <f>SUMIF($D$75:$D$466,$D711,H$75:H$466)*Input!I$314</f>
        <v>0</v>
      </c>
      <c r="I971" s="334">
        <f>SUMIF($D$75:$D$466,$D711,I$75:I$466)*Input!J$314</f>
        <v>0</v>
      </c>
      <c r="J971" s="334">
        <f>SUMIF($D$75:$D$466,$D711,J$75:J$466)*Input!K$314</f>
        <v>0</v>
      </c>
      <c r="K971" s="334">
        <f>SUMIF($D$75:$D$466,$D711,K$75:K$466)*Input!L$314</f>
        <v>0</v>
      </c>
      <c r="L971" s="334">
        <f>SUMIF($D$75:$D$466,$D711,L$75:L$466)*Input!M$314</f>
        <v>0</v>
      </c>
      <c r="M971" s="334">
        <f>SUMIF($D$75:$D$466,$D711,M$75:M$466)*Input!N$314</f>
        <v>0</v>
      </c>
      <c r="N971" s="334">
        <f>SUMIF($D$75:$D$466,$D711,N$75:N$466)*Input!O$314</f>
        <v>0</v>
      </c>
      <c r="O971" s="334">
        <f>SUMIF($D$75:$D$466,$D711,O$75:O$466)*Input!P$314</f>
        <v>0</v>
      </c>
      <c r="P971" s="334">
        <f>SUMIF($D$75:$D$466,$D711,P$75:P$466)*Input!Q$314</f>
        <v>0</v>
      </c>
      <c r="Q971" s="334">
        <f>SUMIF($D$75:$D$466,$D711,Q$75:Q$466)*Input!R$314</f>
        <v>0</v>
      </c>
      <c r="R971" s="9"/>
      <c r="S971" s="12"/>
      <c r="T971" s="12"/>
      <c r="U971" s="12"/>
      <c r="V971" s="12"/>
      <c r="W971" s="12"/>
      <c r="X971" s="12"/>
      <c r="Y971" s="12"/>
      <c r="Z971" s="12"/>
      <c r="AA971" s="224"/>
      <c r="AB971" s="224"/>
      <c r="AC971" s="224"/>
      <c r="AD971" s="224"/>
      <c r="AE971" s="224"/>
      <c r="AF971" s="224"/>
      <c r="AG971" s="224"/>
      <c r="AH971" s="224"/>
      <c r="AI971" s="224"/>
      <c r="AJ971" s="224"/>
      <c r="AK971" s="224"/>
      <c r="AL971" s="224"/>
      <c r="AM971" s="224"/>
      <c r="AN971" s="224"/>
      <c r="AO971" s="224"/>
      <c r="AP971" s="224"/>
      <c r="AQ971" s="224"/>
      <c r="AR971" s="224"/>
      <c r="AS971" s="224"/>
      <c r="AT971" s="224"/>
      <c r="AU971" s="224"/>
      <c r="AV971" s="224"/>
      <c r="AW971" s="224"/>
      <c r="AX971" s="224"/>
      <c r="AY971" s="224"/>
      <c r="AZ971" s="224"/>
      <c r="BA971" s="224"/>
      <c r="BB971" s="224"/>
      <c r="BC971" s="224"/>
      <c r="BD971" s="12"/>
      <c r="BE971" s="12"/>
      <c r="BF971" s="12"/>
      <c r="BG971" s="12"/>
      <c r="BH971" s="12"/>
      <c r="BI971" s="12"/>
      <c r="BJ971" s="12"/>
      <c r="BK971" s="12"/>
      <c r="BL971" s="12"/>
    </row>
    <row r="972" spans="1:64" ht="12" hidden="1" customHeight="1" outlineLevel="1">
      <c r="A972" s="9"/>
      <c r="B972" s="9"/>
      <c r="C972" s="9"/>
      <c r="D972" s="271">
        <f>Asset17</f>
        <v>0</v>
      </c>
      <c r="E972" s="9"/>
      <c r="F972" s="9"/>
      <c r="G972" s="204">
        <f t="shared" si="133"/>
        <v>0</v>
      </c>
      <c r="H972" s="334">
        <f>SUMIF($D$75:$D$466,$D712,H$75:H$466)*Input!I$314</f>
        <v>0</v>
      </c>
      <c r="I972" s="334">
        <f>SUMIF($D$75:$D$466,$D712,I$75:I$466)*Input!J$314</f>
        <v>0</v>
      </c>
      <c r="J972" s="334">
        <f>SUMIF($D$75:$D$466,$D712,J$75:J$466)*Input!K$314</f>
        <v>0</v>
      </c>
      <c r="K972" s="334">
        <f>SUMIF($D$75:$D$466,$D712,K$75:K$466)*Input!L$314</f>
        <v>0</v>
      </c>
      <c r="L972" s="334">
        <f>SUMIF($D$75:$D$466,$D712,L$75:L$466)*Input!M$314</f>
        <v>0</v>
      </c>
      <c r="M972" s="334">
        <f>SUMIF($D$75:$D$466,$D712,M$75:M$466)*Input!N$314</f>
        <v>0</v>
      </c>
      <c r="N972" s="334">
        <f>SUMIF($D$75:$D$466,$D712,N$75:N$466)*Input!O$314</f>
        <v>0</v>
      </c>
      <c r="O972" s="334">
        <f>SUMIF($D$75:$D$466,$D712,O$75:O$466)*Input!P$314</f>
        <v>0</v>
      </c>
      <c r="P972" s="334">
        <f>SUMIF($D$75:$D$466,$D712,P$75:P$466)*Input!Q$314</f>
        <v>0</v>
      </c>
      <c r="Q972" s="334">
        <f>SUMIF($D$75:$D$466,$D712,Q$75:Q$466)*Input!R$314</f>
        <v>0</v>
      </c>
      <c r="R972" s="9"/>
      <c r="S972" s="12"/>
      <c r="T972" s="12"/>
      <c r="U972" s="12"/>
      <c r="V972" s="12"/>
      <c r="W972" s="12"/>
      <c r="X972" s="12"/>
      <c r="Y972" s="12"/>
      <c r="Z972" s="12"/>
      <c r="AA972" s="224"/>
      <c r="AB972" s="224"/>
      <c r="AC972" s="224"/>
      <c r="AD972" s="224"/>
      <c r="AE972" s="224"/>
      <c r="AF972" s="224"/>
      <c r="AG972" s="224"/>
      <c r="AH972" s="224"/>
      <c r="AI972" s="224"/>
      <c r="AJ972" s="224"/>
      <c r="AK972" s="224"/>
      <c r="AL972" s="224"/>
      <c r="AM972" s="224"/>
      <c r="AN972" s="224"/>
      <c r="AO972" s="224"/>
      <c r="AP972" s="224"/>
      <c r="AQ972" s="224"/>
      <c r="AR972" s="224"/>
      <c r="AS972" s="224"/>
      <c r="AT972" s="224"/>
      <c r="AU972" s="224"/>
      <c r="AV972" s="224"/>
      <c r="AW972" s="224"/>
      <c r="AX972" s="224"/>
      <c r="AY972" s="224"/>
      <c r="AZ972" s="224"/>
      <c r="BA972" s="224"/>
      <c r="BB972" s="224"/>
      <c r="BC972" s="224"/>
      <c r="BD972" s="12"/>
      <c r="BE972" s="12"/>
      <c r="BF972" s="12"/>
      <c r="BG972" s="12"/>
      <c r="BH972" s="12"/>
      <c r="BI972" s="12"/>
      <c r="BJ972" s="12"/>
      <c r="BK972" s="12"/>
      <c r="BL972" s="12"/>
    </row>
    <row r="973" spans="1:64" ht="12" hidden="1" customHeight="1" outlineLevel="1">
      <c r="A973" s="9"/>
      <c r="B973" s="9"/>
      <c r="C973" s="9"/>
      <c r="D973" s="271">
        <f>Asset18</f>
        <v>0</v>
      </c>
      <c r="E973" s="9"/>
      <c r="F973" s="9"/>
      <c r="G973" s="204">
        <f t="shared" si="133"/>
        <v>0</v>
      </c>
      <c r="H973" s="334">
        <f>SUMIF($D$75:$D$466,$D713,H$75:H$466)*Input!I$314</f>
        <v>0</v>
      </c>
      <c r="I973" s="334">
        <f>SUMIF($D$75:$D$466,$D713,I$75:I$466)*Input!J$314</f>
        <v>0</v>
      </c>
      <c r="J973" s="334">
        <f>SUMIF($D$75:$D$466,$D713,J$75:J$466)*Input!K$314</f>
        <v>0</v>
      </c>
      <c r="K973" s="334">
        <f>SUMIF($D$75:$D$466,$D713,K$75:K$466)*Input!L$314</f>
        <v>0</v>
      </c>
      <c r="L973" s="334">
        <f>SUMIF($D$75:$D$466,$D713,L$75:L$466)*Input!M$314</f>
        <v>0</v>
      </c>
      <c r="M973" s="334">
        <f>SUMIF($D$75:$D$466,$D713,M$75:M$466)*Input!N$314</f>
        <v>0</v>
      </c>
      <c r="N973" s="334">
        <f>SUMIF($D$75:$D$466,$D713,N$75:N$466)*Input!O$314</f>
        <v>0</v>
      </c>
      <c r="O973" s="334">
        <f>SUMIF($D$75:$D$466,$D713,O$75:O$466)*Input!P$314</f>
        <v>0</v>
      </c>
      <c r="P973" s="334">
        <f>SUMIF($D$75:$D$466,$D713,P$75:P$466)*Input!Q$314</f>
        <v>0</v>
      </c>
      <c r="Q973" s="334">
        <f>SUMIF($D$75:$D$466,$D713,Q$75:Q$466)*Input!R$314</f>
        <v>0</v>
      </c>
      <c r="R973" s="9"/>
      <c r="S973" s="12"/>
      <c r="T973" s="12"/>
      <c r="U973" s="12"/>
      <c r="V973" s="12"/>
      <c r="W973" s="12"/>
      <c r="X973" s="12"/>
      <c r="Y973" s="12"/>
      <c r="Z973" s="12"/>
      <c r="AA973" s="224"/>
      <c r="AB973" s="224"/>
      <c r="AC973" s="224"/>
      <c r="AD973" s="224"/>
      <c r="AE973" s="224"/>
      <c r="AF973" s="224"/>
      <c r="AG973" s="224"/>
      <c r="AH973" s="224"/>
      <c r="AI973" s="224"/>
      <c r="AJ973" s="224"/>
      <c r="AK973" s="224"/>
      <c r="AL973" s="224"/>
      <c r="AM973" s="224"/>
      <c r="AN973" s="224"/>
      <c r="AO973" s="224"/>
      <c r="AP973" s="224"/>
      <c r="AQ973" s="224"/>
      <c r="AR973" s="224"/>
      <c r="AS973" s="224"/>
      <c r="AT973" s="224"/>
      <c r="AU973" s="224"/>
      <c r="AV973" s="224"/>
      <c r="AW973" s="224"/>
      <c r="AX973" s="224"/>
      <c r="AY973" s="224"/>
      <c r="AZ973" s="224"/>
      <c r="BA973" s="224"/>
      <c r="BB973" s="224"/>
      <c r="BC973" s="224"/>
      <c r="BD973" s="12"/>
      <c r="BE973" s="12"/>
      <c r="BF973" s="12"/>
      <c r="BG973" s="12"/>
      <c r="BH973" s="12"/>
      <c r="BI973" s="12"/>
      <c r="BJ973" s="12"/>
      <c r="BK973" s="12"/>
      <c r="BL973" s="12"/>
    </row>
    <row r="974" spans="1:64" ht="12" hidden="1" customHeight="1" outlineLevel="1">
      <c r="A974" s="9"/>
      <c r="B974" s="9"/>
      <c r="C974" s="9"/>
      <c r="D974" s="271">
        <f>Asset19</f>
        <v>0</v>
      </c>
      <c r="E974" s="9"/>
      <c r="F974" s="9"/>
      <c r="G974" s="204">
        <f t="shared" si="133"/>
        <v>0</v>
      </c>
      <c r="H974" s="334">
        <f>SUMIF($D$75:$D$466,$D714,H$75:H$466)*Input!I$314</f>
        <v>0</v>
      </c>
      <c r="I974" s="334">
        <f>SUMIF($D$75:$D$466,$D714,I$75:I$466)*Input!J$314</f>
        <v>0</v>
      </c>
      <c r="J974" s="334">
        <f>SUMIF($D$75:$D$466,$D714,J$75:J$466)*Input!K$314</f>
        <v>0</v>
      </c>
      <c r="K974" s="334">
        <f>SUMIF($D$75:$D$466,$D714,K$75:K$466)*Input!L$314</f>
        <v>0</v>
      </c>
      <c r="L974" s="334">
        <f>SUMIF($D$75:$D$466,$D714,L$75:L$466)*Input!M$314</f>
        <v>0</v>
      </c>
      <c r="M974" s="334">
        <f>SUMIF($D$75:$D$466,$D714,M$75:M$466)*Input!N$314</f>
        <v>0</v>
      </c>
      <c r="N974" s="334">
        <f>SUMIF($D$75:$D$466,$D714,N$75:N$466)*Input!O$314</f>
        <v>0</v>
      </c>
      <c r="O974" s="334">
        <f>SUMIF($D$75:$D$466,$D714,O$75:O$466)*Input!P$314</f>
        <v>0</v>
      </c>
      <c r="P974" s="334">
        <f>SUMIF($D$75:$D$466,$D714,P$75:P$466)*Input!Q$314</f>
        <v>0</v>
      </c>
      <c r="Q974" s="334">
        <f>SUMIF($D$75:$D$466,$D714,Q$75:Q$466)*Input!R$314</f>
        <v>0</v>
      </c>
      <c r="R974" s="9"/>
      <c r="S974" s="12"/>
      <c r="T974" s="12"/>
      <c r="U974" s="12"/>
      <c r="V974" s="12"/>
      <c r="W974" s="12"/>
      <c r="X974" s="12"/>
      <c r="Y974" s="12"/>
      <c r="Z974" s="12"/>
      <c r="AA974" s="224"/>
      <c r="AB974" s="224"/>
      <c r="AC974" s="224"/>
      <c r="AD974" s="224"/>
      <c r="AE974" s="224"/>
      <c r="AF974" s="224"/>
      <c r="AG974" s="224"/>
      <c r="AH974" s="224"/>
      <c r="AI974" s="224"/>
      <c r="AJ974" s="224"/>
      <c r="AK974" s="224"/>
      <c r="AL974" s="224"/>
      <c r="AM974" s="224"/>
      <c r="AN974" s="224"/>
      <c r="AO974" s="224"/>
      <c r="AP974" s="224"/>
      <c r="AQ974" s="224"/>
      <c r="AR974" s="224"/>
      <c r="AS974" s="224"/>
      <c r="AT974" s="224"/>
      <c r="AU974" s="224"/>
      <c r="AV974" s="224"/>
      <c r="AW974" s="224"/>
      <c r="AX974" s="224"/>
      <c r="AY974" s="224"/>
      <c r="AZ974" s="224"/>
      <c r="BA974" s="224"/>
      <c r="BB974" s="224"/>
      <c r="BC974" s="224"/>
      <c r="BD974" s="12"/>
      <c r="BE974" s="12"/>
      <c r="BF974" s="12"/>
      <c r="BG974" s="12"/>
      <c r="BH974" s="12"/>
      <c r="BI974" s="12"/>
      <c r="BJ974" s="12"/>
      <c r="BK974" s="12"/>
      <c r="BL974" s="12"/>
    </row>
    <row r="975" spans="1:64" ht="12" hidden="1" customHeight="1" outlineLevel="1">
      <c r="A975" s="9"/>
      <c r="B975" s="9"/>
      <c r="C975" s="9"/>
      <c r="D975" s="271">
        <f>Asset20</f>
        <v>0</v>
      </c>
      <c r="E975" s="9"/>
      <c r="F975" s="9"/>
      <c r="G975" s="204">
        <f t="shared" si="133"/>
        <v>0</v>
      </c>
      <c r="H975" s="334">
        <f>SUMIF($D$75:$D$466,$D715,H$75:H$466)*Input!I$314</f>
        <v>0</v>
      </c>
      <c r="I975" s="334">
        <f>SUMIF($D$75:$D$466,$D715,I$75:I$466)*Input!J$314</f>
        <v>0</v>
      </c>
      <c r="J975" s="334">
        <f>SUMIF($D$75:$D$466,$D715,J$75:J$466)*Input!K$314</f>
        <v>0</v>
      </c>
      <c r="K975" s="334">
        <f>SUMIF($D$75:$D$466,$D715,K$75:K$466)*Input!L$314</f>
        <v>0</v>
      </c>
      <c r="L975" s="334">
        <f>SUMIF($D$75:$D$466,$D715,L$75:L$466)*Input!M$314</f>
        <v>0</v>
      </c>
      <c r="M975" s="334">
        <f>SUMIF($D$75:$D$466,$D715,M$75:M$466)*Input!N$314</f>
        <v>0</v>
      </c>
      <c r="N975" s="334">
        <f>SUMIF($D$75:$D$466,$D715,N$75:N$466)*Input!O$314</f>
        <v>0</v>
      </c>
      <c r="O975" s="334">
        <f>SUMIF($D$75:$D$466,$D715,O$75:O$466)*Input!P$314</f>
        <v>0</v>
      </c>
      <c r="P975" s="334">
        <f>SUMIF($D$75:$D$466,$D715,P$75:P$466)*Input!Q$314</f>
        <v>0</v>
      </c>
      <c r="Q975" s="334">
        <f>SUMIF($D$75:$D$466,$D715,Q$75:Q$466)*Input!R$314</f>
        <v>0</v>
      </c>
      <c r="R975" s="9"/>
      <c r="S975" s="12"/>
      <c r="T975" s="12"/>
      <c r="U975" s="12"/>
      <c r="V975" s="12"/>
      <c r="W975" s="12"/>
      <c r="X975" s="12"/>
      <c r="Y975" s="12"/>
      <c r="Z975" s="12"/>
      <c r="AA975" s="224"/>
      <c r="AB975" s="224"/>
      <c r="AC975" s="224"/>
      <c r="AD975" s="224"/>
      <c r="AE975" s="224"/>
      <c r="AF975" s="224"/>
      <c r="AG975" s="224"/>
      <c r="AH975" s="224"/>
      <c r="AI975" s="224"/>
      <c r="AJ975" s="224"/>
      <c r="AK975" s="224"/>
      <c r="AL975" s="224"/>
      <c r="AM975" s="224"/>
      <c r="AN975" s="224"/>
      <c r="AO975" s="224"/>
      <c r="AP975" s="224"/>
      <c r="AQ975" s="224"/>
      <c r="AR975" s="224"/>
      <c r="AS975" s="224"/>
      <c r="AT975" s="224"/>
      <c r="AU975" s="224"/>
      <c r="AV975" s="224"/>
      <c r="AW975" s="224"/>
      <c r="AX975" s="224"/>
      <c r="AY975" s="224"/>
      <c r="AZ975" s="224"/>
      <c r="BA975" s="224"/>
      <c r="BB975" s="224"/>
      <c r="BC975" s="224"/>
      <c r="BD975" s="12"/>
      <c r="BE975" s="12"/>
      <c r="BF975" s="12"/>
      <c r="BG975" s="12"/>
      <c r="BH975" s="12"/>
      <c r="BI975" s="12"/>
      <c r="BJ975" s="12"/>
      <c r="BK975" s="12"/>
      <c r="BL975" s="12"/>
    </row>
    <row r="976" spans="1:64" ht="12" hidden="1" customHeight="1" outlineLevel="1">
      <c r="A976" s="9"/>
      <c r="B976" s="9"/>
      <c r="C976" s="9"/>
      <c r="D976" s="271">
        <f>Asset21</f>
        <v>0</v>
      </c>
      <c r="E976" s="9"/>
      <c r="F976" s="9"/>
      <c r="G976" s="204">
        <f t="shared" si="133"/>
        <v>0</v>
      </c>
      <c r="H976" s="334">
        <f>SUMIF($D$75:$D$466,$D716,H$75:H$466)*Input!I$314</f>
        <v>0</v>
      </c>
      <c r="I976" s="334">
        <f>SUMIF($D$75:$D$466,$D716,I$75:I$466)*Input!J$314</f>
        <v>0</v>
      </c>
      <c r="J976" s="334">
        <f>SUMIF($D$75:$D$466,$D716,J$75:J$466)*Input!K$314</f>
        <v>0</v>
      </c>
      <c r="K976" s="334">
        <f>SUMIF($D$75:$D$466,$D716,K$75:K$466)*Input!L$314</f>
        <v>0</v>
      </c>
      <c r="L976" s="334">
        <f>SUMIF($D$75:$D$466,$D716,L$75:L$466)*Input!M$314</f>
        <v>0</v>
      </c>
      <c r="M976" s="334">
        <f>SUMIF($D$75:$D$466,$D716,M$75:M$466)*Input!N$314</f>
        <v>0</v>
      </c>
      <c r="N976" s="334">
        <f>SUMIF($D$75:$D$466,$D716,N$75:N$466)*Input!O$314</f>
        <v>0</v>
      </c>
      <c r="O976" s="334">
        <f>SUMIF($D$75:$D$466,$D716,O$75:O$466)*Input!P$314</f>
        <v>0</v>
      </c>
      <c r="P976" s="334">
        <f>SUMIF($D$75:$D$466,$D716,P$75:P$466)*Input!Q$314</f>
        <v>0</v>
      </c>
      <c r="Q976" s="334">
        <f>SUMIF($D$75:$D$466,$D716,Q$75:Q$466)*Input!R$314</f>
        <v>0</v>
      </c>
      <c r="R976" s="9"/>
      <c r="S976" s="12"/>
      <c r="T976" s="12"/>
      <c r="U976" s="12"/>
      <c r="V976" s="12"/>
      <c r="W976" s="12"/>
      <c r="X976" s="12"/>
      <c r="Y976" s="12"/>
      <c r="Z976" s="12"/>
      <c r="AA976" s="224"/>
      <c r="AB976" s="224"/>
      <c r="AC976" s="224"/>
      <c r="AD976" s="224"/>
      <c r="AE976" s="224"/>
      <c r="AF976" s="224"/>
      <c r="AG976" s="224"/>
      <c r="AH976" s="224"/>
      <c r="AI976" s="224"/>
      <c r="AJ976" s="224"/>
      <c r="AK976" s="224"/>
      <c r="AL976" s="224"/>
      <c r="AM976" s="224"/>
      <c r="AN976" s="224"/>
      <c r="AO976" s="224"/>
      <c r="AP976" s="224"/>
      <c r="AQ976" s="224"/>
      <c r="AR976" s="224"/>
      <c r="AS976" s="224"/>
      <c r="AT976" s="224"/>
      <c r="AU976" s="224"/>
      <c r="AV976" s="224"/>
      <c r="AW976" s="224"/>
      <c r="AX976" s="224"/>
      <c r="AY976" s="224"/>
      <c r="AZ976" s="224"/>
      <c r="BA976" s="224"/>
      <c r="BB976" s="224"/>
      <c r="BC976" s="224"/>
      <c r="BD976" s="12"/>
      <c r="BE976" s="12"/>
      <c r="BF976" s="12"/>
      <c r="BG976" s="12"/>
      <c r="BH976" s="12"/>
      <c r="BI976" s="12"/>
      <c r="BJ976" s="12"/>
      <c r="BK976" s="12"/>
      <c r="BL976" s="12"/>
    </row>
    <row r="977" spans="1:64" ht="12" hidden="1" customHeight="1" outlineLevel="1">
      <c r="A977" s="9"/>
      <c r="B977" s="9"/>
      <c r="C977" s="9"/>
      <c r="D977" s="271">
        <f>Asset22</f>
        <v>0</v>
      </c>
      <c r="E977" s="9"/>
      <c r="F977" s="9"/>
      <c r="G977" s="204">
        <f t="shared" si="133"/>
        <v>0</v>
      </c>
      <c r="H977" s="334">
        <f>SUMIF($D$75:$D$466,$D717,H$75:H$466)*Input!I$314</f>
        <v>0</v>
      </c>
      <c r="I977" s="334">
        <f>SUMIF($D$75:$D$466,$D717,I$75:I$466)*Input!J$314</f>
        <v>0</v>
      </c>
      <c r="J977" s="334">
        <f>SUMIF($D$75:$D$466,$D717,J$75:J$466)*Input!K$314</f>
        <v>0</v>
      </c>
      <c r="K977" s="334">
        <f>SUMIF($D$75:$D$466,$D717,K$75:K$466)*Input!L$314</f>
        <v>0</v>
      </c>
      <c r="L977" s="334">
        <f>SUMIF($D$75:$D$466,$D717,L$75:L$466)*Input!M$314</f>
        <v>0</v>
      </c>
      <c r="M977" s="334">
        <f>SUMIF($D$75:$D$466,$D717,M$75:M$466)*Input!N$314</f>
        <v>0</v>
      </c>
      <c r="N977" s="334">
        <f>SUMIF($D$75:$D$466,$D717,N$75:N$466)*Input!O$314</f>
        <v>0</v>
      </c>
      <c r="O977" s="334">
        <f>SUMIF($D$75:$D$466,$D717,O$75:O$466)*Input!P$314</f>
        <v>0</v>
      </c>
      <c r="P977" s="334">
        <f>SUMIF($D$75:$D$466,$D717,P$75:P$466)*Input!Q$314</f>
        <v>0</v>
      </c>
      <c r="Q977" s="334">
        <f>SUMIF($D$75:$D$466,$D717,Q$75:Q$466)*Input!R$314</f>
        <v>0</v>
      </c>
      <c r="R977" s="9"/>
      <c r="S977" s="12"/>
      <c r="T977" s="12"/>
      <c r="U977" s="12"/>
      <c r="V977" s="12"/>
      <c r="W977" s="12"/>
      <c r="X977" s="12"/>
      <c r="Y977" s="12"/>
      <c r="Z977" s="12"/>
      <c r="AA977" s="224"/>
      <c r="AB977" s="224"/>
      <c r="AC977" s="224"/>
      <c r="AD977" s="224"/>
      <c r="AE977" s="224"/>
      <c r="AF977" s="224"/>
      <c r="AG977" s="224"/>
      <c r="AH977" s="224"/>
      <c r="AI977" s="224"/>
      <c r="AJ977" s="224"/>
      <c r="AK977" s="224"/>
      <c r="AL977" s="224"/>
      <c r="AM977" s="224"/>
      <c r="AN977" s="224"/>
      <c r="AO977" s="224"/>
      <c r="AP977" s="224"/>
      <c r="AQ977" s="224"/>
      <c r="AR977" s="224"/>
      <c r="AS977" s="224"/>
      <c r="AT977" s="224"/>
      <c r="AU977" s="224"/>
      <c r="AV977" s="224"/>
      <c r="AW977" s="224"/>
      <c r="AX977" s="224"/>
      <c r="AY977" s="224"/>
      <c r="AZ977" s="224"/>
      <c r="BA977" s="224"/>
      <c r="BB977" s="224"/>
      <c r="BC977" s="224"/>
      <c r="BD977" s="12"/>
      <c r="BE977" s="12"/>
      <c r="BF977" s="12"/>
      <c r="BG977" s="12"/>
      <c r="BH977" s="12"/>
      <c r="BI977" s="12"/>
      <c r="BJ977" s="12"/>
      <c r="BK977" s="12"/>
      <c r="BL977" s="12"/>
    </row>
    <row r="978" spans="1:64" ht="12" hidden="1" customHeight="1" outlineLevel="1">
      <c r="A978" s="9"/>
      <c r="B978" s="9"/>
      <c r="C978" s="9"/>
      <c r="D978" s="271">
        <f>Asset23</f>
        <v>0</v>
      </c>
      <c r="E978" s="9"/>
      <c r="F978" s="9"/>
      <c r="G978" s="204">
        <f t="shared" si="133"/>
        <v>0</v>
      </c>
      <c r="H978" s="334">
        <f>SUMIF($D$75:$D$466,$D718,H$75:H$466)*Input!I$314</f>
        <v>0</v>
      </c>
      <c r="I978" s="334">
        <f>SUMIF($D$75:$D$466,$D718,I$75:I$466)*Input!J$314</f>
        <v>0</v>
      </c>
      <c r="J978" s="334">
        <f>SUMIF($D$75:$D$466,$D718,J$75:J$466)*Input!K$314</f>
        <v>0</v>
      </c>
      <c r="K978" s="334">
        <f>SUMIF($D$75:$D$466,$D718,K$75:K$466)*Input!L$314</f>
        <v>0</v>
      </c>
      <c r="L978" s="334">
        <f>SUMIF($D$75:$D$466,$D718,L$75:L$466)*Input!M$314</f>
        <v>0</v>
      </c>
      <c r="M978" s="334">
        <f>SUMIF($D$75:$D$466,$D718,M$75:M$466)*Input!N$314</f>
        <v>0</v>
      </c>
      <c r="N978" s="334">
        <f>SUMIF($D$75:$D$466,$D718,N$75:N$466)*Input!O$314</f>
        <v>0</v>
      </c>
      <c r="O978" s="334">
        <f>SUMIF($D$75:$D$466,$D718,O$75:O$466)*Input!P$314</f>
        <v>0</v>
      </c>
      <c r="P978" s="334">
        <f>SUMIF($D$75:$D$466,$D718,P$75:P$466)*Input!Q$314</f>
        <v>0</v>
      </c>
      <c r="Q978" s="334">
        <f>SUMIF($D$75:$D$466,$D718,Q$75:Q$466)*Input!R$314</f>
        <v>0</v>
      </c>
      <c r="R978" s="9"/>
      <c r="S978" s="12"/>
      <c r="T978" s="12"/>
      <c r="U978" s="12"/>
      <c r="V978" s="12"/>
      <c r="W978" s="12"/>
      <c r="X978" s="12"/>
      <c r="Y978" s="12"/>
      <c r="Z978" s="12"/>
      <c r="AA978" s="224"/>
      <c r="AB978" s="224"/>
      <c r="AC978" s="224"/>
      <c r="AD978" s="224"/>
      <c r="AE978" s="224"/>
      <c r="AF978" s="224"/>
      <c r="AG978" s="224"/>
      <c r="AH978" s="224"/>
      <c r="AI978" s="224"/>
      <c r="AJ978" s="224"/>
      <c r="AK978" s="224"/>
      <c r="AL978" s="224"/>
      <c r="AM978" s="224"/>
      <c r="AN978" s="224"/>
      <c r="AO978" s="224"/>
      <c r="AP978" s="224"/>
      <c r="AQ978" s="224"/>
      <c r="AR978" s="224"/>
      <c r="AS978" s="224"/>
      <c r="AT978" s="224"/>
      <c r="AU978" s="224"/>
      <c r="AV978" s="224"/>
      <c r="AW978" s="224"/>
      <c r="AX978" s="224"/>
      <c r="AY978" s="224"/>
      <c r="AZ978" s="224"/>
      <c r="BA978" s="224"/>
      <c r="BB978" s="224"/>
      <c r="BC978" s="224"/>
      <c r="BD978" s="12"/>
      <c r="BE978" s="12"/>
      <c r="BF978" s="12"/>
      <c r="BG978" s="12"/>
      <c r="BH978" s="12"/>
      <c r="BI978" s="12"/>
      <c r="BJ978" s="12"/>
      <c r="BK978" s="12"/>
      <c r="BL978" s="12"/>
    </row>
    <row r="979" spans="1:64" ht="12" hidden="1" customHeight="1" outlineLevel="1">
      <c r="A979" s="9"/>
      <c r="B979" s="9"/>
      <c r="C979" s="9"/>
      <c r="D979" s="271">
        <f>Asset24</f>
        <v>0</v>
      </c>
      <c r="E979" s="9"/>
      <c r="F979" s="9"/>
      <c r="G979" s="204">
        <f t="shared" si="133"/>
        <v>0</v>
      </c>
      <c r="H979" s="334">
        <f>SUMIF($D$75:$D$466,$D719,H$75:H$466)*Input!I$314</f>
        <v>0</v>
      </c>
      <c r="I979" s="334">
        <f>SUMIF($D$75:$D$466,$D719,I$75:I$466)*Input!J$314</f>
        <v>0</v>
      </c>
      <c r="J979" s="334">
        <f>SUMIF($D$75:$D$466,$D719,J$75:J$466)*Input!K$314</f>
        <v>0</v>
      </c>
      <c r="K979" s="334">
        <f>SUMIF($D$75:$D$466,$D719,K$75:K$466)*Input!L$314</f>
        <v>0</v>
      </c>
      <c r="L979" s="334">
        <f>SUMIF($D$75:$D$466,$D719,L$75:L$466)*Input!M$314</f>
        <v>0</v>
      </c>
      <c r="M979" s="334">
        <f>SUMIF($D$75:$D$466,$D719,M$75:M$466)*Input!N$314</f>
        <v>0</v>
      </c>
      <c r="N979" s="334">
        <f>SUMIF($D$75:$D$466,$D719,N$75:N$466)*Input!O$314</f>
        <v>0</v>
      </c>
      <c r="O979" s="334">
        <f>SUMIF($D$75:$D$466,$D719,O$75:O$466)*Input!P$314</f>
        <v>0</v>
      </c>
      <c r="P979" s="334">
        <f>SUMIF($D$75:$D$466,$D719,P$75:P$466)*Input!Q$314</f>
        <v>0</v>
      </c>
      <c r="Q979" s="334">
        <f>SUMIF($D$75:$D$466,$D719,Q$75:Q$466)*Input!R$314</f>
        <v>0</v>
      </c>
      <c r="R979" s="9"/>
      <c r="S979" s="12"/>
      <c r="T979" s="12"/>
      <c r="U979" s="12"/>
      <c r="V979" s="12"/>
      <c r="W979" s="12"/>
      <c r="X979" s="12"/>
      <c r="Y979" s="12"/>
      <c r="Z979" s="12"/>
      <c r="AA979" s="224"/>
      <c r="AB979" s="224"/>
      <c r="AC979" s="224"/>
      <c r="AD979" s="224"/>
      <c r="AE979" s="224"/>
      <c r="AF979" s="224"/>
      <c r="AG979" s="224"/>
      <c r="AH979" s="224"/>
      <c r="AI979" s="224"/>
      <c r="AJ979" s="224"/>
      <c r="AK979" s="224"/>
      <c r="AL979" s="224"/>
      <c r="AM979" s="224"/>
      <c r="AN979" s="224"/>
      <c r="AO979" s="224"/>
      <c r="AP979" s="224"/>
      <c r="AQ979" s="224"/>
      <c r="AR979" s="224"/>
      <c r="AS979" s="224"/>
      <c r="AT979" s="224"/>
      <c r="AU979" s="224"/>
      <c r="AV979" s="224"/>
      <c r="AW979" s="224"/>
      <c r="AX979" s="224"/>
      <c r="AY979" s="224"/>
      <c r="AZ979" s="224"/>
      <c r="BA979" s="224"/>
      <c r="BB979" s="224"/>
      <c r="BC979" s="224"/>
      <c r="BD979" s="12"/>
      <c r="BE979" s="12"/>
      <c r="BF979" s="12"/>
      <c r="BG979" s="12"/>
      <c r="BH979" s="12"/>
      <c r="BI979" s="12"/>
      <c r="BJ979" s="12"/>
      <c r="BK979" s="12"/>
      <c r="BL979" s="12"/>
    </row>
    <row r="980" spans="1:64" ht="12" hidden="1" customHeight="1" outlineLevel="1">
      <c r="A980" s="9"/>
      <c r="B980" s="9"/>
      <c r="C980" s="9"/>
      <c r="D980" s="271">
        <f>Asset25</f>
        <v>0</v>
      </c>
      <c r="E980" s="9"/>
      <c r="F980" s="9"/>
      <c r="G980" s="204">
        <f t="shared" si="133"/>
        <v>0</v>
      </c>
      <c r="H980" s="334">
        <f>SUMIF($D$75:$D$466,$D720,H$75:H$466)*Input!I$314</f>
        <v>0</v>
      </c>
      <c r="I980" s="334">
        <f>SUMIF($D$75:$D$466,$D720,I$75:I$466)*Input!J$314</f>
        <v>0</v>
      </c>
      <c r="J980" s="334">
        <f>SUMIF($D$75:$D$466,$D720,J$75:J$466)*Input!K$314</f>
        <v>0</v>
      </c>
      <c r="K980" s="334">
        <f>SUMIF($D$75:$D$466,$D720,K$75:K$466)*Input!L$314</f>
        <v>0</v>
      </c>
      <c r="L980" s="334">
        <f>SUMIF($D$75:$D$466,$D720,L$75:L$466)*Input!M$314</f>
        <v>0</v>
      </c>
      <c r="M980" s="334">
        <f>SUMIF($D$75:$D$466,$D720,M$75:M$466)*Input!N$314</f>
        <v>0</v>
      </c>
      <c r="N980" s="334">
        <f>SUMIF($D$75:$D$466,$D720,N$75:N$466)*Input!O$314</f>
        <v>0</v>
      </c>
      <c r="O980" s="334">
        <f>SUMIF($D$75:$D$466,$D720,O$75:O$466)*Input!P$314</f>
        <v>0</v>
      </c>
      <c r="P980" s="334">
        <f>SUMIF($D$75:$D$466,$D720,P$75:P$466)*Input!Q$314</f>
        <v>0</v>
      </c>
      <c r="Q980" s="334">
        <f>SUMIF($D$75:$D$466,$D720,Q$75:Q$466)*Input!R$314</f>
        <v>0</v>
      </c>
      <c r="R980" s="9"/>
      <c r="S980" s="12"/>
      <c r="T980" s="12"/>
      <c r="U980" s="12"/>
      <c r="V980" s="12"/>
      <c r="W980" s="12"/>
      <c r="X980" s="12"/>
      <c r="Y980" s="12"/>
      <c r="Z980" s="12"/>
      <c r="AA980" s="224"/>
      <c r="AB980" s="224"/>
      <c r="AC980" s="224"/>
      <c r="AD980" s="224"/>
      <c r="AE980" s="224"/>
      <c r="AF980" s="224"/>
      <c r="AG980" s="224"/>
      <c r="AH980" s="224"/>
      <c r="AI980" s="224"/>
      <c r="AJ980" s="224"/>
      <c r="AK980" s="224"/>
      <c r="AL980" s="224"/>
      <c r="AM980" s="224"/>
      <c r="AN980" s="224"/>
      <c r="AO980" s="224"/>
      <c r="AP980" s="224"/>
      <c r="AQ980" s="224"/>
      <c r="AR980" s="224"/>
      <c r="AS980" s="224"/>
      <c r="AT980" s="224"/>
      <c r="AU980" s="224"/>
      <c r="AV980" s="224"/>
      <c r="AW980" s="224"/>
      <c r="AX980" s="224"/>
      <c r="AY980" s="224"/>
      <c r="AZ980" s="224"/>
      <c r="BA980" s="224"/>
      <c r="BB980" s="224"/>
      <c r="BC980" s="224"/>
      <c r="BD980" s="12"/>
      <c r="BE980" s="12"/>
      <c r="BF980" s="12"/>
      <c r="BG980" s="12"/>
      <c r="BH980" s="12"/>
      <c r="BI980" s="12"/>
      <c r="BJ980" s="12"/>
      <c r="BK980" s="12"/>
      <c r="BL980" s="12"/>
    </row>
    <row r="981" spans="1:64" ht="12" hidden="1" customHeight="1" outlineLevel="1">
      <c r="A981" s="9"/>
      <c r="B981" s="9"/>
      <c r="C981" s="9"/>
      <c r="D981" s="271">
        <f>Asset26</f>
        <v>0</v>
      </c>
      <c r="E981" s="9"/>
      <c r="F981" s="9"/>
      <c r="G981" s="204">
        <f t="shared" si="133"/>
        <v>0</v>
      </c>
      <c r="H981" s="334">
        <f>SUMIF($D$75:$D$466,$D721,H$75:H$466)*Input!I$314</f>
        <v>0</v>
      </c>
      <c r="I981" s="334">
        <f>SUMIF($D$75:$D$466,$D721,I$75:I$466)*Input!J$314</f>
        <v>0</v>
      </c>
      <c r="J981" s="334">
        <f>SUMIF($D$75:$D$466,$D721,J$75:J$466)*Input!K$314</f>
        <v>0</v>
      </c>
      <c r="K981" s="334">
        <f>SUMIF($D$75:$D$466,$D721,K$75:K$466)*Input!L$314</f>
        <v>0</v>
      </c>
      <c r="L981" s="334">
        <f>SUMIF($D$75:$D$466,$D721,L$75:L$466)*Input!M$314</f>
        <v>0</v>
      </c>
      <c r="M981" s="334">
        <f>SUMIF($D$75:$D$466,$D721,M$75:M$466)*Input!N$314</f>
        <v>0</v>
      </c>
      <c r="N981" s="334">
        <f>SUMIF($D$75:$D$466,$D721,N$75:N$466)*Input!O$314</f>
        <v>0</v>
      </c>
      <c r="O981" s="334">
        <f>SUMIF($D$75:$D$466,$D721,O$75:O$466)*Input!P$314</f>
        <v>0</v>
      </c>
      <c r="P981" s="334">
        <f>SUMIF($D$75:$D$466,$D721,P$75:P$466)*Input!Q$314</f>
        <v>0</v>
      </c>
      <c r="Q981" s="334">
        <f>SUMIF($D$75:$D$466,$D721,Q$75:Q$466)*Input!R$314</f>
        <v>0</v>
      </c>
      <c r="R981" s="9"/>
      <c r="S981" s="12"/>
      <c r="T981" s="12"/>
      <c r="U981" s="12"/>
      <c r="V981" s="12"/>
      <c r="W981" s="12"/>
      <c r="X981" s="12"/>
      <c r="Y981" s="12"/>
      <c r="Z981" s="12"/>
      <c r="AA981" s="224"/>
      <c r="AB981" s="224"/>
      <c r="AC981" s="224"/>
      <c r="AD981" s="224"/>
      <c r="AE981" s="224"/>
      <c r="AF981" s="224"/>
      <c r="AG981" s="224"/>
      <c r="AH981" s="224"/>
      <c r="AI981" s="224"/>
      <c r="AJ981" s="224"/>
      <c r="AK981" s="224"/>
      <c r="AL981" s="224"/>
      <c r="AM981" s="224"/>
      <c r="AN981" s="224"/>
      <c r="AO981" s="224"/>
      <c r="AP981" s="224"/>
      <c r="AQ981" s="224"/>
      <c r="AR981" s="224"/>
      <c r="AS981" s="224"/>
      <c r="AT981" s="224"/>
      <c r="AU981" s="224"/>
      <c r="AV981" s="224"/>
      <c r="AW981" s="224"/>
      <c r="AX981" s="224"/>
      <c r="AY981" s="224"/>
      <c r="AZ981" s="224"/>
      <c r="BA981" s="224"/>
      <c r="BB981" s="224"/>
      <c r="BC981" s="224"/>
      <c r="BD981" s="12"/>
      <c r="BE981" s="12"/>
      <c r="BF981" s="12"/>
      <c r="BG981" s="12"/>
      <c r="BH981" s="12"/>
      <c r="BI981" s="12"/>
      <c r="BJ981" s="12"/>
      <c r="BK981" s="12"/>
      <c r="BL981" s="12"/>
    </row>
    <row r="982" spans="1:64" ht="12" hidden="1" customHeight="1" outlineLevel="1">
      <c r="A982" s="9"/>
      <c r="B982" s="9"/>
      <c r="C982" s="9"/>
      <c r="D982" s="271">
        <f>Asset27</f>
        <v>0</v>
      </c>
      <c r="E982" s="9"/>
      <c r="F982" s="9"/>
      <c r="G982" s="204">
        <f t="shared" si="133"/>
        <v>0</v>
      </c>
      <c r="H982" s="334">
        <f>SUMIF($D$75:$D$466,$D722,H$75:H$466)*Input!I$314</f>
        <v>0</v>
      </c>
      <c r="I982" s="334">
        <f>SUMIF($D$75:$D$466,$D722,I$75:I$466)*Input!J$314</f>
        <v>0</v>
      </c>
      <c r="J982" s="334">
        <f>SUMIF($D$75:$D$466,$D722,J$75:J$466)*Input!K$314</f>
        <v>0</v>
      </c>
      <c r="K982" s="334">
        <f>SUMIF($D$75:$D$466,$D722,K$75:K$466)*Input!L$314</f>
        <v>0</v>
      </c>
      <c r="L982" s="334">
        <f>SUMIF($D$75:$D$466,$D722,L$75:L$466)*Input!M$314</f>
        <v>0</v>
      </c>
      <c r="M982" s="334">
        <f>SUMIF($D$75:$D$466,$D722,M$75:M$466)*Input!N$314</f>
        <v>0</v>
      </c>
      <c r="N982" s="334">
        <f>SUMIF($D$75:$D$466,$D722,N$75:N$466)*Input!O$314</f>
        <v>0</v>
      </c>
      <c r="O982" s="334">
        <f>SUMIF($D$75:$D$466,$D722,O$75:O$466)*Input!P$314</f>
        <v>0</v>
      </c>
      <c r="P982" s="334">
        <f>SUMIF($D$75:$D$466,$D722,P$75:P$466)*Input!Q$314</f>
        <v>0</v>
      </c>
      <c r="Q982" s="334">
        <f>SUMIF($D$75:$D$466,$D722,Q$75:Q$466)*Input!R$314</f>
        <v>0</v>
      </c>
      <c r="R982" s="9"/>
      <c r="S982" s="12"/>
      <c r="T982" s="12"/>
      <c r="U982" s="12"/>
      <c r="V982" s="12"/>
      <c r="W982" s="12"/>
      <c r="X982" s="12"/>
      <c r="Y982" s="12"/>
      <c r="Z982" s="12"/>
      <c r="AA982" s="224"/>
      <c r="AB982" s="224"/>
      <c r="AC982" s="224"/>
      <c r="AD982" s="224"/>
      <c r="AE982" s="224"/>
      <c r="AF982" s="224"/>
      <c r="AG982" s="224"/>
      <c r="AH982" s="224"/>
      <c r="AI982" s="224"/>
      <c r="AJ982" s="224"/>
      <c r="AK982" s="224"/>
      <c r="AL982" s="224"/>
      <c r="AM982" s="224"/>
      <c r="AN982" s="224"/>
      <c r="AO982" s="224"/>
      <c r="AP982" s="224"/>
      <c r="AQ982" s="224"/>
      <c r="AR982" s="224"/>
      <c r="AS982" s="224"/>
      <c r="AT982" s="224"/>
      <c r="AU982" s="224"/>
      <c r="AV982" s="224"/>
      <c r="AW982" s="224"/>
      <c r="AX982" s="224"/>
      <c r="AY982" s="224"/>
      <c r="AZ982" s="224"/>
      <c r="BA982" s="224"/>
      <c r="BB982" s="224"/>
      <c r="BC982" s="224"/>
      <c r="BD982" s="12"/>
      <c r="BE982" s="12"/>
      <c r="BF982" s="12"/>
      <c r="BG982" s="12"/>
      <c r="BH982" s="12"/>
      <c r="BI982" s="12"/>
      <c r="BJ982" s="12"/>
      <c r="BK982" s="12"/>
      <c r="BL982" s="12"/>
    </row>
    <row r="983" spans="1:64" ht="12" hidden="1" customHeight="1" outlineLevel="1">
      <c r="A983" s="9"/>
      <c r="B983" s="9"/>
      <c r="C983" s="9"/>
      <c r="D983" s="271">
        <f>Asset28</f>
        <v>0</v>
      </c>
      <c r="E983" s="9"/>
      <c r="F983" s="9"/>
      <c r="G983" s="204">
        <f t="shared" si="133"/>
        <v>0</v>
      </c>
      <c r="H983" s="334">
        <f>SUMIF($D$75:$D$466,$D723,H$75:H$466)*Input!I$314</f>
        <v>0</v>
      </c>
      <c r="I983" s="334">
        <f>SUMIF($D$75:$D$466,$D723,I$75:I$466)*Input!J$314</f>
        <v>0</v>
      </c>
      <c r="J983" s="334">
        <f>SUMIF($D$75:$D$466,$D723,J$75:J$466)*Input!K$314</f>
        <v>0</v>
      </c>
      <c r="K983" s="334">
        <f>SUMIF($D$75:$D$466,$D723,K$75:K$466)*Input!L$314</f>
        <v>0</v>
      </c>
      <c r="L983" s="334">
        <f>SUMIF($D$75:$D$466,$D723,L$75:L$466)*Input!M$314</f>
        <v>0</v>
      </c>
      <c r="M983" s="334">
        <f>SUMIF($D$75:$D$466,$D723,M$75:M$466)*Input!N$314</f>
        <v>0</v>
      </c>
      <c r="N983" s="334">
        <f>SUMIF($D$75:$D$466,$D723,N$75:N$466)*Input!O$314</f>
        <v>0</v>
      </c>
      <c r="O983" s="334">
        <f>SUMIF($D$75:$D$466,$D723,O$75:O$466)*Input!P$314</f>
        <v>0</v>
      </c>
      <c r="P983" s="334">
        <f>SUMIF($D$75:$D$466,$D723,P$75:P$466)*Input!Q$314</f>
        <v>0</v>
      </c>
      <c r="Q983" s="334">
        <f>SUMIF($D$75:$D$466,$D723,Q$75:Q$466)*Input!R$314</f>
        <v>0</v>
      </c>
      <c r="R983" s="9"/>
      <c r="S983" s="12"/>
      <c r="T983" s="12"/>
      <c r="U983" s="12"/>
      <c r="V983" s="12"/>
      <c r="W983" s="12"/>
      <c r="X983" s="12"/>
      <c r="Y983" s="12"/>
      <c r="Z983" s="12"/>
      <c r="AA983" s="224"/>
      <c r="AB983" s="224"/>
      <c r="AC983" s="224"/>
      <c r="AD983" s="224"/>
      <c r="AE983" s="224"/>
      <c r="AF983" s="224"/>
      <c r="AG983" s="224"/>
      <c r="AH983" s="224"/>
      <c r="AI983" s="224"/>
      <c r="AJ983" s="224"/>
      <c r="AK983" s="224"/>
      <c r="AL983" s="224"/>
      <c r="AM983" s="224"/>
      <c r="AN983" s="224"/>
      <c r="AO983" s="224"/>
      <c r="AP983" s="224"/>
      <c r="AQ983" s="224"/>
      <c r="AR983" s="224"/>
      <c r="AS983" s="224"/>
      <c r="AT983" s="224"/>
      <c r="AU983" s="224"/>
      <c r="AV983" s="224"/>
      <c r="AW983" s="224"/>
      <c r="AX983" s="224"/>
      <c r="AY983" s="224"/>
      <c r="AZ983" s="224"/>
      <c r="BA983" s="224"/>
      <c r="BB983" s="224"/>
      <c r="BC983" s="224"/>
      <c r="BD983" s="12"/>
      <c r="BE983" s="12"/>
      <c r="BF983" s="12"/>
      <c r="BG983" s="12"/>
      <c r="BH983" s="12"/>
      <c r="BI983" s="12"/>
      <c r="BJ983" s="12"/>
      <c r="BK983" s="12"/>
      <c r="BL983" s="12"/>
    </row>
    <row r="984" spans="1:64" ht="12" hidden="1" customHeight="1" outlineLevel="1">
      <c r="A984" s="9"/>
      <c r="B984" s="9"/>
      <c r="C984" s="9"/>
      <c r="D984" s="271">
        <f>Asset29</f>
        <v>0</v>
      </c>
      <c r="E984" s="9"/>
      <c r="F984" s="9"/>
      <c r="G984" s="204">
        <f t="shared" si="133"/>
        <v>0</v>
      </c>
      <c r="H984" s="334">
        <f>SUMIF($D$75:$D$466,$D724,H$75:H$466)*Input!I$314</f>
        <v>0</v>
      </c>
      <c r="I984" s="334">
        <f>SUMIF($D$75:$D$466,$D724,I$75:I$466)*Input!J$314</f>
        <v>0</v>
      </c>
      <c r="J984" s="334">
        <f>SUMIF($D$75:$D$466,$D724,J$75:J$466)*Input!K$314</f>
        <v>0</v>
      </c>
      <c r="K984" s="334">
        <f>SUMIF($D$75:$D$466,$D724,K$75:K$466)*Input!L$314</f>
        <v>0</v>
      </c>
      <c r="L984" s="334">
        <f>SUMIF($D$75:$D$466,$D724,L$75:L$466)*Input!M$314</f>
        <v>0</v>
      </c>
      <c r="M984" s="334">
        <f>SUMIF($D$75:$D$466,$D724,M$75:M$466)*Input!N$314</f>
        <v>0</v>
      </c>
      <c r="N984" s="334">
        <f>SUMIF($D$75:$D$466,$D724,N$75:N$466)*Input!O$314</f>
        <v>0</v>
      </c>
      <c r="O984" s="334">
        <f>SUMIF($D$75:$D$466,$D724,O$75:O$466)*Input!P$314</f>
        <v>0</v>
      </c>
      <c r="P984" s="334">
        <f>SUMIF($D$75:$D$466,$D724,P$75:P$466)*Input!Q$314</f>
        <v>0</v>
      </c>
      <c r="Q984" s="334">
        <f>SUMIF($D$75:$D$466,$D724,Q$75:Q$466)*Input!R$314</f>
        <v>0</v>
      </c>
      <c r="R984" s="9"/>
      <c r="S984" s="12"/>
      <c r="T984" s="12"/>
      <c r="U984" s="12"/>
      <c r="V984" s="12"/>
      <c r="W984" s="12"/>
      <c r="X984" s="12"/>
      <c r="Y984" s="12"/>
      <c r="Z984" s="12"/>
      <c r="AA984" s="224"/>
      <c r="AB984" s="224"/>
      <c r="AC984" s="224"/>
      <c r="AD984" s="224"/>
      <c r="AE984" s="224"/>
      <c r="AF984" s="224"/>
      <c r="AG984" s="224"/>
      <c r="AH984" s="224"/>
      <c r="AI984" s="224"/>
      <c r="AJ984" s="224"/>
      <c r="AK984" s="224"/>
      <c r="AL984" s="224"/>
      <c r="AM984" s="224"/>
      <c r="AN984" s="224"/>
      <c r="AO984" s="224"/>
      <c r="AP984" s="224"/>
      <c r="AQ984" s="224"/>
      <c r="AR984" s="224"/>
      <c r="AS984" s="224"/>
      <c r="AT984" s="224"/>
      <c r="AU984" s="224"/>
      <c r="AV984" s="224"/>
      <c r="AW984" s="224"/>
      <c r="AX984" s="224"/>
      <c r="AY984" s="224"/>
      <c r="AZ984" s="224"/>
      <c r="BA984" s="224"/>
      <c r="BB984" s="224"/>
      <c r="BC984" s="224"/>
      <c r="BD984" s="12"/>
      <c r="BE984" s="12"/>
      <c r="BF984" s="12"/>
      <c r="BG984" s="12"/>
      <c r="BH984" s="12"/>
      <c r="BI984" s="12"/>
      <c r="BJ984" s="12"/>
      <c r="BK984" s="12"/>
      <c r="BL984" s="12"/>
    </row>
    <row r="985" spans="1:64" ht="12" hidden="1" customHeight="1" outlineLevel="1">
      <c r="A985" s="9"/>
      <c r="B985" s="9"/>
      <c r="C985" s="9"/>
      <c r="D985" s="271">
        <f>Asset30</f>
        <v>0</v>
      </c>
      <c r="E985" s="9"/>
      <c r="F985" s="9"/>
      <c r="G985" s="204">
        <f t="shared" si="133"/>
        <v>0</v>
      </c>
      <c r="H985" s="334">
        <f>SUMIF($D$75:$D$466,$D725,H$75:H$466)*Input!I$314</f>
        <v>0</v>
      </c>
      <c r="I985" s="334">
        <f>SUMIF($D$75:$D$466,$D725,I$75:I$466)*Input!J$314</f>
        <v>0</v>
      </c>
      <c r="J985" s="334">
        <f>SUMIF($D$75:$D$466,$D725,J$75:J$466)*Input!K$314</f>
        <v>0</v>
      </c>
      <c r="K985" s="334">
        <f>SUMIF($D$75:$D$466,$D725,K$75:K$466)*Input!L$314</f>
        <v>0</v>
      </c>
      <c r="L985" s="334">
        <f>SUMIF($D$75:$D$466,$D725,L$75:L$466)*Input!M$314</f>
        <v>0</v>
      </c>
      <c r="M985" s="334">
        <f>SUMIF($D$75:$D$466,$D725,M$75:M$466)*Input!N$314</f>
        <v>0</v>
      </c>
      <c r="N985" s="334">
        <f>SUMIF($D$75:$D$466,$D725,N$75:N$466)*Input!O$314</f>
        <v>0</v>
      </c>
      <c r="O985" s="334">
        <f>SUMIF($D$75:$D$466,$D725,O$75:O$466)*Input!P$314</f>
        <v>0</v>
      </c>
      <c r="P985" s="334">
        <f>SUMIF($D$75:$D$466,$D725,P$75:P$466)*Input!Q$314</f>
        <v>0</v>
      </c>
      <c r="Q985" s="334">
        <f>SUMIF($D$75:$D$466,$D725,Q$75:Q$466)*Input!R$314</f>
        <v>0</v>
      </c>
      <c r="R985" s="9"/>
      <c r="S985" s="12"/>
      <c r="T985" s="12"/>
      <c r="U985" s="12"/>
      <c r="V985" s="12"/>
      <c r="W985" s="12"/>
      <c r="X985" s="12"/>
      <c r="Y985" s="12"/>
      <c r="Z985" s="12"/>
      <c r="AA985" s="224"/>
      <c r="AB985" s="224"/>
      <c r="AC985" s="224"/>
      <c r="AD985" s="224"/>
      <c r="AE985" s="224"/>
      <c r="AF985" s="224"/>
      <c r="AG985" s="224"/>
      <c r="AH985" s="224"/>
      <c r="AI985" s="224"/>
      <c r="AJ985" s="224"/>
      <c r="AK985" s="224"/>
      <c r="AL985" s="224"/>
      <c r="AM985" s="224"/>
      <c r="AN985" s="224"/>
      <c r="AO985" s="224"/>
      <c r="AP985" s="224"/>
      <c r="AQ985" s="224"/>
      <c r="AR985" s="224"/>
      <c r="AS985" s="224"/>
      <c r="AT985" s="224"/>
      <c r="AU985" s="224"/>
      <c r="AV985" s="224"/>
      <c r="AW985" s="224"/>
      <c r="AX985" s="224"/>
      <c r="AY985" s="224"/>
      <c r="AZ985" s="224"/>
      <c r="BA985" s="224"/>
      <c r="BB985" s="224"/>
      <c r="BC985" s="224"/>
      <c r="BD985" s="12"/>
      <c r="BE985" s="12"/>
      <c r="BF985" s="12"/>
      <c r="BG985" s="12"/>
      <c r="BH985" s="12"/>
      <c r="BI985" s="12"/>
      <c r="BJ985" s="12"/>
      <c r="BK985" s="12"/>
      <c r="BL985" s="12"/>
    </row>
    <row r="986" spans="1:64" ht="12" customHeight="1" collapsed="1">
      <c r="A986" s="9"/>
      <c r="B986" s="9"/>
      <c r="C986" s="9"/>
      <c r="D986" s="9"/>
      <c r="E986" s="9"/>
      <c r="F986" s="9"/>
      <c r="G986" s="212"/>
      <c r="H986" s="9"/>
      <c r="I986" s="9"/>
      <c r="J986" s="9"/>
      <c r="K986" s="9"/>
      <c r="L986" s="9"/>
      <c r="M986" s="9"/>
      <c r="N986" s="9"/>
      <c r="O986" s="9"/>
      <c r="P986" s="9"/>
      <c r="Q986" s="9"/>
      <c r="R986" s="9"/>
      <c r="S986" s="12"/>
      <c r="T986" s="12"/>
      <c r="U986" s="12"/>
      <c r="V986" s="12"/>
      <c r="W986" s="12"/>
      <c r="X986" s="12"/>
      <c r="Y986" s="12"/>
      <c r="Z986" s="12"/>
      <c r="AA986" s="224"/>
      <c r="AB986" s="224"/>
      <c r="AC986" s="224"/>
      <c r="AD986" s="224"/>
      <c r="AE986" s="224"/>
      <c r="AF986" s="224"/>
      <c r="AG986" s="224"/>
      <c r="AH986" s="224"/>
      <c r="AI986" s="224"/>
      <c r="AJ986" s="224"/>
      <c r="AK986" s="224"/>
      <c r="AL986" s="224"/>
      <c r="AM986" s="224"/>
      <c r="AN986" s="224"/>
      <c r="AO986" s="224"/>
      <c r="AP986" s="224"/>
      <c r="AQ986" s="224"/>
      <c r="AR986" s="224"/>
      <c r="AS986" s="224"/>
      <c r="AT986" s="224"/>
      <c r="AU986" s="224"/>
      <c r="AV986" s="224"/>
      <c r="AW986" s="224"/>
      <c r="AX986" s="224"/>
      <c r="AY986" s="224"/>
      <c r="AZ986" s="224"/>
      <c r="BA986" s="224"/>
      <c r="BB986" s="224"/>
      <c r="BC986" s="224"/>
      <c r="BD986" s="12"/>
      <c r="BE986" s="12"/>
      <c r="BF986" s="12"/>
      <c r="BG986" s="12"/>
      <c r="BH986" s="12"/>
      <c r="BI986" s="12"/>
      <c r="BJ986" s="12"/>
      <c r="BK986" s="12"/>
      <c r="BL986" s="12"/>
    </row>
    <row r="987" spans="1:64" ht="12" customHeight="1">
      <c r="A987" s="9"/>
      <c r="B987" s="12"/>
      <c r="C987" s="94" t="s">
        <v>20</v>
      </c>
      <c r="D987" s="12"/>
      <c r="E987" s="12"/>
      <c r="F987" s="12"/>
      <c r="G987" s="208">
        <f>SUM(G988:G1017)</f>
        <v>23.711477669814084</v>
      </c>
      <c r="H987" s="122">
        <f>SUM(H988:H1017)</f>
        <v>58.358014091021396</v>
      </c>
      <c r="I987" s="122">
        <f t="shared" ref="I987:P987" si="134">SUM(I988:I1017)</f>
        <v>80.192680527917901</v>
      </c>
      <c r="J987" s="122">
        <f t="shared" si="134"/>
        <v>51.362933692702775</v>
      </c>
      <c r="K987" s="122">
        <f t="shared" si="134"/>
        <v>61.784676203251493</v>
      </c>
      <c r="L987" s="122">
        <f t="shared" si="134"/>
        <v>73.39360744845203</v>
      </c>
      <c r="M987" s="122">
        <f t="shared" si="134"/>
        <v>0</v>
      </c>
      <c r="N987" s="122">
        <f t="shared" si="134"/>
        <v>0</v>
      </c>
      <c r="O987" s="122">
        <f t="shared" si="134"/>
        <v>0</v>
      </c>
      <c r="P987" s="122">
        <f t="shared" si="134"/>
        <v>0</v>
      </c>
      <c r="Q987" s="122">
        <f>SUM(Q988:Q1017)</f>
        <v>0</v>
      </c>
      <c r="R987" s="9"/>
      <c r="S987" s="12"/>
      <c r="T987" s="12"/>
      <c r="U987" s="12"/>
      <c r="V987" s="12"/>
      <c r="W987" s="12"/>
      <c r="X987" s="12"/>
      <c r="Y987" s="12"/>
      <c r="Z987" s="12"/>
      <c r="AA987" s="224"/>
      <c r="AB987" s="224"/>
      <c r="AC987" s="224"/>
      <c r="AD987" s="224"/>
      <c r="AE987" s="224"/>
      <c r="AF987" s="224"/>
      <c r="AG987" s="224"/>
      <c r="AH987" s="224"/>
      <c r="AI987" s="224"/>
      <c r="AJ987" s="224"/>
      <c r="AK987" s="224"/>
      <c r="AL987" s="224"/>
      <c r="AM987" s="224"/>
      <c r="AN987" s="224"/>
      <c r="AO987" s="224"/>
      <c r="AP987" s="224"/>
      <c r="AQ987" s="224"/>
      <c r="AR987" s="224"/>
      <c r="AS987" s="224"/>
      <c r="AT987" s="224"/>
      <c r="AU987" s="224"/>
      <c r="AV987" s="224"/>
      <c r="AW987" s="224"/>
      <c r="AX987" s="224"/>
      <c r="AY987" s="224"/>
      <c r="AZ987" s="224"/>
      <c r="BA987" s="224"/>
      <c r="BB987" s="224"/>
      <c r="BC987" s="224"/>
      <c r="BD987" s="12"/>
      <c r="BE987" s="12"/>
      <c r="BF987" s="12"/>
      <c r="BG987" s="12"/>
      <c r="BH987" s="12"/>
      <c r="BI987" s="12"/>
      <c r="BJ987" s="12"/>
      <c r="BK987" s="12"/>
      <c r="BL987" s="12"/>
    </row>
    <row r="988" spans="1:64" ht="12" hidden="1" customHeight="1" outlineLevel="1">
      <c r="A988" s="9"/>
      <c r="B988" s="9"/>
      <c r="C988" s="9"/>
      <c r="D988" s="271" t="str">
        <f>Asset1</f>
        <v>Subtransmission</v>
      </c>
      <c r="E988" s="9"/>
      <c r="F988" s="9"/>
      <c r="G988" s="204">
        <f t="shared" ref="G988:L988" si="135">G762*G$6</f>
        <v>2.7884174833154578</v>
      </c>
      <c r="H988" s="115">
        <f t="shared" si="135"/>
        <v>5.6272416984492146</v>
      </c>
      <c r="I988" s="115">
        <f t="shared" si="135"/>
        <v>7.8759264915284977</v>
      </c>
      <c r="J988" s="115">
        <f t="shared" si="135"/>
        <v>5.4145327791229745</v>
      </c>
      <c r="K988" s="115">
        <f t="shared" si="135"/>
        <v>7.2012960686959904</v>
      </c>
      <c r="L988" s="115">
        <f t="shared" si="135"/>
        <v>9.1309330201890635</v>
      </c>
      <c r="M988" s="115">
        <f>IF(COUNT($H988:L988)&gt;=Input!$Y$7,0,M762*M$6)</f>
        <v>0</v>
      </c>
      <c r="N988" s="115">
        <f>IF(COUNT($H988:M988)&gt;=Input!$Y$7,0,N762*N$6)</f>
        <v>0</v>
      </c>
      <c r="O988" s="115">
        <f>IF(COUNT($H988:N988)&gt;=Input!$Y$7,0,O762*O$6)</f>
        <v>0</v>
      </c>
      <c r="P988" s="115">
        <f>IF(COUNT($H988:O988)&gt;=Input!$Y$7,0,P762*P$6)</f>
        <v>0</v>
      </c>
      <c r="Q988" s="115">
        <f>IF(COUNT($H988:P988)&gt;=Input!$Y$7,0,Q762*Q$6)</f>
        <v>0</v>
      </c>
      <c r="R988" s="9"/>
      <c r="S988" s="12"/>
      <c r="T988" s="12"/>
      <c r="U988" s="12"/>
      <c r="V988" s="12"/>
      <c r="W988" s="12"/>
      <c r="X988" s="12"/>
      <c r="Y988" s="12"/>
      <c r="Z988" s="12"/>
      <c r="AA988" s="224"/>
      <c r="AB988" s="224"/>
      <c r="AC988" s="224"/>
      <c r="AD988" s="224"/>
      <c r="AE988" s="224"/>
      <c r="AF988" s="224"/>
      <c r="AG988" s="224"/>
      <c r="AH988" s="224"/>
      <c r="AI988" s="224"/>
      <c r="AJ988" s="224"/>
      <c r="AK988" s="224"/>
      <c r="AL988" s="224"/>
      <c r="AM988" s="224"/>
      <c r="AN988" s="224"/>
      <c r="AO988" s="224"/>
      <c r="AP988" s="224"/>
      <c r="AQ988" s="224"/>
      <c r="AR988" s="224"/>
      <c r="AS988" s="224"/>
      <c r="AT988" s="224"/>
      <c r="AU988" s="224"/>
      <c r="AV988" s="224"/>
      <c r="AW988" s="224"/>
      <c r="AX988" s="224"/>
      <c r="AY988" s="224"/>
      <c r="AZ988" s="224"/>
      <c r="BA988" s="224"/>
      <c r="BB988" s="224"/>
      <c r="BC988" s="224"/>
      <c r="BD988" s="12"/>
      <c r="BE988" s="12"/>
      <c r="BF988" s="12"/>
      <c r="BG988" s="12"/>
      <c r="BH988" s="12"/>
      <c r="BI988" s="12"/>
      <c r="BJ988" s="12"/>
      <c r="BK988" s="12"/>
      <c r="BL988" s="12"/>
    </row>
    <row r="989" spans="1:64" hidden="1" outlineLevel="1">
      <c r="A989" s="9"/>
      <c r="B989" s="9"/>
      <c r="C989" s="9"/>
      <c r="D989" s="271" t="str">
        <f>Asset2</f>
        <v>Distribution system assets</v>
      </c>
      <c r="E989" s="9"/>
      <c r="F989" s="9"/>
      <c r="G989" s="204">
        <f t="shared" ref="G989:L1004" si="136">G763*G$6</f>
        <v>19.678208157399315</v>
      </c>
      <c r="H989" s="115">
        <f t="shared" si="136"/>
        <v>48.834332511654729</v>
      </c>
      <c r="I989" s="115">
        <f t="shared" si="136"/>
        <v>68.015543633084832</v>
      </c>
      <c r="J989" s="115">
        <f t="shared" si="136"/>
        <v>43.031856534438326</v>
      </c>
      <c r="K989" s="115">
        <f t="shared" si="136"/>
        <v>51.189107365733868</v>
      </c>
      <c r="L989" s="115">
        <f t="shared" si="136"/>
        <v>60.781522884196058</v>
      </c>
      <c r="M989" s="115">
        <f>IF(COUNT($H989:L989)&gt;=Input!$Y$7,0,M763*M$6)</f>
        <v>0</v>
      </c>
      <c r="N989" s="115">
        <f>IF(COUNT($H989:M989)&gt;=Input!$Y$7,0,N763*N$6)</f>
        <v>0</v>
      </c>
      <c r="O989" s="115">
        <f>IF(COUNT($H989:N989)&gt;=Input!$Y$7,0,O763*O$6)</f>
        <v>0</v>
      </c>
      <c r="P989" s="115">
        <f>IF(COUNT($H989:O989)&gt;=Input!$Y$7,0,P763*P$6)</f>
        <v>0</v>
      </c>
      <c r="Q989" s="115">
        <f>IF(COUNT($H989:P989)&gt;=Input!$Y$7,0,Q763*Q$6)</f>
        <v>0</v>
      </c>
      <c r="R989" s="29"/>
      <c r="S989" s="104"/>
      <c r="T989" s="104"/>
      <c r="U989" s="104"/>
      <c r="V989" s="104"/>
      <c r="W989" s="104"/>
      <c r="X989" s="104"/>
      <c r="Y989" s="104"/>
      <c r="Z989" s="104"/>
      <c r="AA989" s="231"/>
      <c r="AB989" s="231"/>
      <c r="AC989" s="231"/>
      <c r="AD989" s="231"/>
      <c r="AE989" s="231"/>
      <c r="AF989" s="231"/>
      <c r="AG989" s="231"/>
      <c r="AH989" s="231"/>
      <c r="AI989" s="231"/>
      <c r="AJ989" s="231"/>
      <c r="AK989" s="231"/>
      <c r="AL989" s="231"/>
      <c r="AM989" s="231"/>
      <c r="AN989" s="231"/>
      <c r="AO989" s="231"/>
      <c r="AP989" s="231"/>
      <c r="AQ989" s="231"/>
      <c r="AR989" s="231"/>
      <c r="AS989" s="231"/>
      <c r="AT989" s="231"/>
      <c r="AU989" s="231"/>
      <c r="AV989" s="231"/>
      <c r="AW989" s="231"/>
      <c r="AX989" s="231"/>
      <c r="AY989" s="231"/>
      <c r="AZ989" s="231"/>
      <c r="BA989" s="231"/>
      <c r="BB989" s="231"/>
      <c r="BC989" s="231"/>
      <c r="BD989" s="104"/>
      <c r="BE989" s="104"/>
      <c r="BF989" s="104"/>
      <c r="BG989" s="104"/>
      <c r="BH989" s="104"/>
      <c r="BI989" s="104"/>
      <c r="BJ989" s="104"/>
      <c r="BK989" s="12"/>
      <c r="BL989" s="12"/>
    </row>
    <row r="990" spans="1:64" ht="12" hidden="1" customHeight="1" outlineLevel="1">
      <c r="A990" s="9"/>
      <c r="B990" s="9"/>
      <c r="C990" s="9"/>
      <c r="D990" s="271" t="str">
        <f>Asset3</f>
        <v>Standard metering</v>
      </c>
      <c r="E990" s="9"/>
      <c r="F990" s="9"/>
      <c r="G990" s="204">
        <f t="shared" si="136"/>
        <v>0.18025794300147507</v>
      </c>
      <c r="H990" s="115">
        <f t="shared" si="136"/>
        <v>0.44018261935725772</v>
      </c>
      <c r="I990" s="115">
        <f t="shared" si="136"/>
        <v>0</v>
      </c>
      <c r="J990" s="115">
        <f t="shared" si="136"/>
        <v>0</v>
      </c>
      <c r="K990" s="115">
        <f t="shared" si="136"/>
        <v>0</v>
      </c>
      <c r="L990" s="115">
        <f t="shared" si="136"/>
        <v>0</v>
      </c>
      <c r="M990" s="115">
        <f>IF(COUNT($H990:L990)&gt;=Input!$Y$7,0,M764*M$6)</f>
        <v>0</v>
      </c>
      <c r="N990" s="115">
        <f>IF(COUNT($H990:M990)&gt;=Input!$Y$7,0,N764*N$6)</f>
        <v>0</v>
      </c>
      <c r="O990" s="115">
        <f>IF(COUNT($H990:N990)&gt;=Input!$Y$7,0,O764*O$6)</f>
        <v>0</v>
      </c>
      <c r="P990" s="115">
        <f>IF(COUNT($H990:O990)&gt;=Input!$Y$7,0,P764*P$6)</f>
        <v>0</v>
      </c>
      <c r="Q990" s="115">
        <f>IF(COUNT($H990:P990)&gt;=Input!$Y$7,0,Q764*Q$6)</f>
        <v>0</v>
      </c>
      <c r="R990" s="9"/>
      <c r="S990" s="12"/>
      <c r="T990" s="12"/>
      <c r="U990" s="12"/>
      <c r="V990" s="12"/>
      <c r="W990" s="12"/>
      <c r="X990" s="12"/>
      <c r="Y990" s="12"/>
      <c r="Z990" s="12"/>
      <c r="AA990" s="224"/>
      <c r="AB990" s="224"/>
      <c r="AC990" s="224"/>
      <c r="AD990" s="224"/>
      <c r="AE990" s="224"/>
      <c r="AF990" s="224"/>
      <c r="AG990" s="224"/>
      <c r="AH990" s="224"/>
      <c r="AI990" s="224"/>
      <c r="AJ990" s="224"/>
      <c r="AK990" s="224"/>
      <c r="AL990" s="224"/>
      <c r="AM990" s="224"/>
      <c r="AN990" s="224"/>
      <c r="AO990" s="224"/>
      <c r="AP990" s="224"/>
      <c r="AQ990" s="224"/>
      <c r="AR990" s="224"/>
      <c r="AS990" s="224"/>
      <c r="AT990" s="224"/>
      <c r="AU990" s="224"/>
      <c r="AV990" s="224"/>
      <c r="AW990" s="224"/>
      <c r="AX990" s="224"/>
      <c r="AY990" s="224"/>
      <c r="AZ990" s="224"/>
      <c r="BA990" s="224"/>
      <c r="BB990" s="224"/>
      <c r="BC990" s="224"/>
      <c r="BD990" s="12"/>
      <c r="BE990" s="12"/>
      <c r="BF990" s="12"/>
      <c r="BG990" s="12"/>
      <c r="BH990" s="12"/>
      <c r="BI990" s="12"/>
      <c r="BJ990" s="12"/>
      <c r="BK990" s="12"/>
      <c r="BL990" s="12"/>
    </row>
    <row r="991" spans="1:64" ht="12" hidden="1" customHeight="1" outlineLevel="1">
      <c r="A991" s="9"/>
      <c r="B991" s="9"/>
      <c r="C991" s="9"/>
      <c r="D991" s="271" t="str">
        <f>Asset4</f>
        <v>Public lighting</v>
      </c>
      <c r="E991" s="9"/>
      <c r="F991" s="9"/>
      <c r="G991" s="204">
        <f t="shared" si="136"/>
        <v>8.7378884232890044E-2</v>
      </c>
      <c r="H991" s="115">
        <f t="shared" si="136"/>
        <v>1.0843308871816672E-2</v>
      </c>
      <c r="I991" s="115">
        <f t="shared" si="136"/>
        <v>0</v>
      </c>
      <c r="J991" s="115">
        <f t="shared" si="136"/>
        <v>0</v>
      </c>
      <c r="K991" s="115">
        <f t="shared" si="136"/>
        <v>0</v>
      </c>
      <c r="L991" s="115">
        <f t="shared" si="136"/>
        <v>0</v>
      </c>
      <c r="M991" s="115">
        <f>IF(COUNT($H991:L991)&gt;=Input!$Y$7,0,M765*M$6)</f>
        <v>0</v>
      </c>
      <c r="N991" s="115">
        <f>IF(COUNT($H991:M991)&gt;=Input!$Y$7,0,N765*N$6)</f>
        <v>0</v>
      </c>
      <c r="O991" s="115">
        <f>IF(COUNT($H991:N991)&gt;=Input!$Y$7,0,O765*O$6)</f>
        <v>0</v>
      </c>
      <c r="P991" s="115">
        <f>IF(COUNT($H991:O991)&gt;=Input!$Y$7,0,P765*P$6)</f>
        <v>0</v>
      </c>
      <c r="Q991" s="115">
        <f>IF(COUNT($H991:P991)&gt;=Input!$Y$7,0,Q765*Q$6)</f>
        <v>0</v>
      </c>
      <c r="R991" s="9"/>
      <c r="S991" s="12"/>
      <c r="T991" s="12"/>
      <c r="U991" s="12"/>
      <c r="V991" s="12"/>
      <c r="W991" s="12"/>
      <c r="X991" s="12"/>
      <c r="Y991" s="12"/>
      <c r="Z991" s="12"/>
      <c r="AA991" s="224"/>
      <c r="AB991" s="224"/>
      <c r="AC991" s="224"/>
      <c r="AD991" s="224"/>
      <c r="AE991" s="224"/>
      <c r="AF991" s="224"/>
      <c r="AG991" s="224"/>
      <c r="AH991" s="224"/>
      <c r="AI991" s="224"/>
      <c r="AJ991" s="224"/>
      <c r="AK991" s="224"/>
      <c r="AL991" s="224"/>
      <c r="AM991" s="224"/>
      <c r="AN991" s="224"/>
      <c r="AO991" s="224"/>
      <c r="AP991" s="224"/>
      <c r="AQ991" s="224"/>
      <c r="AR991" s="224"/>
      <c r="AS991" s="224"/>
      <c r="AT991" s="224"/>
      <c r="AU991" s="224"/>
      <c r="AV991" s="224"/>
      <c r="AW991" s="224"/>
      <c r="AX991" s="224"/>
      <c r="AY991" s="224"/>
      <c r="AZ991" s="224"/>
      <c r="BA991" s="224"/>
      <c r="BB991" s="224"/>
      <c r="BC991" s="224"/>
      <c r="BD991" s="12"/>
      <c r="BE991" s="12"/>
      <c r="BF991" s="12"/>
      <c r="BG991" s="12"/>
      <c r="BH991" s="12"/>
      <c r="BI991" s="12"/>
      <c r="BJ991" s="12"/>
      <c r="BK991" s="12"/>
      <c r="BL991" s="12"/>
    </row>
    <row r="992" spans="1:64" ht="12" hidden="1" customHeight="1" outlineLevel="1">
      <c r="A992" s="9"/>
      <c r="B992" s="9"/>
      <c r="C992" s="9"/>
      <c r="D992" s="271" t="str">
        <f>Asset5</f>
        <v>SCADA/Network control</v>
      </c>
      <c r="E992" s="9"/>
      <c r="F992" s="9"/>
      <c r="G992" s="204">
        <f t="shared" si="136"/>
        <v>7.5646533028554563E-2</v>
      </c>
      <c r="H992" s="115">
        <f t="shared" si="136"/>
        <v>4.6423916510126965E-17</v>
      </c>
      <c r="I992" s="115">
        <f t="shared" si="136"/>
        <v>4.6840963097375191E-2</v>
      </c>
      <c r="J992" s="115">
        <f t="shared" si="136"/>
        <v>0.14680570046491304</v>
      </c>
      <c r="K992" s="115">
        <f t="shared" si="136"/>
        <v>0.17143653889986249</v>
      </c>
      <c r="L992" s="115">
        <f t="shared" si="136"/>
        <v>0.15873576066342956</v>
      </c>
      <c r="M992" s="115">
        <f>IF(COUNT($H992:L992)&gt;=Input!$Y$7,0,M766*M$6)</f>
        <v>0</v>
      </c>
      <c r="N992" s="115">
        <f>IF(COUNT($H992:M992)&gt;=Input!$Y$7,0,N766*N$6)</f>
        <v>0</v>
      </c>
      <c r="O992" s="115">
        <f>IF(COUNT($H992:N992)&gt;=Input!$Y$7,0,O766*O$6)</f>
        <v>0</v>
      </c>
      <c r="P992" s="115">
        <f>IF(COUNT($H992:O992)&gt;=Input!$Y$7,0,P766*P$6)</f>
        <v>0</v>
      </c>
      <c r="Q992" s="115">
        <f>IF(COUNT($H992:P992)&gt;=Input!$Y$7,0,Q766*Q$6)</f>
        <v>0</v>
      </c>
      <c r="R992" s="9"/>
      <c r="S992" s="12"/>
      <c r="T992" s="12"/>
      <c r="U992" s="12"/>
      <c r="V992" s="12"/>
      <c r="W992" s="12"/>
      <c r="X992" s="12"/>
      <c r="Y992" s="12"/>
      <c r="Z992" s="12"/>
      <c r="AA992" s="224"/>
      <c r="AB992" s="224"/>
      <c r="AC992" s="224"/>
      <c r="AD992" s="224"/>
      <c r="AE992" s="224"/>
      <c r="AF992" s="224"/>
      <c r="AG992" s="224"/>
      <c r="AH992" s="224"/>
      <c r="AI992" s="224"/>
      <c r="AJ992" s="224"/>
      <c r="AK992" s="224"/>
      <c r="AL992" s="224"/>
      <c r="AM992" s="224"/>
      <c r="AN992" s="224"/>
      <c r="AO992" s="224"/>
      <c r="AP992" s="224"/>
      <c r="AQ992" s="224"/>
      <c r="AR992" s="224"/>
      <c r="AS992" s="224"/>
      <c r="AT992" s="224"/>
      <c r="AU992" s="224"/>
      <c r="AV992" s="224"/>
      <c r="AW992" s="224"/>
      <c r="AX992" s="224"/>
      <c r="AY992" s="224"/>
      <c r="AZ992" s="224"/>
      <c r="BA992" s="224"/>
      <c r="BB992" s="224"/>
      <c r="BC992" s="224"/>
      <c r="BD992" s="12"/>
      <c r="BE992" s="12"/>
      <c r="BF992" s="12"/>
      <c r="BG992" s="12"/>
      <c r="BH992" s="12"/>
      <c r="BI992" s="12"/>
      <c r="BJ992" s="12"/>
      <c r="BK992" s="12"/>
      <c r="BL992" s="12"/>
    </row>
    <row r="993" spans="1:64" hidden="1" outlineLevel="1">
      <c r="A993" s="9"/>
      <c r="B993" s="9"/>
      <c r="C993" s="9"/>
      <c r="D993" s="271" t="str">
        <f>Asset6</f>
        <v>Non-network general assets - IT</v>
      </c>
      <c r="E993" s="9"/>
      <c r="F993" s="9"/>
      <c r="G993" s="204">
        <f t="shared" si="136"/>
        <v>0.6029515661463557</v>
      </c>
      <c r="H993" s="115">
        <f t="shared" si="136"/>
        <v>2.489924458696783</v>
      </c>
      <c r="I993" s="115">
        <f t="shared" si="136"/>
        <v>4.0182350174215493</v>
      </c>
      <c r="J993" s="115">
        <f t="shared" si="136"/>
        <v>2.5747551123531789</v>
      </c>
      <c r="K993" s="115">
        <f t="shared" si="136"/>
        <v>2.9257820225843907</v>
      </c>
      <c r="L993" s="115">
        <f t="shared" si="136"/>
        <v>2.9641171826961492</v>
      </c>
      <c r="M993" s="115">
        <f>IF(COUNT($H993:L993)&gt;=Input!$Y$7,0,M767*M$6)</f>
        <v>0</v>
      </c>
      <c r="N993" s="115">
        <f>IF(COUNT($H993:M993)&gt;=Input!$Y$7,0,N767*N$6)</f>
        <v>0</v>
      </c>
      <c r="O993" s="115">
        <f>IF(COUNT($H993:N993)&gt;=Input!$Y$7,0,O767*O$6)</f>
        <v>0</v>
      </c>
      <c r="P993" s="115">
        <f>IF(COUNT($H993:O993)&gt;=Input!$Y$7,0,P767*P$6)</f>
        <v>0</v>
      </c>
      <c r="Q993" s="115">
        <f>IF(COUNT($H993:P993)&gt;=Input!$Y$7,0,Q767*Q$6)</f>
        <v>0</v>
      </c>
      <c r="R993" s="9"/>
      <c r="S993" s="12"/>
      <c r="T993" s="12"/>
      <c r="U993" s="12"/>
      <c r="V993" s="12"/>
      <c r="W993" s="12"/>
      <c r="X993" s="12"/>
      <c r="Y993" s="12"/>
      <c r="Z993" s="12"/>
      <c r="AA993" s="224"/>
      <c r="AB993" s="224"/>
      <c r="AC993" s="224"/>
      <c r="AD993" s="224"/>
      <c r="AE993" s="224"/>
      <c r="AF993" s="224"/>
      <c r="AG993" s="224"/>
      <c r="AH993" s="224"/>
      <c r="AI993" s="224"/>
      <c r="AJ993" s="224"/>
      <c r="AK993" s="224"/>
      <c r="AL993" s="224"/>
      <c r="AM993" s="224"/>
      <c r="AN993" s="224"/>
      <c r="AO993" s="224"/>
      <c r="AP993" s="224"/>
      <c r="AQ993" s="224"/>
      <c r="AR993" s="224"/>
      <c r="AS993" s="224"/>
      <c r="AT993" s="224"/>
      <c r="AU993" s="224"/>
      <c r="AV993" s="224"/>
      <c r="AW993" s="224"/>
      <c r="AX993" s="224"/>
      <c r="AY993" s="224"/>
      <c r="AZ993" s="224"/>
      <c r="BA993" s="224"/>
      <c r="BB993" s="224"/>
      <c r="BC993" s="224"/>
      <c r="BD993" s="12"/>
      <c r="BE993" s="12"/>
      <c r="BF993" s="12"/>
      <c r="BG993" s="12"/>
      <c r="BH993" s="12"/>
      <c r="BI993" s="12"/>
      <c r="BJ993" s="12"/>
      <c r="BK993" s="12"/>
      <c r="BL993" s="12"/>
    </row>
    <row r="994" spans="1:64" hidden="1" outlineLevel="1">
      <c r="A994" s="9"/>
      <c r="B994" s="9"/>
      <c r="C994" s="9"/>
      <c r="D994" s="271" t="str">
        <f>Asset7</f>
        <v>Non-network general assets - Other</v>
      </c>
      <c r="E994" s="9"/>
      <c r="F994" s="9"/>
      <c r="G994" s="204">
        <f t="shared" si="136"/>
        <v>0.29861710269003494</v>
      </c>
      <c r="H994" s="115">
        <f t="shared" si="136"/>
        <v>0.95548949399158822</v>
      </c>
      <c r="I994" s="115">
        <f t="shared" si="136"/>
        <v>0.18138774409301445</v>
      </c>
      <c r="J994" s="115">
        <f t="shared" si="136"/>
        <v>0.1634114948690277</v>
      </c>
      <c r="K994" s="115">
        <f t="shared" si="136"/>
        <v>0.26308863470760951</v>
      </c>
      <c r="L994" s="115">
        <f t="shared" si="136"/>
        <v>0.32207838253302984</v>
      </c>
      <c r="M994" s="115">
        <f>IF(COUNT($H994:L994)&gt;=Input!$Y$7,0,M768*M$6)</f>
        <v>0</v>
      </c>
      <c r="N994" s="115">
        <f>IF(COUNT($H994:M994)&gt;=Input!$Y$7,0,N768*N$6)</f>
        <v>0</v>
      </c>
      <c r="O994" s="115">
        <f>IF(COUNT($H994:N994)&gt;=Input!$Y$7,0,O768*O$6)</f>
        <v>0</v>
      </c>
      <c r="P994" s="115">
        <f>IF(COUNT($H994:O994)&gt;=Input!$Y$7,0,P768*P$6)</f>
        <v>0</v>
      </c>
      <c r="Q994" s="115">
        <f>IF(COUNT($H994:P994)&gt;=Input!$Y$7,0,Q768*Q$6)</f>
        <v>0</v>
      </c>
      <c r="R994" s="9"/>
      <c r="S994" s="9"/>
      <c r="T994" s="9"/>
      <c r="U994" s="9"/>
      <c r="V994" s="9"/>
      <c r="W994" s="9"/>
      <c r="X994" s="9"/>
      <c r="Y994" s="9"/>
      <c r="Z994" s="9"/>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9"/>
      <c r="BE994" s="9"/>
      <c r="BF994" s="9"/>
      <c r="BG994" s="9"/>
      <c r="BH994" s="9"/>
      <c r="BI994" s="9"/>
      <c r="BJ994" s="9"/>
      <c r="BK994" s="9"/>
      <c r="BL994" s="9"/>
    </row>
    <row r="995" spans="1:64" hidden="1" outlineLevel="1">
      <c r="A995" s="9"/>
      <c r="B995" s="9"/>
      <c r="C995" s="9"/>
      <c r="D995" s="271" t="str">
        <f>Asset8</f>
        <v>Equity Raising Costs</v>
      </c>
      <c r="E995" s="9"/>
      <c r="F995" s="9"/>
      <c r="G995" s="204">
        <f t="shared" si="136"/>
        <v>0</v>
      </c>
      <c r="H995" s="115">
        <f t="shared" si="136"/>
        <v>0</v>
      </c>
      <c r="I995" s="115">
        <f t="shared" si="136"/>
        <v>5.4746678692629412E-2</v>
      </c>
      <c r="J995" s="115">
        <f t="shared" si="136"/>
        <v>3.1572071454356761E-2</v>
      </c>
      <c r="K995" s="115">
        <f t="shared" si="136"/>
        <v>3.3965572629777875E-2</v>
      </c>
      <c r="L995" s="115">
        <f t="shared" si="136"/>
        <v>3.6220218174287652E-2</v>
      </c>
      <c r="M995" s="115">
        <f>IF(COUNT($H995:L995)&gt;=Input!$Y$7,0,M769*M$6)</f>
        <v>0</v>
      </c>
      <c r="N995" s="115">
        <f>IF(COUNT($H995:M995)&gt;=Input!$Y$7,0,N769*N$6)</f>
        <v>0</v>
      </c>
      <c r="O995" s="115">
        <f>IF(COUNT($H995:N995)&gt;=Input!$Y$7,0,O769*O$6)</f>
        <v>0</v>
      </c>
      <c r="P995" s="115">
        <f>IF(COUNT($H995:O995)&gt;=Input!$Y$7,0,P769*P$6)</f>
        <v>0</v>
      </c>
      <c r="Q995" s="115">
        <f>IF(COUNT($H995:P995)&gt;=Input!$Y$7,0,Q769*Q$6)</f>
        <v>0</v>
      </c>
      <c r="R995" s="9"/>
      <c r="S995" s="9"/>
      <c r="T995" s="9"/>
      <c r="U995" s="9"/>
      <c r="V995" s="9"/>
      <c r="W995" s="9"/>
      <c r="X995" s="9"/>
      <c r="Y995" s="9"/>
      <c r="Z995" s="9"/>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9"/>
      <c r="BE995" s="9"/>
      <c r="BF995" s="9"/>
      <c r="BG995" s="9"/>
      <c r="BH995" s="9"/>
      <c r="BI995" s="9"/>
      <c r="BJ995" s="9"/>
      <c r="BK995" s="9"/>
      <c r="BL995" s="9"/>
    </row>
    <row r="996" spans="1:64" hidden="1" outlineLevel="1">
      <c r="A996" s="9"/>
      <c r="B996" s="9"/>
      <c r="C996" s="9"/>
      <c r="D996" s="271">
        <f>Asset9</f>
        <v>0</v>
      </c>
      <c r="E996" s="9"/>
      <c r="F996" s="9"/>
      <c r="G996" s="204">
        <f t="shared" si="136"/>
        <v>0</v>
      </c>
      <c r="H996" s="115">
        <f t="shared" si="136"/>
        <v>0</v>
      </c>
      <c r="I996" s="115">
        <f t="shared" si="136"/>
        <v>0</v>
      </c>
      <c r="J996" s="115">
        <f t="shared" si="136"/>
        <v>0</v>
      </c>
      <c r="K996" s="115">
        <f t="shared" si="136"/>
        <v>0</v>
      </c>
      <c r="L996" s="115">
        <f t="shared" si="136"/>
        <v>0</v>
      </c>
      <c r="M996" s="115">
        <f>IF(COUNT($H996:L996)&gt;=Input!$Y$7,0,M770*M$6)</f>
        <v>0</v>
      </c>
      <c r="N996" s="115">
        <f>IF(COUNT($H996:M996)&gt;=Input!$Y$7,0,N770*N$6)</f>
        <v>0</v>
      </c>
      <c r="O996" s="115">
        <f>IF(COUNT($H996:N996)&gt;=Input!$Y$7,0,O770*O$6)</f>
        <v>0</v>
      </c>
      <c r="P996" s="115">
        <f>IF(COUNT($H996:O996)&gt;=Input!$Y$7,0,P770*P$6)</f>
        <v>0</v>
      </c>
      <c r="Q996" s="115">
        <f>IF(COUNT($H996:P996)&gt;=Input!$Y$7,0,Q770*Q$6)</f>
        <v>0</v>
      </c>
      <c r="R996" s="9"/>
      <c r="S996" s="9"/>
      <c r="T996" s="9"/>
      <c r="U996" s="9"/>
      <c r="V996" s="9"/>
      <c r="W996" s="9"/>
      <c r="X996" s="9"/>
      <c r="Y996" s="9"/>
      <c r="Z996" s="9"/>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9"/>
      <c r="BE996" s="9"/>
      <c r="BF996" s="9"/>
      <c r="BG996" s="9"/>
      <c r="BH996" s="9"/>
      <c r="BI996" s="9"/>
      <c r="BJ996" s="9"/>
      <c r="BK996" s="9"/>
      <c r="BL996" s="9"/>
    </row>
    <row r="997" spans="1:64" hidden="1" outlineLevel="1">
      <c r="A997" s="9"/>
      <c r="B997" s="9"/>
      <c r="C997" s="9"/>
      <c r="D997" s="271">
        <f>Asset10</f>
        <v>0</v>
      </c>
      <c r="E997" s="9"/>
      <c r="F997" s="9"/>
      <c r="G997" s="204">
        <f t="shared" si="136"/>
        <v>0</v>
      </c>
      <c r="H997" s="115">
        <f t="shared" si="136"/>
        <v>0</v>
      </c>
      <c r="I997" s="115">
        <f t="shared" si="136"/>
        <v>0</v>
      </c>
      <c r="J997" s="115">
        <f t="shared" si="136"/>
        <v>0</v>
      </c>
      <c r="K997" s="115">
        <f t="shared" si="136"/>
        <v>0</v>
      </c>
      <c r="L997" s="115">
        <f t="shared" si="136"/>
        <v>0</v>
      </c>
      <c r="M997" s="115">
        <f>IF(COUNT($H997:L997)&gt;=Input!$Y$7,0,M771*M$6)</f>
        <v>0</v>
      </c>
      <c r="N997" s="115">
        <f>IF(COUNT($H997:M997)&gt;=Input!$Y$7,0,N771*N$6)</f>
        <v>0</v>
      </c>
      <c r="O997" s="115">
        <f>IF(COUNT($H997:N997)&gt;=Input!$Y$7,0,O771*O$6)</f>
        <v>0</v>
      </c>
      <c r="P997" s="115">
        <f>IF(COUNT($H997:O997)&gt;=Input!$Y$7,0,P771*P$6)</f>
        <v>0</v>
      </c>
      <c r="Q997" s="115">
        <f>IF(COUNT($H997:P997)&gt;=Input!$Y$7,0,Q771*Q$6)</f>
        <v>0</v>
      </c>
      <c r="R997" s="9"/>
      <c r="S997" s="9"/>
      <c r="T997" s="9"/>
      <c r="U997" s="9"/>
      <c r="V997" s="9"/>
      <c r="W997" s="9"/>
      <c r="X997" s="9"/>
      <c r="Y997" s="9"/>
      <c r="Z997" s="9"/>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9"/>
      <c r="BE997" s="9"/>
      <c r="BF997" s="9"/>
      <c r="BG997" s="9"/>
      <c r="BH997" s="9"/>
      <c r="BI997" s="9"/>
      <c r="BJ997" s="9"/>
      <c r="BK997" s="9"/>
      <c r="BL997" s="9"/>
    </row>
    <row r="998" spans="1:64" hidden="1" outlineLevel="1">
      <c r="A998" s="9"/>
      <c r="B998" s="9"/>
      <c r="C998" s="9"/>
      <c r="D998" s="271">
        <f>Asset11</f>
        <v>0</v>
      </c>
      <c r="E998" s="9"/>
      <c r="F998" s="9"/>
      <c r="G998" s="204">
        <f t="shared" si="136"/>
        <v>0</v>
      </c>
      <c r="H998" s="115">
        <f t="shared" si="136"/>
        <v>0</v>
      </c>
      <c r="I998" s="115">
        <f t="shared" si="136"/>
        <v>0</v>
      </c>
      <c r="J998" s="115">
        <f t="shared" si="136"/>
        <v>0</v>
      </c>
      <c r="K998" s="115">
        <f t="shared" si="136"/>
        <v>0</v>
      </c>
      <c r="L998" s="115">
        <f t="shared" si="136"/>
        <v>0</v>
      </c>
      <c r="M998" s="115">
        <f>IF(COUNT($H998:L998)&gt;=Input!$Y$7,0,M772*M$6)</f>
        <v>0</v>
      </c>
      <c r="N998" s="115">
        <f>IF(COUNT($H998:M998)&gt;=Input!$Y$7,0,N772*N$6)</f>
        <v>0</v>
      </c>
      <c r="O998" s="115">
        <f>IF(COUNT($H998:N998)&gt;=Input!$Y$7,0,O772*O$6)</f>
        <v>0</v>
      </c>
      <c r="P998" s="115">
        <f>IF(COUNT($H998:O998)&gt;=Input!$Y$7,0,P772*P$6)</f>
        <v>0</v>
      </c>
      <c r="Q998" s="115">
        <f>IF(COUNT($H998:P998)&gt;=Input!$Y$7,0,Q772*Q$6)</f>
        <v>0</v>
      </c>
      <c r="R998" s="9"/>
      <c r="S998" s="9"/>
      <c r="T998" s="9"/>
      <c r="U998" s="9"/>
      <c r="V998" s="9"/>
      <c r="W998" s="9"/>
      <c r="X998" s="9"/>
      <c r="Y998" s="9"/>
      <c r="Z998" s="9"/>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9"/>
      <c r="BE998" s="9"/>
      <c r="BF998" s="9"/>
      <c r="BG998" s="9"/>
      <c r="BH998" s="9"/>
      <c r="BI998" s="9"/>
      <c r="BJ998" s="9"/>
      <c r="BK998" s="9"/>
      <c r="BL998" s="9"/>
    </row>
    <row r="999" spans="1:64" hidden="1" outlineLevel="1">
      <c r="A999" s="9"/>
      <c r="B999" s="9"/>
      <c r="C999" s="9"/>
      <c r="D999" s="271">
        <f>Asset12</f>
        <v>0</v>
      </c>
      <c r="E999" s="9"/>
      <c r="F999" s="9"/>
      <c r="G999" s="204">
        <f t="shared" si="136"/>
        <v>0</v>
      </c>
      <c r="H999" s="115">
        <f t="shared" si="136"/>
        <v>0</v>
      </c>
      <c r="I999" s="115">
        <f t="shared" si="136"/>
        <v>0</v>
      </c>
      <c r="J999" s="115">
        <f t="shared" si="136"/>
        <v>0</v>
      </c>
      <c r="K999" s="115">
        <f t="shared" si="136"/>
        <v>0</v>
      </c>
      <c r="L999" s="115">
        <f t="shared" si="136"/>
        <v>0</v>
      </c>
      <c r="M999" s="115">
        <f>IF(COUNT($H999:L999)&gt;=Input!$Y$7,0,M773*M$6)</f>
        <v>0</v>
      </c>
      <c r="N999" s="115">
        <f>IF(COUNT($H999:M999)&gt;=Input!$Y$7,0,N773*N$6)</f>
        <v>0</v>
      </c>
      <c r="O999" s="115">
        <f>IF(COUNT($H999:N999)&gt;=Input!$Y$7,0,O773*O$6)</f>
        <v>0</v>
      </c>
      <c r="P999" s="115">
        <f>IF(COUNT($H999:O999)&gt;=Input!$Y$7,0,P773*P$6)</f>
        <v>0</v>
      </c>
      <c r="Q999" s="115">
        <f>IF(COUNT($H999:P999)&gt;=Input!$Y$7,0,Q773*Q$6)</f>
        <v>0</v>
      </c>
      <c r="R999" s="9"/>
      <c r="S999" s="9"/>
      <c r="T999" s="9"/>
      <c r="U999" s="9"/>
      <c r="V999" s="9"/>
      <c r="W999" s="9"/>
      <c r="X999" s="9"/>
      <c r="Y999" s="9"/>
      <c r="Z999" s="9"/>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c r="BD999" s="9"/>
      <c r="BE999" s="9"/>
      <c r="BF999" s="9"/>
      <c r="BG999" s="9"/>
      <c r="BH999" s="9"/>
      <c r="BI999" s="9"/>
      <c r="BJ999" s="9"/>
      <c r="BK999" s="9"/>
      <c r="BL999" s="9"/>
    </row>
    <row r="1000" spans="1:64" hidden="1" outlineLevel="1">
      <c r="A1000" s="9"/>
      <c r="B1000" s="9"/>
      <c r="C1000" s="9"/>
      <c r="D1000" s="271">
        <f>Asset13</f>
        <v>0</v>
      </c>
      <c r="E1000" s="9"/>
      <c r="F1000" s="9"/>
      <c r="G1000" s="204">
        <f t="shared" si="136"/>
        <v>0</v>
      </c>
      <c r="H1000" s="115">
        <f t="shared" si="136"/>
        <v>0</v>
      </c>
      <c r="I1000" s="115">
        <f t="shared" si="136"/>
        <v>0</v>
      </c>
      <c r="J1000" s="115">
        <f t="shared" si="136"/>
        <v>0</v>
      </c>
      <c r="K1000" s="115">
        <f t="shared" si="136"/>
        <v>0</v>
      </c>
      <c r="L1000" s="115">
        <f t="shared" si="136"/>
        <v>0</v>
      </c>
      <c r="M1000" s="115">
        <f>IF(COUNT($H1000:L1000)&gt;=Input!$Y$7,0,M774*M$6)</f>
        <v>0</v>
      </c>
      <c r="N1000" s="115">
        <f>IF(COUNT($H1000:M1000)&gt;=Input!$Y$7,0,N774*N$6)</f>
        <v>0</v>
      </c>
      <c r="O1000" s="115">
        <f>IF(COUNT($H1000:N1000)&gt;=Input!$Y$7,0,O774*O$6)</f>
        <v>0</v>
      </c>
      <c r="P1000" s="115">
        <f>IF(COUNT($H1000:O1000)&gt;=Input!$Y$7,0,P774*P$6)</f>
        <v>0</v>
      </c>
      <c r="Q1000" s="115">
        <f>IF(COUNT($H1000:P1000)&gt;=Input!$Y$7,0,Q774*Q$6)</f>
        <v>0</v>
      </c>
      <c r="R1000" s="9"/>
      <c r="S1000" s="9"/>
      <c r="T1000" s="9"/>
      <c r="U1000" s="9"/>
      <c r="V1000" s="9"/>
      <c r="W1000" s="9"/>
      <c r="X1000" s="9"/>
      <c r="Y1000" s="9"/>
      <c r="Z1000" s="9"/>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9"/>
      <c r="BE1000" s="9"/>
      <c r="BF1000" s="9"/>
      <c r="BG1000" s="9"/>
      <c r="BH1000" s="9"/>
      <c r="BI1000" s="9"/>
      <c r="BJ1000" s="9"/>
      <c r="BK1000" s="9"/>
      <c r="BL1000" s="9"/>
    </row>
    <row r="1001" spans="1:64" hidden="1" outlineLevel="1">
      <c r="A1001" s="9"/>
      <c r="B1001" s="9"/>
      <c r="C1001" s="9"/>
      <c r="D1001" s="271">
        <f>Asset14</f>
        <v>0</v>
      </c>
      <c r="E1001" s="9"/>
      <c r="F1001" s="9"/>
      <c r="G1001" s="204">
        <f t="shared" si="136"/>
        <v>0</v>
      </c>
      <c r="H1001" s="115">
        <f t="shared" si="136"/>
        <v>0</v>
      </c>
      <c r="I1001" s="115">
        <f t="shared" si="136"/>
        <v>0</v>
      </c>
      <c r="J1001" s="115">
        <f t="shared" si="136"/>
        <v>0</v>
      </c>
      <c r="K1001" s="115">
        <f t="shared" si="136"/>
        <v>0</v>
      </c>
      <c r="L1001" s="115">
        <f t="shared" si="136"/>
        <v>0</v>
      </c>
      <c r="M1001" s="115">
        <f>IF(COUNT($H1001:L1001)&gt;=Input!$Y$7,0,M775*M$6)</f>
        <v>0</v>
      </c>
      <c r="N1001" s="115">
        <f>IF(COUNT($H1001:M1001)&gt;=Input!$Y$7,0,N775*N$6)</f>
        <v>0</v>
      </c>
      <c r="O1001" s="115">
        <f>IF(COUNT($H1001:N1001)&gt;=Input!$Y$7,0,O775*O$6)</f>
        <v>0</v>
      </c>
      <c r="P1001" s="115">
        <f>IF(COUNT($H1001:O1001)&gt;=Input!$Y$7,0,P775*P$6)</f>
        <v>0</v>
      </c>
      <c r="Q1001" s="115">
        <f>IF(COUNT($H1001:P1001)&gt;=Input!$Y$7,0,Q775*Q$6)</f>
        <v>0</v>
      </c>
      <c r="R1001" s="9"/>
      <c r="S1001" s="9"/>
      <c r="T1001" s="9"/>
      <c r="U1001" s="9"/>
      <c r="V1001" s="9"/>
      <c r="W1001" s="9"/>
      <c r="X1001" s="9"/>
      <c r="Y1001" s="9"/>
      <c r="Z1001" s="9"/>
      <c r="AB1001" s="201"/>
      <c r="AC1001" s="201"/>
      <c r="AD1001" s="201"/>
      <c r="AE1001" s="201"/>
      <c r="AF1001" s="201"/>
      <c r="AG1001" s="201"/>
      <c r="AH1001" s="201"/>
      <c r="AI1001" s="201"/>
      <c r="AJ1001" s="201"/>
      <c r="AK1001" s="201"/>
      <c r="AL1001" s="201"/>
      <c r="AM1001" s="201"/>
      <c r="AN1001" s="201"/>
      <c r="AO1001" s="201"/>
      <c r="AP1001" s="201"/>
      <c r="AQ1001" s="201"/>
      <c r="AR1001" s="201"/>
      <c r="AS1001" s="201"/>
      <c r="AT1001" s="201"/>
      <c r="AU1001" s="201"/>
      <c r="AV1001" s="201"/>
      <c r="AW1001" s="201"/>
      <c r="AX1001" s="201"/>
      <c r="AY1001" s="201"/>
      <c r="AZ1001" s="201"/>
      <c r="BA1001" s="201"/>
      <c r="BB1001" s="201"/>
      <c r="BC1001" s="201"/>
      <c r="BD1001" s="9"/>
      <c r="BE1001" s="9"/>
      <c r="BF1001" s="9"/>
      <c r="BG1001" s="9"/>
      <c r="BH1001" s="9"/>
      <c r="BI1001" s="9"/>
      <c r="BJ1001" s="9"/>
      <c r="BK1001" s="9"/>
      <c r="BL1001" s="9"/>
    </row>
    <row r="1002" spans="1:64" hidden="1" outlineLevel="1">
      <c r="A1002" s="9"/>
      <c r="B1002" s="9"/>
      <c r="C1002" s="9"/>
      <c r="D1002" s="271">
        <f>Asset15</f>
        <v>0</v>
      </c>
      <c r="E1002" s="9"/>
      <c r="F1002" s="9"/>
      <c r="G1002" s="204">
        <f t="shared" si="136"/>
        <v>0</v>
      </c>
      <c r="H1002" s="115">
        <f t="shared" si="136"/>
        <v>0</v>
      </c>
      <c r="I1002" s="115">
        <f t="shared" si="136"/>
        <v>0</v>
      </c>
      <c r="J1002" s="115">
        <f t="shared" si="136"/>
        <v>0</v>
      </c>
      <c r="K1002" s="115">
        <f t="shared" si="136"/>
        <v>0</v>
      </c>
      <c r="L1002" s="115">
        <f t="shared" si="136"/>
        <v>0</v>
      </c>
      <c r="M1002" s="115">
        <f>IF(COUNT($H1002:L1002)&gt;=Input!$Y$7,0,M776*M$6)</f>
        <v>0</v>
      </c>
      <c r="N1002" s="115">
        <f>IF(COUNT($H1002:M1002)&gt;=Input!$Y$7,0,N776*N$6)</f>
        <v>0</v>
      </c>
      <c r="O1002" s="115">
        <f>IF(COUNT($H1002:N1002)&gt;=Input!$Y$7,0,O776*O$6)</f>
        <v>0</v>
      </c>
      <c r="P1002" s="115">
        <f>IF(COUNT($H1002:O1002)&gt;=Input!$Y$7,0,P776*P$6)</f>
        <v>0</v>
      </c>
      <c r="Q1002" s="115">
        <f>IF(COUNT($H1002:P1002)&gt;=Input!$Y$7,0,Q776*Q$6)</f>
        <v>0</v>
      </c>
      <c r="R1002" s="9"/>
      <c r="S1002" s="9"/>
      <c r="T1002" s="9"/>
      <c r="U1002" s="9"/>
      <c r="V1002" s="9"/>
      <c r="W1002" s="9"/>
      <c r="X1002" s="9"/>
      <c r="Y1002" s="9"/>
      <c r="Z1002" s="9"/>
      <c r="AB1002" s="201"/>
      <c r="AC1002" s="201"/>
      <c r="AD1002" s="201"/>
      <c r="AE1002" s="201"/>
      <c r="AF1002" s="201"/>
      <c r="AG1002" s="201"/>
      <c r="AH1002" s="201"/>
      <c r="AI1002" s="201"/>
      <c r="AJ1002" s="201"/>
      <c r="AK1002" s="201"/>
      <c r="AL1002" s="201"/>
      <c r="AM1002" s="201"/>
      <c r="AN1002" s="201"/>
      <c r="AO1002" s="201"/>
      <c r="AP1002" s="201"/>
      <c r="AQ1002" s="201"/>
      <c r="AR1002" s="201"/>
      <c r="AS1002" s="201"/>
      <c r="AT1002" s="201"/>
      <c r="AU1002" s="201"/>
      <c r="AV1002" s="201"/>
      <c r="AW1002" s="201"/>
      <c r="AX1002" s="201"/>
      <c r="AY1002" s="201"/>
      <c r="AZ1002" s="201"/>
      <c r="BA1002" s="201"/>
      <c r="BB1002" s="201"/>
      <c r="BC1002" s="201"/>
      <c r="BD1002" s="9"/>
      <c r="BE1002" s="9"/>
      <c r="BF1002" s="9"/>
      <c r="BG1002" s="9"/>
      <c r="BH1002" s="9"/>
      <c r="BI1002" s="9"/>
      <c r="BJ1002" s="9"/>
      <c r="BK1002" s="9"/>
      <c r="BL1002" s="9"/>
    </row>
    <row r="1003" spans="1:64" hidden="1" outlineLevel="1">
      <c r="A1003" s="9"/>
      <c r="B1003" s="9"/>
      <c r="C1003" s="9"/>
      <c r="D1003" s="271">
        <f>Asset16</f>
        <v>0</v>
      </c>
      <c r="E1003" s="9"/>
      <c r="F1003" s="9"/>
      <c r="G1003" s="204">
        <f t="shared" si="136"/>
        <v>0</v>
      </c>
      <c r="H1003" s="115">
        <f t="shared" si="136"/>
        <v>0</v>
      </c>
      <c r="I1003" s="115">
        <f t="shared" si="136"/>
        <v>0</v>
      </c>
      <c r="J1003" s="115">
        <f t="shared" si="136"/>
        <v>0</v>
      </c>
      <c r="K1003" s="115">
        <f t="shared" si="136"/>
        <v>0</v>
      </c>
      <c r="L1003" s="115">
        <f t="shared" si="136"/>
        <v>0</v>
      </c>
      <c r="M1003" s="115">
        <f>IF(COUNT($H1003:L1003)&gt;=Input!$Y$7,0,M777*M$6)</f>
        <v>0</v>
      </c>
      <c r="N1003" s="115">
        <f>IF(COUNT($H1003:M1003)&gt;=Input!$Y$7,0,N777*N$6)</f>
        <v>0</v>
      </c>
      <c r="O1003" s="115">
        <f>IF(COUNT($H1003:N1003)&gt;=Input!$Y$7,0,O777*O$6)</f>
        <v>0</v>
      </c>
      <c r="P1003" s="115">
        <f>IF(COUNT($H1003:O1003)&gt;=Input!$Y$7,0,P777*P$6)</f>
        <v>0</v>
      </c>
      <c r="Q1003" s="115">
        <f>IF(COUNT($H1003:P1003)&gt;=Input!$Y$7,0,Q777*Q$6)</f>
        <v>0</v>
      </c>
      <c r="R1003" s="9"/>
      <c r="S1003" s="9"/>
      <c r="T1003" s="9"/>
      <c r="U1003" s="9"/>
      <c r="V1003" s="9"/>
      <c r="W1003" s="9"/>
      <c r="X1003" s="9"/>
      <c r="Y1003" s="9"/>
      <c r="Z1003" s="9"/>
      <c r="AB1003" s="201"/>
      <c r="AC1003" s="201"/>
      <c r="AD1003" s="201"/>
      <c r="AE1003" s="201"/>
      <c r="AF1003" s="201"/>
      <c r="AG1003" s="201"/>
      <c r="AH1003" s="201"/>
      <c r="AI1003" s="201"/>
      <c r="AJ1003" s="201"/>
      <c r="AK1003" s="201"/>
      <c r="AL1003" s="201"/>
      <c r="AM1003" s="201"/>
      <c r="AN1003" s="201"/>
      <c r="AO1003" s="201"/>
      <c r="AP1003" s="201"/>
      <c r="AQ1003" s="201"/>
      <c r="AR1003" s="201"/>
      <c r="AS1003" s="201"/>
      <c r="AT1003" s="201"/>
      <c r="AU1003" s="201"/>
      <c r="AV1003" s="201"/>
      <c r="AW1003" s="201"/>
      <c r="AX1003" s="201"/>
      <c r="AY1003" s="201"/>
      <c r="AZ1003" s="201"/>
      <c r="BA1003" s="201"/>
      <c r="BB1003" s="201"/>
      <c r="BC1003" s="201"/>
      <c r="BD1003" s="9"/>
      <c r="BE1003" s="9"/>
      <c r="BF1003" s="9"/>
      <c r="BG1003" s="9"/>
      <c r="BH1003" s="9"/>
      <c r="BI1003" s="9"/>
      <c r="BJ1003" s="9"/>
      <c r="BK1003" s="9"/>
      <c r="BL1003" s="9"/>
    </row>
    <row r="1004" spans="1:64" hidden="1" outlineLevel="1">
      <c r="A1004" s="9"/>
      <c r="B1004" s="9"/>
      <c r="C1004" s="9"/>
      <c r="D1004" s="271">
        <f>Asset17</f>
        <v>0</v>
      </c>
      <c r="E1004" s="9"/>
      <c r="F1004" s="9"/>
      <c r="G1004" s="204">
        <f t="shared" si="136"/>
        <v>0</v>
      </c>
      <c r="H1004" s="115">
        <f t="shared" si="136"/>
        <v>0</v>
      </c>
      <c r="I1004" s="115">
        <f t="shared" si="136"/>
        <v>0</v>
      </c>
      <c r="J1004" s="115">
        <f t="shared" si="136"/>
        <v>0</v>
      </c>
      <c r="K1004" s="115">
        <f t="shared" si="136"/>
        <v>0</v>
      </c>
      <c r="L1004" s="115">
        <f t="shared" si="136"/>
        <v>0</v>
      </c>
      <c r="M1004" s="115">
        <f>IF(COUNT($H1004:L1004)&gt;=Input!$Y$7,0,M778*M$6)</f>
        <v>0</v>
      </c>
      <c r="N1004" s="115">
        <f>IF(COUNT($H1004:M1004)&gt;=Input!$Y$7,0,N778*N$6)</f>
        <v>0</v>
      </c>
      <c r="O1004" s="115">
        <f>IF(COUNT($H1004:N1004)&gt;=Input!$Y$7,0,O778*O$6)</f>
        <v>0</v>
      </c>
      <c r="P1004" s="115">
        <f>IF(COUNT($H1004:O1004)&gt;=Input!$Y$7,0,P778*P$6)</f>
        <v>0</v>
      </c>
      <c r="Q1004" s="115">
        <f>IF(COUNT($H1004:P1004)&gt;=Input!$Y$7,0,Q778*Q$6)</f>
        <v>0</v>
      </c>
      <c r="R1004" s="9"/>
      <c r="S1004" s="9"/>
      <c r="T1004" s="9"/>
      <c r="U1004" s="9"/>
      <c r="V1004" s="9"/>
      <c r="W1004" s="9"/>
      <c r="X1004" s="9"/>
      <c r="Y1004" s="9"/>
      <c r="Z1004" s="9"/>
      <c r="AB1004" s="201"/>
      <c r="AC1004" s="201"/>
      <c r="AD1004" s="201"/>
      <c r="AE1004" s="201"/>
      <c r="AF1004" s="201"/>
      <c r="AG1004" s="201"/>
      <c r="AH1004" s="201"/>
      <c r="AI1004" s="201"/>
      <c r="AJ1004" s="201"/>
      <c r="AK1004" s="201"/>
      <c r="AL1004" s="201"/>
      <c r="AM1004" s="201"/>
      <c r="AN1004" s="201"/>
      <c r="AO1004" s="201"/>
      <c r="AP1004" s="201"/>
      <c r="AQ1004" s="201"/>
      <c r="AR1004" s="201"/>
      <c r="AS1004" s="201"/>
      <c r="AT1004" s="201"/>
      <c r="AU1004" s="201"/>
      <c r="AV1004" s="201"/>
      <c r="AW1004" s="201"/>
      <c r="AX1004" s="201"/>
      <c r="AY1004" s="201"/>
      <c r="AZ1004" s="201"/>
      <c r="BA1004" s="201"/>
      <c r="BB1004" s="201"/>
      <c r="BC1004" s="201"/>
      <c r="BD1004" s="9"/>
      <c r="BE1004" s="9"/>
      <c r="BF1004" s="9"/>
      <c r="BG1004" s="9"/>
      <c r="BH1004" s="9"/>
      <c r="BI1004" s="9"/>
      <c r="BJ1004" s="9"/>
      <c r="BK1004" s="9"/>
      <c r="BL1004" s="9"/>
    </row>
    <row r="1005" spans="1:64" hidden="1" outlineLevel="1">
      <c r="A1005" s="9"/>
      <c r="B1005" s="9"/>
      <c r="C1005" s="9"/>
      <c r="D1005" s="271">
        <f>Asset18</f>
        <v>0</v>
      </c>
      <c r="E1005" s="9"/>
      <c r="F1005" s="9"/>
      <c r="G1005" s="204">
        <f t="shared" ref="G1005:L1007" si="137">G779*G$6</f>
        <v>0</v>
      </c>
      <c r="H1005" s="115">
        <f t="shared" si="137"/>
        <v>0</v>
      </c>
      <c r="I1005" s="115">
        <f t="shared" si="137"/>
        <v>0</v>
      </c>
      <c r="J1005" s="115">
        <f t="shared" si="137"/>
        <v>0</v>
      </c>
      <c r="K1005" s="115">
        <f t="shared" si="137"/>
        <v>0</v>
      </c>
      <c r="L1005" s="115">
        <f t="shared" si="137"/>
        <v>0</v>
      </c>
      <c r="M1005" s="115">
        <f>IF(COUNT($H1005:L1005)&gt;=Input!$Y$7,0,M779*M$6)</f>
        <v>0</v>
      </c>
      <c r="N1005" s="115">
        <f>IF(COUNT($H1005:M1005)&gt;=Input!$Y$7,0,N779*N$6)</f>
        <v>0</v>
      </c>
      <c r="O1005" s="115">
        <f>IF(COUNT($H1005:N1005)&gt;=Input!$Y$7,0,O779*O$6)</f>
        <v>0</v>
      </c>
      <c r="P1005" s="115">
        <f>IF(COUNT($H1005:O1005)&gt;=Input!$Y$7,0,P779*P$6)</f>
        <v>0</v>
      </c>
      <c r="Q1005" s="115">
        <f>IF(COUNT($H1005:P1005)&gt;=Input!$Y$7,0,Q779*Q$6)</f>
        <v>0</v>
      </c>
      <c r="R1005" s="9"/>
      <c r="S1005" s="9"/>
      <c r="T1005" s="9"/>
      <c r="U1005" s="9"/>
      <c r="V1005" s="9"/>
      <c r="W1005" s="9"/>
      <c r="X1005" s="9"/>
      <c r="Y1005" s="9"/>
      <c r="Z1005" s="9"/>
      <c r="AB1005" s="201"/>
      <c r="AC1005" s="201"/>
      <c r="AD1005" s="201"/>
      <c r="AE1005" s="201"/>
      <c r="AF1005" s="201"/>
      <c r="AG1005" s="201"/>
      <c r="AH1005" s="201"/>
      <c r="AI1005" s="201"/>
      <c r="AJ1005" s="201"/>
      <c r="AK1005" s="201"/>
      <c r="AL1005" s="201"/>
      <c r="AM1005" s="201"/>
      <c r="AN1005" s="201"/>
      <c r="AO1005" s="201"/>
      <c r="AP1005" s="201"/>
      <c r="AQ1005" s="201"/>
      <c r="AR1005" s="201"/>
      <c r="AS1005" s="201"/>
      <c r="AT1005" s="201"/>
      <c r="AU1005" s="201"/>
      <c r="AV1005" s="201"/>
      <c r="AW1005" s="201"/>
      <c r="AX1005" s="201"/>
      <c r="AY1005" s="201"/>
      <c r="AZ1005" s="201"/>
      <c r="BA1005" s="201"/>
      <c r="BB1005" s="201"/>
      <c r="BC1005" s="201"/>
      <c r="BD1005" s="9"/>
      <c r="BE1005" s="9"/>
      <c r="BF1005" s="9"/>
      <c r="BG1005" s="9"/>
      <c r="BH1005" s="9"/>
      <c r="BI1005" s="9"/>
      <c r="BJ1005" s="9"/>
      <c r="BK1005" s="9"/>
      <c r="BL1005" s="9"/>
    </row>
    <row r="1006" spans="1:64" hidden="1" outlineLevel="1">
      <c r="A1006" s="9"/>
      <c r="B1006" s="9"/>
      <c r="C1006" s="9"/>
      <c r="D1006" s="271">
        <f>Asset19</f>
        <v>0</v>
      </c>
      <c r="E1006" s="9"/>
      <c r="F1006" s="9"/>
      <c r="G1006" s="204">
        <f t="shared" si="137"/>
        <v>0</v>
      </c>
      <c r="H1006" s="115">
        <f t="shared" si="137"/>
        <v>0</v>
      </c>
      <c r="I1006" s="115">
        <f t="shared" si="137"/>
        <v>0</v>
      </c>
      <c r="J1006" s="115">
        <f t="shared" si="137"/>
        <v>0</v>
      </c>
      <c r="K1006" s="115">
        <f t="shared" si="137"/>
        <v>0</v>
      </c>
      <c r="L1006" s="115">
        <f t="shared" si="137"/>
        <v>0</v>
      </c>
      <c r="M1006" s="115">
        <f>IF(COUNT($H1006:L1006)&gt;=Input!$Y$7,0,M780*M$6)</f>
        <v>0</v>
      </c>
      <c r="N1006" s="115">
        <f>IF(COUNT($H1006:M1006)&gt;=Input!$Y$7,0,N780*N$6)</f>
        <v>0</v>
      </c>
      <c r="O1006" s="115">
        <f>IF(COUNT($H1006:N1006)&gt;=Input!$Y$7,0,O780*O$6)</f>
        <v>0</v>
      </c>
      <c r="P1006" s="115">
        <f>IF(COUNT($H1006:O1006)&gt;=Input!$Y$7,0,P780*P$6)</f>
        <v>0</v>
      </c>
      <c r="Q1006" s="115">
        <f>IF(COUNT($H1006:P1006)&gt;=Input!$Y$7,0,Q780*Q$6)</f>
        <v>0</v>
      </c>
      <c r="R1006" s="9"/>
      <c r="S1006" s="9"/>
      <c r="T1006" s="9"/>
      <c r="U1006" s="9"/>
      <c r="V1006" s="9"/>
      <c r="W1006" s="9"/>
      <c r="X1006" s="9"/>
      <c r="Y1006" s="9"/>
      <c r="Z1006" s="9"/>
      <c r="AB1006" s="201"/>
      <c r="AC1006" s="201"/>
      <c r="AD1006" s="201"/>
      <c r="AE1006" s="201"/>
      <c r="AF1006" s="201"/>
      <c r="AG1006" s="201"/>
      <c r="AH1006" s="201"/>
      <c r="AI1006" s="201"/>
      <c r="AJ1006" s="201"/>
      <c r="AK1006" s="201"/>
      <c r="AL1006" s="201"/>
      <c r="AM1006" s="201"/>
      <c r="AN1006" s="201"/>
      <c r="AO1006" s="201"/>
      <c r="AP1006" s="201"/>
      <c r="AQ1006" s="201"/>
      <c r="AR1006" s="201"/>
      <c r="AS1006" s="201"/>
      <c r="AT1006" s="201"/>
      <c r="AU1006" s="201"/>
      <c r="AV1006" s="201"/>
      <c r="AW1006" s="201"/>
      <c r="AX1006" s="201"/>
      <c r="AY1006" s="201"/>
      <c r="AZ1006" s="201"/>
      <c r="BA1006" s="201"/>
      <c r="BB1006" s="201"/>
      <c r="BC1006" s="201"/>
      <c r="BD1006" s="9"/>
      <c r="BE1006" s="9"/>
      <c r="BF1006" s="9"/>
      <c r="BG1006" s="9"/>
      <c r="BH1006" s="9"/>
      <c r="BI1006" s="9"/>
      <c r="BJ1006" s="9"/>
      <c r="BK1006" s="9"/>
      <c r="BL1006" s="9"/>
    </row>
    <row r="1007" spans="1:64" hidden="1" outlineLevel="1">
      <c r="A1007" s="9"/>
      <c r="B1007" s="9"/>
      <c r="C1007" s="9"/>
      <c r="D1007" s="271">
        <f>Asset20</f>
        <v>0</v>
      </c>
      <c r="E1007" s="9"/>
      <c r="F1007" s="9"/>
      <c r="G1007" s="204">
        <f t="shared" si="137"/>
        <v>0</v>
      </c>
      <c r="H1007" s="115">
        <f>H781*H$6</f>
        <v>0</v>
      </c>
      <c r="I1007" s="115">
        <f t="shared" si="137"/>
        <v>0</v>
      </c>
      <c r="J1007" s="115">
        <f t="shared" si="137"/>
        <v>0</v>
      </c>
      <c r="K1007" s="115">
        <f t="shared" si="137"/>
        <v>0</v>
      </c>
      <c r="L1007" s="115">
        <f t="shared" si="137"/>
        <v>0</v>
      </c>
      <c r="M1007" s="115">
        <f>IF(COUNT($H1007:L1007)&gt;=Input!$Y$7,0,M781*M$6)</f>
        <v>0</v>
      </c>
      <c r="N1007" s="115">
        <f>IF(COUNT($H1007:M1007)&gt;=Input!$Y$7,0,N781*N$6)</f>
        <v>0</v>
      </c>
      <c r="O1007" s="115">
        <f>IF(COUNT($H1007:N1007)&gt;=Input!$Y$7,0,O781*O$6)</f>
        <v>0</v>
      </c>
      <c r="P1007" s="115">
        <f>IF(COUNT($H1007:O1007)&gt;=Input!$Y$7,0,P781*P$6)</f>
        <v>0</v>
      </c>
      <c r="Q1007" s="115">
        <f>IF(COUNT($H1007:P1007)&gt;=Input!$Y$7,0,Q781*Q$6)</f>
        <v>0</v>
      </c>
      <c r="R1007" s="9"/>
      <c r="S1007" s="9"/>
      <c r="T1007" s="9"/>
      <c r="U1007" s="9"/>
      <c r="V1007" s="9"/>
      <c r="W1007" s="9"/>
      <c r="X1007" s="9"/>
      <c r="Y1007" s="9"/>
      <c r="Z1007" s="9"/>
      <c r="AB1007" s="201"/>
      <c r="AC1007" s="201"/>
      <c r="AD1007" s="201"/>
      <c r="AE1007" s="201"/>
      <c r="AF1007" s="201"/>
      <c r="AG1007" s="201"/>
      <c r="AH1007" s="201"/>
      <c r="AI1007" s="201"/>
      <c r="AJ1007" s="201"/>
      <c r="AK1007" s="201"/>
      <c r="AL1007" s="201"/>
      <c r="AM1007" s="201"/>
      <c r="AN1007" s="201"/>
      <c r="AO1007" s="201"/>
      <c r="AP1007" s="201"/>
      <c r="AQ1007" s="201"/>
      <c r="AR1007" s="201"/>
      <c r="AS1007" s="201"/>
      <c r="AT1007" s="201"/>
      <c r="AU1007" s="201"/>
      <c r="AV1007" s="201"/>
      <c r="AW1007" s="201"/>
      <c r="AX1007" s="201"/>
      <c r="AY1007" s="201"/>
      <c r="AZ1007" s="201"/>
      <c r="BA1007" s="201"/>
      <c r="BB1007" s="201"/>
      <c r="BC1007" s="201"/>
      <c r="BD1007" s="9"/>
      <c r="BE1007" s="9"/>
      <c r="BF1007" s="9"/>
      <c r="BG1007" s="9"/>
      <c r="BH1007" s="9"/>
      <c r="BI1007" s="9"/>
      <c r="BJ1007" s="9"/>
      <c r="BK1007" s="9"/>
      <c r="BL1007" s="9"/>
    </row>
    <row r="1008" spans="1:64" hidden="1" outlineLevel="1">
      <c r="A1008" s="9"/>
      <c r="B1008" s="9"/>
      <c r="C1008" s="9"/>
      <c r="D1008" s="271">
        <f>Asset21</f>
        <v>0</v>
      </c>
      <c r="E1008" s="9"/>
      <c r="F1008" s="9"/>
      <c r="G1008" s="204">
        <f t="shared" ref="G1008:L1008" si="138">G782*G$6</f>
        <v>0</v>
      </c>
      <c r="H1008" s="115">
        <f t="shared" si="138"/>
        <v>0</v>
      </c>
      <c r="I1008" s="115">
        <f t="shared" si="138"/>
        <v>0</v>
      </c>
      <c r="J1008" s="115">
        <f t="shared" si="138"/>
        <v>0</v>
      </c>
      <c r="K1008" s="115">
        <f t="shared" si="138"/>
        <v>0</v>
      </c>
      <c r="L1008" s="115">
        <f t="shared" si="138"/>
        <v>0</v>
      </c>
      <c r="M1008" s="115">
        <f>IF(COUNT($H1008:L1008)&gt;=Input!$Y$7,0,M782*M$6)</f>
        <v>0</v>
      </c>
      <c r="N1008" s="115">
        <f>IF(COUNT($H1008:M1008)&gt;=Input!$Y$7,0,N782*N$6)</f>
        <v>0</v>
      </c>
      <c r="O1008" s="115">
        <f>IF(COUNT($H1008:N1008)&gt;=Input!$Y$7,0,O782*O$6)</f>
        <v>0</v>
      </c>
      <c r="P1008" s="115">
        <f>IF(COUNT($H1008:O1008)&gt;=Input!$Y$7,0,P782*P$6)</f>
        <v>0</v>
      </c>
      <c r="Q1008" s="115">
        <f>IF(COUNT($H1008:P1008)&gt;=Input!$Y$7,0,Q782*Q$6)</f>
        <v>0</v>
      </c>
      <c r="R1008" s="9"/>
      <c r="S1008" s="9"/>
      <c r="T1008" s="9"/>
      <c r="U1008" s="9"/>
      <c r="V1008" s="9"/>
      <c r="W1008" s="9"/>
      <c r="X1008" s="9"/>
      <c r="Y1008" s="9"/>
      <c r="Z1008" s="9"/>
      <c r="AB1008" s="201"/>
      <c r="AC1008" s="201"/>
      <c r="AD1008" s="201"/>
      <c r="AE1008" s="201"/>
      <c r="AF1008" s="201"/>
      <c r="AG1008" s="201"/>
      <c r="AH1008" s="201"/>
      <c r="AI1008" s="201"/>
      <c r="AJ1008" s="201"/>
      <c r="AK1008" s="201"/>
      <c r="AL1008" s="201"/>
      <c r="AM1008" s="201"/>
      <c r="AN1008" s="201"/>
      <c r="AO1008" s="201"/>
      <c r="AP1008" s="201"/>
      <c r="AQ1008" s="201"/>
      <c r="AR1008" s="201"/>
      <c r="AS1008" s="201"/>
      <c r="AT1008" s="201"/>
      <c r="AU1008" s="201"/>
      <c r="AV1008" s="201"/>
      <c r="AW1008" s="201"/>
      <c r="AX1008" s="201"/>
      <c r="AY1008" s="201"/>
      <c r="AZ1008" s="201"/>
      <c r="BA1008" s="201"/>
      <c r="BB1008" s="201"/>
      <c r="BC1008" s="201"/>
      <c r="BD1008" s="9"/>
      <c r="BE1008" s="9"/>
      <c r="BF1008" s="9"/>
      <c r="BG1008" s="9"/>
      <c r="BH1008" s="9"/>
      <c r="BI1008" s="9"/>
      <c r="BJ1008" s="9"/>
      <c r="BK1008" s="9"/>
      <c r="BL1008" s="9"/>
    </row>
    <row r="1009" spans="1:64" hidden="1" outlineLevel="1">
      <c r="A1009" s="9"/>
      <c r="B1009" s="9"/>
      <c r="C1009" s="9"/>
      <c r="D1009" s="271">
        <f>Asset22</f>
        <v>0</v>
      </c>
      <c r="E1009" s="9"/>
      <c r="F1009" s="9"/>
      <c r="G1009" s="204">
        <f t="shared" ref="G1009:L1009" si="139">G783*G$6</f>
        <v>0</v>
      </c>
      <c r="H1009" s="115">
        <f t="shared" si="139"/>
        <v>0</v>
      </c>
      <c r="I1009" s="115">
        <f t="shared" si="139"/>
        <v>0</v>
      </c>
      <c r="J1009" s="115">
        <f t="shared" si="139"/>
        <v>0</v>
      </c>
      <c r="K1009" s="115">
        <f t="shared" si="139"/>
        <v>0</v>
      </c>
      <c r="L1009" s="115">
        <f t="shared" si="139"/>
        <v>0</v>
      </c>
      <c r="M1009" s="115">
        <f>IF(COUNT($H1009:L1009)&gt;=Input!$Y$7,0,M783*M$6)</f>
        <v>0</v>
      </c>
      <c r="N1009" s="115">
        <f>IF(COUNT($H1009:M1009)&gt;=Input!$Y$7,0,N783*N$6)</f>
        <v>0</v>
      </c>
      <c r="O1009" s="115">
        <f>IF(COUNT($H1009:N1009)&gt;=Input!$Y$7,0,O783*O$6)</f>
        <v>0</v>
      </c>
      <c r="P1009" s="115">
        <f>IF(COUNT($H1009:O1009)&gt;=Input!$Y$7,0,P783*P$6)</f>
        <v>0</v>
      </c>
      <c r="Q1009" s="115">
        <f>IF(COUNT($H1009:P1009)&gt;=Input!$Y$7,0,Q783*Q$6)</f>
        <v>0</v>
      </c>
      <c r="R1009" s="9"/>
      <c r="S1009" s="9"/>
      <c r="T1009" s="9"/>
      <c r="U1009" s="9"/>
      <c r="V1009" s="9"/>
      <c r="W1009" s="9"/>
      <c r="X1009" s="9"/>
      <c r="Y1009" s="9"/>
      <c r="Z1009" s="9"/>
      <c r="AB1009" s="201"/>
      <c r="AC1009" s="201"/>
      <c r="AD1009" s="201"/>
      <c r="AE1009" s="201"/>
      <c r="AF1009" s="201"/>
      <c r="AG1009" s="201"/>
      <c r="AH1009" s="201"/>
      <c r="AI1009" s="201"/>
      <c r="AJ1009" s="201"/>
      <c r="AK1009" s="201"/>
      <c r="AL1009" s="201"/>
      <c r="AM1009" s="201"/>
      <c r="AN1009" s="201"/>
      <c r="AO1009" s="201"/>
      <c r="AP1009" s="201"/>
      <c r="AQ1009" s="201"/>
      <c r="AR1009" s="201"/>
      <c r="AS1009" s="201"/>
      <c r="AT1009" s="201"/>
      <c r="AU1009" s="201"/>
      <c r="AV1009" s="201"/>
      <c r="AW1009" s="201"/>
      <c r="AX1009" s="201"/>
      <c r="AY1009" s="201"/>
      <c r="AZ1009" s="201"/>
      <c r="BA1009" s="201"/>
      <c r="BB1009" s="201"/>
      <c r="BC1009" s="201"/>
      <c r="BD1009" s="9"/>
      <c r="BE1009" s="9"/>
      <c r="BF1009" s="9"/>
      <c r="BG1009" s="9"/>
      <c r="BH1009" s="9"/>
      <c r="BI1009" s="9"/>
      <c r="BJ1009" s="9"/>
      <c r="BK1009" s="9"/>
      <c r="BL1009" s="9"/>
    </row>
    <row r="1010" spans="1:64" hidden="1" outlineLevel="1">
      <c r="A1010" s="9"/>
      <c r="B1010" s="9"/>
      <c r="C1010" s="9"/>
      <c r="D1010" s="271">
        <f>Asset23</f>
        <v>0</v>
      </c>
      <c r="E1010" s="9"/>
      <c r="F1010" s="9"/>
      <c r="G1010" s="204">
        <f t="shared" ref="G1010:L1010" si="140">G784*G$6</f>
        <v>0</v>
      </c>
      <c r="H1010" s="115">
        <f t="shared" si="140"/>
        <v>0</v>
      </c>
      <c r="I1010" s="115">
        <f t="shared" si="140"/>
        <v>0</v>
      </c>
      <c r="J1010" s="115">
        <f t="shared" si="140"/>
        <v>0</v>
      </c>
      <c r="K1010" s="115">
        <f t="shared" si="140"/>
        <v>0</v>
      </c>
      <c r="L1010" s="115">
        <f t="shared" si="140"/>
        <v>0</v>
      </c>
      <c r="M1010" s="115">
        <f>IF(COUNT($H1010:L1010)&gt;=Input!$Y$7,0,M784*M$6)</f>
        <v>0</v>
      </c>
      <c r="N1010" s="115">
        <f>IF(COUNT($H1010:M1010)&gt;=Input!$Y$7,0,N784*N$6)</f>
        <v>0</v>
      </c>
      <c r="O1010" s="115">
        <f>IF(COUNT($H1010:N1010)&gt;=Input!$Y$7,0,O784*O$6)</f>
        <v>0</v>
      </c>
      <c r="P1010" s="115">
        <f>IF(COUNT($H1010:O1010)&gt;=Input!$Y$7,0,P784*P$6)</f>
        <v>0</v>
      </c>
      <c r="Q1010" s="115">
        <f>IF(COUNT($H1010:P1010)&gt;=Input!$Y$7,0,Q784*Q$6)</f>
        <v>0</v>
      </c>
      <c r="R1010" s="9"/>
      <c r="S1010" s="9"/>
      <c r="T1010" s="9"/>
      <c r="U1010" s="9"/>
      <c r="V1010" s="9"/>
      <c r="W1010" s="9"/>
      <c r="X1010" s="9"/>
      <c r="Y1010" s="9"/>
      <c r="Z1010" s="9"/>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9"/>
      <c r="BE1010" s="9"/>
      <c r="BF1010" s="9"/>
      <c r="BG1010" s="9"/>
      <c r="BH1010" s="9"/>
      <c r="BI1010" s="9"/>
      <c r="BJ1010" s="9"/>
      <c r="BK1010" s="9"/>
      <c r="BL1010" s="9"/>
    </row>
    <row r="1011" spans="1:64" hidden="1" outlineLevel="1">
      <c r="A1011" s="9"/>
      <c r="B1011" s="9"/>
      <c r="C1011" s="9"/>
      <c r="D1011" s="271">
        <f>Asset24</f>
        <v>0</v>
      </c>
      <c r="E1011" s="9"/>
      <c r="F1011" s="9"/>
      <c r="G1011" s="204">
        <f t="shared" ref="G1011:L1011" si="141">G785*G$6</f>
        <v>0</v>
      </c>
      <c r="H1011" s="115">
        <f t="shared" si="141"/>
        <v>0</v>
      </c>
      <c r="I1011" s="115">
        <f t="shared" si="141"/>
        <v>0</v>
      </c>
      <c r="J1011" s="115">
        <f t="shared" si="141"/>
        <v>0</v>
      </c>
      <c r="K1011" s="115">
        <f t="shared" si="141"/>
        <v>0</v>
      </c>
      <c r="L1011" s="115">
        <f t="shared" si="141"/>
        <v>0</v>
      </c>
      <c r="M1011" s="115">
        <f>IF(COUNT($H1011:L1011)&gt;=Input!$Y$7,0,M785*M$6)</f>
        <v>0</v>
      </c>
      <c r="N1011" s="115">
        <f>IF(COUNT($H1011:M1011)&gt;=Input!$Y$7,0,N785*N$6)</f>
        <v>0</v>
      </c>
      <c r="O1011" s="115">
        <f>IF(COUNT($H1011:N1011)&gt;=Input!$Y$7,0,O785*O$6)</f>
        <v>0</v>
      </c>
      <c r="P1011" s="115">
        <f>IF(COUNT($H1011:O1011)&gt;=Input!$Y$7,0,P785*P$6)</f>
        <v>0</v>
      </c>
      <c r="Q1011" s="115">
        <f>IF(COUNT($H1011:P1011)&gt;=Input!$Y$7,0,Q785*Q$6)</f>
        <v>0</v>
      </c>
      <c r="R1011" s="9"/>
      <c r="S1011" s="9"/>
      <c r="T1011" s="9"/>
      <c r="U1011" s="9"/>
      <c r="V1011" s="9"/>
      <c r="W1011" s="9"/>
      <c r="X1011" s="9"/>
      <c r="Y1011" s="9"/>
      <c r="Z1011" s="9"/>
      <c r="AB1011" s="201"/>
      <c r="AC1011" s="201"/>
      <c r="AD1011" s="201"/>
      <c r="AE1011" s="201"/>
      <c r="AF1011" s="201"/>
      <c r="AG1011" s="201"/>
      <c r="AH1011" s="201"/>
      <c r="AI1011" s="201"/>
      <c r="AJ1011" s="201"/>
      <c r="AK1011" s="201"/>
      <c r="AL1011" s="201"/>
      <c r="AM1011" s="201"/>
      <c r="AN1011" s="201"/>
      <c r="AO1011" s="201"/>
      <c r="AP1011" s="201"/>
      <c r="AQ1011" s="201"/>
      <c r="AR1011" s="201"/>
      <c r="AS1011" s="201"/>
      <c r="AT1011" s="201"/>
      <c r="AU1011" s="201"/>
      <c r="AV1011" s="201"/>
      <c r="AW1011" s="201"/>
      <c r="AX1011" s="201"/>
      <c r="AY1011" s="201"/>
      <c r="AZ1011" s="201"/>
      <c r="BA1011" s="201"/>
      <c r="BB1011" s="201"/>
      <c r="BC1011" s="201"/>
      <c r="BD1011" s="9"/>
      <c r="BE1011" s="9"/>
      <c r="BF1011" s="9"/>
      <c r="BG1011" s="9"/>
      <c r="BH1011" s="9"/>
      <c r="BI1011" s="9"/>
      <c r="BJ1011" s="9"/>
      <c r="BK1011" s="9"/>
      <c r="BL1011" s="9"/>
    </row>
    <row r="1012" spans="1:64" hidden="1" outlineLevel="1">
      <c r="A1012" s="9"/>
      <c r="B1012" s="9"/>
      <c r="C1012" s="9"/>
      <c r="D1012" s="271">
        <f>Asset25</f>
        <v>0</v>
      </c>
      <c r="E1012" s="9"/>
      <c r="F1012" s="9"/>
      <c r="G1012" s="204">
        <f t="shared" ref="G1012:L1012" si="142">G786*G$6</f>
        <v>0</v>
      </c>
      <c r="H1012" s="115">
        <f t="shared" si="142"/>
        <v>0</v>
      </c>
      <c r="I1012" s="115">
        <f t="shared" si="142"/>
        <v>0</v>
      </c>
      <c r="J1012" s="115">
        <f t="shared" si="142"/>
        <v>0</v>
      </c>
      <c r="K1012" s="115">
        <f t="shared" si="142"/>
        <v>0</v>
      </c>
      <c r="L1012" s="115">
        <f t="shared" si="142"/>
        <v>0</v>
      </c>
      <c r="M1012" s="115">
        <f>IF(COUNT($H1012:L1012)&gt;=Input!$Y$7,0,M786*M$6)</f>
        <v>0</v>
      </c>
      <c r="N1012" s="115">
        <f>IF(COUNT($H1012:M1012)&gt;=Input!$Y$7,0,N786*N$6)</f>
        <v>0</v>
      </c>
      <c r="O1012" s="115">
        <f>IF(COUNT($H1012:N1012)&gt;=Input!$Y$7,0,O786*O$6)</f>
        <v>0</v>
      </c>
      <c r="P1012" s="115">
        <f>IF(COUNT($H1012:O1012)&gt;=Input!$Y$7,0,P786*P$6)</f>
        <v>0</v>
      </c>
      <c r="Q1012" s="115">
        <f>IF(COUNT($H1012:P1012)&gt;=Input!$Y$7,0,Q786*Q$6)</f>
        <v>0</v>
      </c>
      <c r="R1012" s="9"/>
      <c r="S1012" s="9"/>
      <c r="T1012" s="9"/>
      <c r="U1012" s="9"/>
      <c r="V1012" s="9"/>
      <c r="W1012" s="9"/>
      <c r="X1012" s="9"/>
      <c r="Y1012" s="9"/>
      <c r="Z1012" s="9"/>
      <c r="AB1012" s="201"/>
      <c r="AC1012" s="201"/>
      <c r="AD1012" s="201"/>
      <c r="AE1012" s="201"/>
      <c r="AF1012" s="201"/>
      <c r="AG1012" s="201"/>
      <c r="AH1012" s="201"/>
      <c r="AI1012" s="201"/>
      <c r="AJ1012" s="201"/>
      <c r="AK1012" s="201"/>
      <c r="AL1012" s="201"/>
      <c r="AM1012" s="201"/>
      <c r="AN1012" s="201"/>
      <c r="AO1012" s="201"/>
      <c r="AP1012" s="201"/>
      <c r="AQ1012" s="201"/>
      <c r="AR1012" s="201"/>
      <c r="AS1012" s="201"/>
      <c r="AT1012" s="201"/>
      <c r="AU1012" s="201"/>
      <c r="AV1012" s="201"/>
      <c r="AW1012" s="201"/>
      <c r="AX1012" s="201"/>
      <c r="AY1012" s="201"/>
      <c r="AZ1012" s="201"/>
      <c r="BA1012" s="201"/>
      <c r="BB1012" s="201"/>
      <c r="BC1012" s="201"/>
      <c r="BD1012" s="9"/>
      <c r="BE1012" s="9"/>
      <c r="BF1012" s="9"/>
      <c r="BG1012" s="9"/>
      <c r="BH1012" s="9"/>
      <c r="BI1012" s="9"/>
      <c r="BJ1012" s="9"/>
      <c r="BK1012" s="9"/>
      <c r="BL1012" s="9"/>
    </row>
    <row r="1013" spans="1:64" hidden="1" outlineLevel="1">
      <c r="A1013" s="9"/>
      <c r="B1013" s="9"/>
      <c r="C1013" s="9"/>
      <c r="D1013" s="271">
        <f>Asset26</f>
        <v>0</v>
      </c>
      <c r="E1013" s="9"/>
      <c r="F1013" s="9"/>
      <c r="G1013" s="204">
        <f t="shared" ref="G1013:L1013" si="143">G787*G$6</f>
        <v>0</v>
      </c>
      <c r="H1013" s="115">
        <f t="shared" si="143"/>
        <v>0</v>
      </c>
      <c r="I1013" s="115">
        <f t="shared" si="143"/>
        <v>0</v>
      </c>
      <c r="J1013" s="115">
        <f t="shared" si="143"/>
        <v>0</v>
      </c>
      <c r="K1013" s="115">
        <f t="shared" si="143"/>
        <v>0</v>
      </c>
      <c r="L1013" s="115">
        <f t="shared" si="143"/>
        <v>0</v>
      </c>
      <c r="M1013" s="115">
        <f>IF(COUNT($H1013:L1013)&gt;=Input!$Y$7,0,M787*M$6)</f>
        <v>0</v>
      </c>
      <c r="N1013" s="115">
        <f>IF(COUNT($H1013:M1013)&gt;=Input!$Y$7,0,N787*N$6)</f>
        <v>0</v>
      </c>
      <c r="O1013" s="115">
        <f>IF(COUNT($H1013:N1013)&gt;=Input!$Y$7,0,O787*O$6)</f>
        <v>0</v>
      </c>
      <c r="P1013" s="115">
        <f>IF(COUNT($H1013:O1013)&gt;=Input!$Y$7,0,P787*P$6)</f>
        <v>0</v>
      </c>
      <c r="Q1013" s="115">
        <f>IF(COUNT($H1013:P1013)&gt;=Input!$Y$7,0,Q787*Q$6)</f>
        <v>0</v>
      </c>
      <c r="R1013" s="9"/>
      <c r="S1013" s="9"/>
      <c r="T1013" s="9"/>
      <c r="U1013" s="9"/>
      <c r="V1013" s="9"/>
      <c r="W1013" s="9"/>
      <c r="X1013" s="9"/>
      <c r="Y1013" s="9"/>
      <c r="Z1013" s="9"/>
      <c r="AB1013" s="201"/>
      <c r="AC1013" s="201"/>
      <c r="AD1013" s="201"/>
      <c r="AE1013" s="201"/>
      <c r="AF1013" s="201"/>
      <c r="AG1013" s="201"/>
      <c r="AH1013" s="201"/>
      <c r="AI1013" s="201"/>
      <c r="AJ1013" s="201"/>
      <c r="AK1013" s="201"/>
      <c r="AL1013" s="201"/>
      <c r="AM1013" s="201"/>
      <c r="AN1013" s="201"/>
      <c r="AO1013" s="201"/>
      <c r="AP1013" s="201"/>
      <c r="AQ1013" s="201"/>
      <c r="AR1013" s="201"/>
      <c r="AS1013" s="201"/>
      <c r="AT1013" s="201"/>
      <c r="AU1013" s="201"/>
      <c r="AV1013" s="201"/>
      <c r="AW1013" s="201"/>
      <c r="AX1013" s="201"/>
      <c r="AY1013" s="201"/>
      <c r="AZ1013" s="201"/>
      <c r="BA1013" s="201"/>
      <c r="BB1013" s="201"/>
      <c r="BC1013" s="201"/>
      <c r="BD1013" s="9"/>
      <c r="BE1013" s="9"/>
      <c r="BF1013" s="9"/>
      <c r="BG1013" s="9"/>
      <c r="BH1013" s="9"/>
      <c r="BI1013" s="9"/>
      <c r="BJ1013" s="9"/>
      <c r="BK1013" s="9"/>
      <c r="BL1013" s="9"/>
    </row>
    <row r="1014" spans="1:64" hidden="1" outlineLevel="1">
      <c r="A1014" s="9"/>
      <c r="B1014" s="9"/>
      <c r="C1014" s="9"/>
      <c r="D1014" s="271">
        <f>Asset27</f>
        <v>0</v>
      </c>
      <c r="E1014" s="9"/>
      <c r="F1014" s="9"/>
      <c r="G1014" s="204">
        <f t="shared" ref="G1014:L1014" si="144">G788*G$6</f>
        <v>0</v>
      </c>
      <c r="H1014" s="115">
        <f t="shared" si="144"/>
        <v>0</v>
      </c>
      <c r="I1014" s="115">
        <f t="shared" si="144"/>
        <v>0</v>
      </c>
      <c r="J1014" s="115">
        <f t="shared" si="144"/>
        <v>0</v>
      </c>
      <c r="K1014" s="115">
        <f t="shared" si="144"/>
        <v>0</v>
      </c>
      <c r="L1014" s="115">
        <f t="shared" si="144"/>
        <v>0</v>
      </c>
      <c r="M1014" s="115">
        <f>IF(COUNT($H1014:L1014)&gt;=Input!$Y$7,0,M788*M$6)</f>
        <v>0</v>
      </c>
      <c r="N1014" s="115">
        <f>IF(COUNT($H1014:M1014)&gt;=Input!$Y$7,0,N788*N$6)</f>
        <v>0</v>
      </c>
      <c r="O1014" s="115">
        <f>IF(COUNT($H1014:N1014)&gt;=Input!$Y$7,0,O788*O$6)</f>
        <v>0</v>
      </c>
      <c r="P1014" s="115">
        <f>IF(COUNT($H1014:O1014)&gt;=Input!$Y$7,0,P788*P$6)</f>
        <v>0</v>
      </c>
      <c r="Q1014" s="115">
        <f>IF(COUNT($H1014:P1014)&gt;=Input!$Y$7,0,Q788*Q$6)</f>
        <v>0</v>
      </c>
      <c r="R1014" s="9"/>
      <c r="S1014" s="9"/>
      <c r="T1014" s="9"/>
      <c r="U1014" s="9"/>
      <c r="V1014" s="9"/>
      <c r="W1014" s="9"/>
      <c r="X1014" s="9"/>
      <c r="Y1014" s="9"/>
      <c r="Z1014" s="9"/>
      <c r="AB1014" s="201"/>
      <c r="AC1014" s="201"/>
      <c r="AD1014" s="201"/>
      <c r="AE1014" s="201"/>
      <c r="AF1014" s="201"/>
      <c r="AG1014" s="201"/>
      <c r="AH1014" s="201"/>
      <c r="AI1014" s="201"/>
      <c r="AJ1014" s="201"/>
      <c r="AK1014" s="201"/>
      <c r="AL1014" s="201"/>
      <c r="AM1014" s="201"/>
      <c r="AN1014" s="201"/>
      <c r="AO1014" s="201"/>
      <c r="AP1014" s="201"/>
      <c r="AQ1014" s="201"/>
      <c r="AR1014" s="201"/>
      <c r="AS1014" s="201"/>
      <c r="AT1014" s="201"/>
      <c r="AU1014" s="201"/>
      <c r="AV1014" s="201"/>
      <c r="AW1014" s="201"/>
      <c r="AX1014" s="201"/>
      <c r="AY1014" s="201"/>
      <c r="AZ1014" s="201"/>
      <c r="BA1014" s="201"/>
      <c r="BB1014" s="201"/>
      <c r="BC1014" s="201"/>
      <c r="BD1014" s="9"/>
      <c r="BE1014" s="9"/>
      <c r="BF1014" s="9"/>
      <c r="BG1014" s="9"/>
      <c r="BH1014" s="9"/>
      <c r="BI1014" s="9"/>
      <c r="BJ1014" s="9"/>
      <c r="BK1014" s="9"/>
      <c r="BL1014" s="9"/>
    </row>
    <row r="1015" spans="1:64" hidden="1" outlineLevel="1">
      <c r="A1015" s="9"/>
      <c r="B1015" s="9"/>
      <c r="C1015" s="9"/>
      <c r="D1015" s="271">
        <f>Asset28</f>
        <v>0</v>
      </c>
      <c r="E1015" s="9"/>
      <c r="F1015" s="9"/>
      <c r="G1015" s="204">
        <f t="shared" ref="G1015:L1015" si="145">G789*G$6</f>
        <v>0</v>
      </c>
      <c r="H1015" s="115">
        <f t="shared" si="145"/>
        <v>0</v>
      </c>
      <c r="I1015" s="115">
        <f t="shared" si="145"/>
        <v>0</v>
      </c>
      <c r="J1015" s="115">
        <f t="shared" si="145"/>
        <v>0</v>
      </c>
      <c r="K1015" s="115">
        <f t="shared" si="145"/>
        <v>0</v>
      </c>
      <c r="L1015" s="115">
        <f t="shared" si="145"/>
        <v>0</v>
      </c>
      <c r="M1015" s="115">
        <f>IF(COUNT($H1015:L1015)&gt;=Input!$Y$7,0,M789*M$6)</f>
        <v>0</v>
      </c>
      <c r="N1015" s="115">
        <f>IF(COUNT($H1015:M1015)&gt;=Input!$Y$7,0,N789*N$6)</f>
        <v>0</v>
      </c>
      <c r="O1015" s="115">
        <f>IF(COUNT($H1015:N1015)&gt;=Input!$Y$7,0,O789*O$6)</f>
        <v>0</v>
      </c>
      <c r="P1015" s="115">
        <f>IF(COUNT($H1015:O1015)&gt;=Input!$Y$7,0,P789*P$6)</f>
        <v>0</v>
      </c>
      <c r="Q1015" s="115">
        <f>IF(COUNT($H1015:P1015)&gt;=Input!$Y$7,0,Q789*Q$6)</f>
        <v>0</v>
      </c>
      <c r="R1015" s="9"/>
      <c r="S1015" s="9"/>
      <c r="T1015" s="9"/>
      <c r="U1015" s="9"/>
      <c r="V1015" s="9"/>
      <c r="W1015" s="9"/>
      <c r="X1015" s="9"/>
      <c r="Y1015" s="9"/>
      <c r="Z1015" s="9"/>
      <c r="AB1015" s="201"/>
      <c r="AC1015" s="201"/>
      <c r="AD1015" s="201"/>
      <c r="AE1015" s="201"/>
      <c r="AF1015" s="201"/>
      <c r="AG1015" s="201"/>
      <c r="AH1015" s="201"/>
      <c r="AI1015" s="201"/>
      <c r="AJ1015" s="201"/>
      <c r="AK1015" s="201"/>
      <c r="AL1015" s="201"/>
      <c r="AM1015" s="201"/>
      <c r="AN1015" s="201"/>
      <c r="AO1015" s="201"/>
      <c r="AP1015" s="201"/>
      <c r="AQ1015" s="201"/>
      <c r="AR1015" s="201"/>
      <c r="AS1015" s="201"/>
      <c r="AT1015" s="201"/>
      <c r="AU1015" s="201"/>
      <c r="AV1015" s="201"/>
      <c r="AW1015" s="201"/>
      <c r="AX1015" s="201"/>
      <c r="AY1015" s="201"/>
      <c r="AZ1015" s="201"/>
      <c r="BA1015" s="201"/>
      <c r="BB1015" s="201"/>
      <c r="BC1015" s="201"/>
      <c r="BD1015" s="9"/>
      <c r="BE1015" s="9"/>
      <c r="BF1015" s="9"/>
      <c r="BG1015" s="9"/>
      <c r="BH1015" s="9"/>
      <c r="BI1015" s="9"/>
      <c r="BJ1015" s="9"/>
      <c r="BK1015" s="9"/>
      <c r="BL1015" s="9"/>
    </row>
    <row r="1016" spans="1:64" hidden="1" outlineLevel="1">
      <c r="A1016" s="9"/>
      <c r="B1016" s="9"/>
      <c r="C1016" s="9"/>
      <c r="D1016" s="271">
        <f>Asset29</f>
        <v>0</v>
      </c>
      <c r="E1016" s="9"/>
      <c r="F1016" s="9"/>
      <c r="G1016" s="204">
        <f t="shared" ref="G1016:L1016" si="146">G790*G$6</f>
        <v>0</v>
      </c>
      <c r="H1016" s="115">
        <f t="shared" si="146"/>
        <v>0</v>
      </c>
      <c r="I1016" s="115">
        <f t="shared" si="146"/>
        <v>0</v>
      </c>
      <c r="J1016" s="115">
        <f t="shared" si="146"/>
        <v>0</v>
      </c>
      <c r="K1016" s="115">
        <f t="shared" si="146"/>
        <v>0</v>
      </c>
      <c r="L1016" s="115">
        <f t="shared" si="146"/>
        <v>0</v>
      </c>
      <c r="M1016" s="115">
        <f>IF(COUNT($H1016:L1016)&gt;=Input!$Y$7,0,M790*M$6)</f>
        <v>0</v>
      </c>
      <c r="N1016" s="115">
        <f>IF(COUNT($H1016:M1016)&gt;=Input!$Y$7,0,N790*N$6)</f>
        <v>0</v>
      </c>
      <c r="O1016" s="115">
        <f>IF(COUNT($H1016:N1016)&gt;=Input!$Y$7,0,O790*O$6)</f>
        <v>0</v>
      </c>
      <c r="P1016" s="115">
        <f>IF(COUNT($H1016:O1016)&gt;=Input!$Y$7,0,P790*P$6)</f>
        <v>0</v>
      </c>
      <c r="Q1016" s="115">
        <f>IF(COUNT($H1016:P1016)&gt;=Input!$Y$7,0,Q790*Q$6)</f>
        <v>0</v>
      </c>
      <c r="R1016" s="9"/>
      <c r="S1016" s="9"/>
      <c r="T1016" s="9"/>
      <c r="U1016" s="9"/>
      <c r="V1016" s="9"/>
      <c r="W1016" s="9"/>
      <c r="X1016" s="9"/>
      <c r="Y1016" s="9"/>
      <c r="Z1016" s="9"/>
      <c r="AB1016" s="201"/>
      <c r="AC1016" s="201"/>
      <c r="AD1016" s="201"/>
      <c r="AE1016" s="201"/>
      <c r="AF1016" s="201"/>
      <c r="AG1016" s="201"/>
      <c r="AH1016" s="201"/>
      <c r="AI1016" s="201"/>
      <c r="AJ1016" s="201"/>
      <c r="AK1016" s="201"/>
      <c r="AL1016" s="201"/>
      <c r="AM1016" s="201"/>
      <c r="AN1016" s="201"/>
      <c r="AO1016" s="201"/>
      <c r="AP1016" s="201"/>
      <c r="AQ1016" s="201"/>
      <c r="AR1016" s="201"/>
      <c r="AS1016" s="201"/>
      <c r="AT1016" s="201"/>
      <c r="AU1016" s="201"/>
      <c r="AV1016" s="201"/>
      <c r="AW1016" s="201"/>
      <c r="AX1016" s="201"/>
      <c r="AY1016" s="201"/>
      <c r="AZ1016" s="201"/>
      <c r="BA1016" s="201"/>
      <c r="BB1016" s="201"/>
      <c r="BC1016" s="201"/>
      <c r="BD1016" s="9"/>
      <c r="BE1016" s="9"/>
      <c r="BF1016" s="9"/>
      <c r="BG1016" s="9"/>
      <c r="BH1016" s="9"/>
      <c r="BI1016" s="9"/>
      <c r="BJ1016" s="9"/>
      <c r="BK1016" s="9"/>
      <c r="BL1016" s="9"/>
    </row>
    <row r="1017" spans="1:64" hidden="1" outlineLevel="1">
      <c r="A1017" s="9"/>
      <c r="B1017" s="9"/>
      <c r="C1017" s="9"/>
      <c r="D1017" s="271">
        <f>Asset30</f>
        <v>0</v>
      </c>
      <c r="E1017" s="9"/>
      <c r="F1017" s="9"/>
      <c r="G1017" s="204">
        <f t="shared" ref="G1017:L1017" si="147">G791*G$6</f>
        <v>0</v>
      </c>
      <c r="H1017" s="115">
        <f t="shared" si="147"/>
        <v>0</v>
      </c>
      <c r="I1017" s="115">
        <f t="shared" si="147"/>
        <v>0</v>
      </c>
      <c r="J1017" s="115">
        <f t="shared" si="147"/>
        <v>0</v>
      </c>
      <c r="K1017" s="115">
        <f t="shared" si="147"/>
        <v>0</v>
      </c>
      <c r="L1017" s="115">
        <f t="shared" si="147"/>
        <v>0</v>
      </c>
      <c r="M1017" s="115">
        <f>IF(COUNT($H1017:L1017)&gt;=Input!$Y$7,0,M791*M$6)</f>
        <v>0</v>
      </c>
      <c r="N1017" s="115">
        <f>IF(COUNT($H1017:M1017)&gt;=Input!$Y$7,0,N791*N$6)</f>
        <v>0</v>
      </c>
      <c r="O1017" s="115">
        <f>IF(COUNT($H1017:N1017)&gt;=Input!$Y$7,0,O791*O$6)</f>
        <v>0</v>
      </c>
      <c r="P1017" s="115">
        <f>IF(COUNT($H1017:O1017)&gt;=Input!$Y$7,0,P791*P$6)</f>
        <v>0</v>
      </c>
      <c r="Q1017" s="115">
        <f>IF(COUNT($H1017:P1017)&gt;=Input!$Y$7,0,Q791*Q$6)</f>
        <v>0</v>
      </c>
      <c r="R1017" s="9"/>
      <c r="S1017" s="9"/>
      <c r="T1017" s="9"/>
      <c r="U1017" s="9"/>
      <c r="V1017" s="9"/>
      <c r="W1017" s="9"/>
      <c r="X1017" s="9"/>
      <c r="Y1017" s="9"/>
      <c r="Z1017" s="9"/>
      <c r="AB1017" s="201"/>
      <c r="AC1017" s="201"/>
      <c r="AD1017" s="201"/>
      <c r="AE1017" s="201"/>
      <c r="AF1017" s="201"/>
      <c r="AG1017" s="201"/>
      <c r="AH1017" s="201"/>
      <c r="AI1017" s="201"/>
      <c r="AJ1017" s="201"/>
      <c r="AK1017" s="201"/>
      <c r="AL1017" s="201"/>
      <c r="AM1017" s="201"/>
      <c r="AN1017" s="201"/>
      <c r="AO1017" s="201"/>
      <c r="AP1017" s="201"/>
      <c r="AQ1017" s="201"/>
      <c r="AR1017" s="201"/>
      <c r="AS1017" s="201"/>
      <c r="AT1017" s="201"/>
      <c r="AU1017" s="201"/>
      <c r="AV1017" s="201"/>
      <c r="AW1017" s="201"/>
      <c r="AX1017" s="201"/>
      <c r="AY1017" s="201"/>
      <c r="AZ1017" s="201"/>
      <c r="BA1017" s="201"/>
      <c r="BB1017" s="201"/>
      <c r="BC1017" s="201"/>
      <c r="BD1017" s="9"/>
      <c r="BE1017" s="9"/>
      <c r="BF1017" s="9"/>
      <c r="BG1017" s="9"/>
      <c r="BH1017" s="9"/>
      <c r="BI1017" s="9"/>
      <c r="BJ1017" s="9"/>
      <c r="BK1017" s="9"/>
      <c r="BL1017" s="9"/>
    </row>
    <row r="1018" spans="1:64" collapsed="1">
      <c r="A1018" s="9"/>
      <c r="B1018" s="9"/>
      <c r="C1018" s="9"/>
      <c r="D1018" s="9"/>
      <c r="E1018" s="9"/>
      <c r="F1018" s="9"/>
      <c r="G1018" s="12"/>
      <c r="H1018" s="9"/>
      <c r="I1018" s="9"/>
      <c r="J1018" s="9"/>
      <c r="K1018" s="9"/>
      <c r="L1018" s="9"/>
      <c r="M1018" s="9"/>
      <c r="N1018" s="9"/>
      <c r="O1018" s="9"/>
      <c r="P1018" s="9"/>
      <c r="Q1018" s="9"/>
      <c r="R1018" s="9"/>
      <c r="S1018" s="9"/>
      <c r="T1018" s="9"/>
      <c r="U1018" s="9"/>
      <c r="V1018" s="9"/>
      <c r="W1018" s="9"/>
      <c r="X1018" s="9"/>
      <c r="Y1018" s="9"/>
      <c r="Z1018" s="9"/>
      <c r="AB1018" s="201"/>
      <c r="AC1018" s="201"/>
      <c r="AD1018" s="201"/>
      <c r="AE1018" s="201"/>
      <c r="AF1018" s="201"/>
      <c r="AG1018" s="201"/>
      <c r="AH1018" s="201"/>
      <c r="AI1018" s="201"/>
      <c r="AJ1018" s="201"/>
      <c r="AK1018" s="201"/>
      <c r="AL1018" s="201"/>
      <c r="AM1018" s="201"/>
      <c r="AN1018" s="201"/>
      <c r="AO1018" s="201"/>
      <c r="AP1018" s="201"/>
      <c r="AQ1018" s="201"/>
      <c r="AR1018" s="201"/>
      <c r="AS1018" s="201"/>
      <c r="AT1018" s="201"/>
      <c r="AU1018" s="201"/>
      <c r="AV1018" s="201"/>
      <c r="AW1018" s="201"/>
      <c r="AX1018" s="201"/>
      <c r="AY1018" s="201"/>
      <c r="AZ1018" s="201"/>
      <c r="BA1018" s="201"/>
      <c r="BB1018" s="201"/>
      <c r="BC1018" s="201"/>
      <c r="BD1018" s="9"/>
      <c r="BE1018" s="9"/>
      <c r="BF1018" s="9"/>
      <c r="BG1018" s="9"/>
      <c r="BH1018" s="9"/>
      <c r="BI1018" s="9"/>
      <c r="BJ1018" s="9"/>
      <c r="BK1018" s="9"/>
      <c r="BL1018" s="9"/>
    </row>
    <row r="1019" spans="1:64">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201"/>
      <c r="AC1019" s="201"/>
      <c r="AD1019" s="201"/>
      <c r="AE1019" s="201"/>
      <c r="AF1019" s="201"/>
      <c r="AG1019" s="201"/>
      <c r="AH1019" s="201"/>
      <c r="AI1019" s="201"/>
      <c r="AJ1019" s="201"/>
      <c r="AK1019" s="201"/>
      <c r="AL1019" s="201"/>
      <c r="AM1019" s="201"/>
      <c r="AN1019" s="201"/>
      <c r="AO1019" s="201"/>
      <c r="AP1019" s="201"/>
      <c r="AQ1019" s="201"/>
      <c r="AR1019" s="201"/>
      <c r="AS1019" s="201"/>
      <c r="AT1019" s="201"/>
      <c r="AU1019" s="201"/>
      <c r="AV1019" s="201"/>
      <c r="AW1019" s="201"/>
      <c r="AX1019" s="201"/>
      <c r="AY1019" s="201"/>
      <c r="AZ1019" s="201"/>
      <c r="BA1019" s="201"/>
      <c r="BB1019" s="201"/>
      <c r="BC1019" s="201"/>
    </row>
    <row r="1020" spans="1:64">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201"/>
      <c r="AC1020" s="201"/>
      <c r="AD1020" s="201"/>
      <c r="AE1020" s="201"/>
      <c r="AF1020" s="201"/>
      <c r="AG1020" s="201"/>
      <c r="AH1020" s="201"/>
      <c r="AI1020" s="201"/>
      <c r="AJ1020" s="201"/>
      <c r="AK1020" s="201"/>
      <c r="AL1020" s="201"/>
      <c r="AM1020" s="201"/>
      <c r="AN1020" s="201"/>
      <c r="AO1020" s="201"/>
      <c r="AP1020" s="201"/>
      <c r="AQ1020" s="201"/>
      <c r="AR1020" s="201"/>
      <c r="AS1020" s="201"/>
      <c r="AT1020" s="201"/>
      <c r="AU1020" s="201"/>
      <c r="AV1020" s="201"/>
      <c r="AW1020" s="201"/>
      <c r="AX1020" s="201"/>
      <c r="AY1020" s="201"/>
      <c r="AZ1020" s="201"/>
      <c r="BA1020" s="201"/>
      <c r="BB1020" s="201"/>
      <c r="BC1020" s="201"/>
    </row>
    <row r="1021" spans="1:64">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B1021" s="201"/>
      <c r="AC1021" s="201"/>
      <c r="AD1021" s="201"/>
      <c r="AE1021" s="201"/>
      <c r="AF1021" s="201"/>
      <c r="AG1021" s="201"/>
      <c r="AH1021" s="201"/>
      <c r="AI1021" s="201"/>
      <c r="AJ1021" s="201"/>
      <c r="AK1021" s="201"/>
      <c r="AL1021" s="201"/>
      <c r="AM1021" s="201"/>
      <c r="AN1021" s="201"/>
      <c r="AO1021" s="201"/>
      <c r="AP1021" s="201"/>
      <c r="AQ1021" s="201"/>
      <c r="AR1021" s="201"/>
      <c r="AS1021" s="201"/>
      <c r="AT1021" s="201"/>
      <c r="AU1021" s="201"/>
      <c r="AV1021" s="201"/>
      <c r="AW1021" s="201"/>
      <c r="AX1021" s="201"/>
      <c r="AY1021" s="201"/>
      <c r="AZ1021" s="201"/>
      <c r="BA1021" s="201"/>
      <c r="BB1021" s="201"/>
      <c r="BC1021" s="201"/>
    </row>
    <row r="1022" spans="1:64">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B1022" s="201"/>
      <c r="AC1022" s="201"/>
      <c r="AD1022" s="201"/>
      <c r="AE1022" s="201"/>
      <c r="AF1022" s="201"/>
      <c r="AG1022" s="201"/>
      <c r="AH1022" s="201"/>
      <c r="AI1022" s="201"/>
      <c r="AJ1022" s="201"/>
      <c r="AK1022" s="201"/>
      <c r="AL1022" s="201"/>
      <c r="AM1022" s="201"/>
      <c r="AN1022" s="201"/>
      <c r="AO1022" s="201"/>
      <c r="AP1022" s="201"/>
      <c r="AQ1022" s="201"/>
      <c r="AR1022" s="201"/>
      <c r="AS1022" s="201"/>
      <c r="AT1022" s="201"/>
      <c r="AU1022" s="201"/>
      <c r="AV1022" s="201"/>
      <c r="AW1022" s="201"/>
      <c r="AX1022" s="201"/>
      <c r="AY1022" s="201"/>
      <c r="AZ1022" s="201"/>
      <c r="BA1022" s="201"/>
      <c r="BB1022" s="201"/>
      <c r="BC1022" s="201"/>
    </row>
    <row r="1023" spans="1:64">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B1023" s="201"/>
      <c r="AC1023" s="201"/>
      <c r="AD1023" s="201"/>
      <c r="AE1023" s="201"/>
      <c r="AF1023" s="201"/>
      <c r="AG1023" s="201"/>
      <c r="AH1023" s="201"/>
      <c r="AI1023" s="201"/>
      <c r="AJ1023" s="201"/>
      <c r="AK1023" s="201"/>
      <c r="AL1023" s="201"/>
      <c r="AM1023" s="201"/>
      <c r="AN1023" s="201"/>
      <c r="AO1023" s="201"/>
      <c r="AP1023" s="201"/>
      <c r="AQ1023" s="201"/>
      <c r="AR1023" s="201"/>
      <c r="AS1023" s="201"/>
      <c r="AT1023" s="201"/>
      <c r="AU1023" s="201"/>
      <c r="AV1023" s="201"/>
      <c r="AW1023" s="201"/>
      <c r="AX1023" s="201"/>
      <c r="AY1023" s="201"/>
      <c r="AZ1023" s="201"/>
      <c r="BA1023" s="201"/>
      <c r="BB1023" s="201"/>
      <c r="BC1023" s="201"/>
    </row>
    <row r="1024" spans="1:64">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B1024" s="201"/>
      <c r="AC1024" s="201"/>
      <c r="AD1024" s="201"/>
      <c r="AE1024" s="201"/>
      <c r="AF1024" s="201"/>
      <c r="AG1024" s="201"/>
      <c r="AH1024" s="201"/>
      <c r="AI1024" s="201"/>
      <c r="AJ1024" s="201"/>
      <c r="AK1024" s="201"/>
      <c r="AL1024" s="201"/>
      <c r="AM1024" s="201"/>
      <c r="AN1024" s="201"/>
      <c r="AO1024" s="201"/>
      <c r="AP1024" s="201"/>
      <c r="AQ1024" s="201"/>
      <c r="AR1024" s="201"/>
      <c r="AS1024" s="201"/>
      <c r="AT1024" s="201"/>
      <c r="AU1024" s="201"/>
      <c r="AV1024" s="201"/>
      <c r="AW1024" s="201"/>
      <c r="AX1024" s="201"/>
      <c r="AY1024" s="201"/>
      <c r="AZ1024" s="201"/>
      <c r="BA1024" s="201"/>
      <c r="BB1024" s="201"/>
      <c r="BC1024" s="201"/>
    </row>
    <row r="1025" spans="1:5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B1025" s="201"/>
      <c r="AC1025" s="201"/>
      <c r="AD1025" s="201"/>
      <c r="AE1025" s="201"/>
      <c r="AF1025" s="201"/>
      <c r="AG1025" s="201"/>
      <c r="AH1025" s="201"/>
      <c r="AI1025" s="201"/>
      <c r="AJ1025" s="201"/>
      <c r="AK1025" s="201"/>
      <c r="AL1025" s="201"/>
      <c r="AM1025" s="201"/>
      <c r="AN1025" s="201"/>
      <c r="AO1025" s="201"/>
      <c r="AP1025" s="201"/>
      <c r="AQ1025" s="201"/>
      <c r="AR1025" s="201"/>
      <c r="AS1025" s="201"/>
      <c r="AT1025" s="201"/>
      <c r="AU1025" s="201"/>
      <c r="AV1025" s="201"/>
      <c r="AW1025" s="201"/>
      <c r="AX1025" s="201"/>
      <c r="AY1025" s="201"/>
      <c r="AZ1025" s="201"/>
      <c r="BA1025" s="201"/>
      <c r="BB1025" s="201"/>
      <c r="BC1025" s="201"/>
    </row>
    <row r="1026" spans="1:5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B1026" s="201"/>
      <c r="AC1026" s="201"/>
      <c r="AD1026" s="201"/>
      <c r="AE1026" s="201"/>
      <c r="AF1026" s="201"/>
      <c r="AG1026" s="201"/>
      <c r="AH1026" s="201"/>
      <c r="AI1026" s="201"/>
      <c r="AJ1026" s="201"/>
      <c r="AK1026" s="201"/>
      <c r="AL1026" s="201"/>
      <c r="AM1026" s="201"/>
      <c r="AN1026" s="201"/>
      <c r="AO1026" s="201"/>
      <c r="AP1026" s="201"/>
      <c r="AQ1026" s="201"/>
      <c r="AR1026" s="201"/>
      <c r="AS1026" s="201"/>
      <c r="AT1026" s="201"/>
      <c r="AU1026" s="201"/>
      <c r="AV1026" s="201"/>
      <c r="AW1026" s="201"/>
      <c r="AX1026" s="201"/>
      <c r="AY1026" s="201"/>
      <c r="AZ1026" s="201"/>
      <c r="BA1026" s="201"/>
      <c r="BB1026" s="201"/>
      <c r="BC1026" s="201"/>
    </row>
    <row r="1027" spans="1:5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B1027" s="201"/>
      <c r="AC1027" s="201"/>
      <c r="AD1027" s="201"/>
      <c r="AE1027" s="201"/>
      <c r="AF1027" s="201"/>
      <c r="AG1027" s="201"/>
      <c r="AH1027" s="201"/>
      <c r="AI1027" s="201"/>
      <c r="AJ1027" s="201"/>
      <c r="AK1027" s="201"/>
      <c r="AL1027" s="201"/>
      <c r="AM1027" s="201"/>
      <c r="AN1027" s="201"/>
      <c r="AO1027" s="201"/>
      <c r="AP1027" s="201"/>
      <c r="AQ1027" s="201"/>
      <c r="AR1027" s="201"/>
      <c r="AS1027" s="201"/>
      <c r="AT1027" s="201"/>
      <c r="AU1027" s="201"/>
      <c r="AV1027" s="201"/>
      <c r="AW1027" s="201"/>
      <c r="AX1027" s="201"/>
      <c r="AY1027" s="201"/>
      <c r="AZ1027" s="201"/>
      <c r="BA1027" s="201"/>
      <c r="BB1027" s="201"/>
      <c r="BC1027" s="201"/>
    </row>
    <row r="1028" spans="1:5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B1028" s="201"/>
      <c r="AC1028" s="201"/>
      <c r="AD1028" s="201"/>
      <c r="AE1028" s="201"/>
      <c r="AF1028" s="201"/>
      <c r="AG1028" s="201"/>
      <c r="AH1028" s="201"/>
      <c r="AI1028" s="201"/>
      <c r="AJ1028" s="201"/>
      <c r="AK1028" s="201"/>
      <c r="AL1028" s="201"/>
      <c r="AM1028" s="201"/>
      <c r="AN1028" s="201"/>
      <c r="AO1028" s="201"/>
      <c r="AP1028" s="201"/>
      <c r="AQ1028" s="201"/>
      <c r="AR1028" s="201"/>
      <c r="AS1028" s="201"/>
      <c r="AT1028" s="201"/>
      <c r="AU1028" s="201"/>
      <c r="AV1028" s="201"/>
      <c r="AW1028" s="201"/>
      <c r="AX1028" s="201"/>
      <c r="AY1028" s="201"/>
      <c r="AZ1028" s="201"/>
      <c r="BA1028" s="201"/>
      <c r="BB1028" s="201"/>
      <c r="BC1028" s="201"/>
    </row>
    <row r="1029" spans="1:5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B1029" s="201"/>
      <c r="AC1029" s="201"/>
      <c r="AD1029" s="201"/>
      <c r="AE1029" s="201"/>
      <c r="AF1029" s="201"/>
      <c r="AG1029" s="201"/>
      <c r="AH1029" s="201"/>
      <c r="AI1029" s="201"/>
      <c r="AJ1029" s="201"/>
      <c r="AK1029" s="201"/>
      <c r="AL1029" s="201"/>
      <c r="AM1029" s="201"/>
      <c r="AN1029" s="201"/>
      <c r="AO1029" s="201"/>
      <c r="AP1029" s="201"/>
      <c r="AQ1029" s="201"/>
      <c r="AR1029" s="201"/>
      <c r="AS1029" s="201"/>
      <c r="AT1029" s="201"/>
      <c r="AU1029" s="201"/>
      <c r="AV1029" s="201"/>
      <c r="AW1029" s="201"/>
      <c r="AX1029" s="201"/>
      <c r="AY1029" s="201"/>
      <c r="AZ1029" s="201"/>
      <c r="BA1029" s="201"/>
      <c r="BB1029" s="201"/>
      <c r="BC1029" s="201"/>
    </row>
    <row r="1030" spans="1:5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B1030" s="201"/>
      <c r="AC1030" s="201"/>
      <c r="AD1030" s="201"/>
      <c r="AE1030" s="201"/>
      <c r="AF1030" s="201"/>
      <c r="AG1030" s="201"/>
      <c r="AH1030" s="201"/>
      <c r="AI1030" s="201"/>
      <c r="AJ1030" s="201"/>
      <c r="AK1030" s="201"/>
      <c r="AL1030" s="201"/>
      <c r="AM1030" s="201"/>
      <c r="AN1030" s="201"/>
      <c r="AO1030" s="201"/>
      <c r="AP1030" s="201"/>
      <c r="AQ1030" s="201"/>
      <c r="AR1030" s="201"/>
      <c r="AS1030" s="201"/>
      <c r="AT1030" s="201"/>
      <c r="AU1030" s="201"/>
      <c r="AV1030" s="201"/>
      <c r="AW1030" s="201"/>
      <c r="AX1030" s="201"/>
      <c r="AY1030" s="201"/>
      <c r="AZ1030" s="201"/>
      <c r="BA1030" s="201"/>
      <c r="BB1030" s="201"/>
      <c r="BC1030" s="201"/>
    </row>
    <row r="1031" spans="1:5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B1031" s="201"/>
      <c r="AC1031" s="201"/>
      <c r="AD1031" s="201"/>
      <c r="AE1031" s="201"/>
      <c r="AF1031" s="201"/>
      <c r="AG1031" s="201"/>
      <c r="AH1031" s="201"/>
      <c r="AI1031" s="201"/>
      <c r="AJ1031" s="201"/>
      <c r="AK1031" s="201"/>
      <c r="AL1031" s="201"/>
      <c r="AM1031" s="201"/>
      <c r="AN1031" s="201"/>
      <c r="AO1031" s="201"/>
      <c r="AP1031" s="201"/>
      <c r="AQ1031" s="201"/>
      <c r="AR1031" s="201"/>
      <c r="AS1031" s="201"/>
      <c r="AT1031" s="201"/>
      <c r="AU1031" s="201"/>
      <c r="AV1031" s="201"/>
      <c r="AW1031" s="201"/>
      <c r="AX1031" s="201"/>
      <c r="AY1031" s="201"/>
      <c r="AZ1031" s="201"/>
      <c r="BA1031" s="201"/>
      <c r="BB1031" s="201"/>
      <c r="BC1031" s="201"/>
    </row>
    <row r="1032" spans="1:5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B1032" s="201"/>
      <c r="AC1032" s="201"/>
      <c r="AD1032" s="201"/>
      <c r="AE1032" s="201"/>
      <c r="AF1032" s="201"/>
      <c r="AG1032" s="201"/>
      <c r="AH1032" s="201"/>
      <c r="AI1032" s="201"/>
      <c r="AJ1032" s="201"/>
      <c r="AK1032" s="201"/>
      <c r="AL1032" s="201"/>
      <c r="AM1032" s="201"/>
      <c r="AN1032" s="201"/>
      <c r="AO1032" s="201"/>
      <c r="AP1032" s="201"/>
      <c r="AQ1032" s="201"/>
      <c r="AR1032" s="201"/>
      <c r="AS1032" s="201"/>
      <c r="AT1032" s="201"/>
      <c r="AU1032" s="201"/>
      <c r="AV1032" s="201"/>
      <c r="AW1032" s="201"/>
      <c r="AX1032" s="201"/>
      <c r="AY1032" s="201"/>
      <c r="AZ1032" s="201"/>
      <c r="BA1032" s="201"/>
      <c r="BB1032" s="201"/>
      <c r="BC1032" s="201"/>
    </row>
    <row r="1033" spans="1:5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B1033" s="201"/>
      <c r="AC1033" s="201"/>
      <c r="AD1033" s="201"/>
      <c r="AE1033" s="201"/>
      <c r="AF1033" s="201"/>
      <c r="AG1033" s="201"/>
      <c r="AH1033" s="201"/>
      <c r="AI1033" s="201"/>
      <c r="AJ1033" s="201"/>
      <c r="AK1033" s="201"/>
      <c r="AL1033" s="201"/>
      <c r="AM1033" s="201"/>
      <c r="AN1033" s="201"/>
      <c r="AO1033" s="201"/>
      <c r="AP1033" s="201"/>
      <c r="AQ1033" s="201"/>
      <c r="AR1033" s="201"/>
      <c r="AS1033" s="201"/>
      <c r="AT1033" s="201"/>
      <c r="AU1033" s="201"/>
      <c r="AV1033" s="201"/>
      <c r="AW1033" s="201"/>
      <c r="AX1033" s="201"/>
      <c r="AY1033" s="201"/>
      <c r="AZ1033" s="201"/>
      <c r="BA1033" s="201"/>
      <c r="BB1033" s="201"/>
      <c r="BC1033" s="201"/>
    </row>
    <row r="1034" spans="1:5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B1034" s="201"/>
      <c r="AC1034" s="201"/>
      <c r="AD1034" s="201"/>
      <c r="AE1034" s="201"/>
      <c r="AF1034" s="201"/>
      <c r="AG1034" s="201"/>
      <c r="AH1034" s="201"/>
      <c r="AI1034" s="201"/>
      <c r="AJ1034" s="201"/>
      <c r="AK1034" s="201"/>
      <c r="AL1034" s="201"/>
      <c r="AM1034" s="201"/>
      <c r="AN1034" s="201"/>
      <c r="AO1034" s="201"/>
      <c r="AP1034" s="201"/>
      <c r="AQ1034" s="201"/>
      <c r="AR1034" s="201"/>
      <c r="AS1034" s="201"/>
      <c r="AT1034" s="201"/>
      <c r="AU1034" s="201"/>
      <c r="AV1034" s="201"/>
      <c r="AW1034" s="201"/>
      <c r="AX1034" s="201"/>
      <c r="AY1034" s="201"/>
      <c r="AZ1034" s="201"/>
      <c r="BA1034" s="201"/>
      <c r="BB1034" s="201"/>
      <c r="BC1034" s="201"/>
    </row>
    <row r="1035" spans="1:5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B1035" s="201"/>
      <c r="AC1035" s="201"/>
      <c r="AD1035" s="201"/>
      <c r="AE1035" s="201"/>
      <c r="AF1035" s="201"/>
      <c r="AG1035" s="201"/>
      <c r="AH1035" s="201"/>
      <c r="AI1035" s="201"/>
      <c r="AJ1035" s="201"/>
      <c r="AK1035" s="201"/>
      <c r="AL1035" s="201"/>
      <c r="AM1035" s="201"/>
      <c r="AN1035" s="201"/>
      <c r="AO1035" s="201"/>
      <c r="AP1035" s="201"/>
      <c r="AQ1035" s="201"/>
      <c r="AR1035" s="201"/>
      <c r="AS1035" s="201"/>
      <c r="AT1035" s="201"/>
      <c r="AU1035" s="201"/>
      <c r="AV1035" s="201"/>
      <c r="AW1035" s="201"/>
      <c r="AX1035" s="201"/>
      <c r="AY1035" s="201"/>
      <c r="AZ1035" s="201"/>
      <c r="BA1035" s="201"/>
      <c r="BB1035" s="201"/>
      <c r="BC1035" s="201"/>
    </row>
    <row r="1036" spans="1:5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B1036" s="201"/>
      <c r="AC1036" s="201"/>
      <c r="AD1036" s="201"/>
      <c r="AE1036" s="201"/>
      <c r="AF1036" s="201"/>
      <c r="AG1036" s="201"/>
      <c r="AH1036" s="201"/>
      <c r="AI1036" s="201"/>
      <c r="AJ1036" s="201"/>
      <c r="AK1036" s="201"/>
      <c r="AL1036" s="201"/>
      <c r="AM1036" s="201"/>
      <c r="AN1036" s="201"/>
      <c r="AO1036" s="201"/>
      <c r="AP1036" s="201"/>
      <c r="AQ1036" s="201"/>
      <c r="AR1036" s="201"/>
      <c r="AS1036" s="201"/>
      <c r="AT1036" s="201"/>
      <c r="AU1036" s="201"/>
      <c r="AV1036" s="201"/>
      <c r="AW1036" s="201"/>
      <c r="AX1036" s="201"/>
      <c r="AY1036" s="201"/>
      <c r="AZ1036" s="201"/>
      <c r="BA1036" s="201"/>
      <c r="BB1036" s="201"/>
      <c r="BC1036" s="201"/>
    </row>
    <row r="1037" spans="1:5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B1037" s="201"/>
      <c r="AC1037" s="201"/>
      <c r="AD1037" s="201"/>
      <c r="AE1037" s="201"/>
      <c r="AF1037" s="201"/>
      <c r="AG1037" s="201"/>
      <c r="AH1037" s="201"/>
      <c r="AI1037" s="201"/>
      <c r="AJ1037" s="201"/>
      <c r="AK1037" s="201"/>
      <c r="AL1037" s="201"/>
      <c r="AM1037" s="201"/>
      <c r="AN1037" s="201"/>
      <c r="AO1037" s="201"/>
      <c r="AP1037" s="201"/>
      <c r="AQ1037" s="201"/>
      <c r="AR1037" s="201"/>
      <c r="AS1037" s="201"/>
      <c r="AT1037" s="201"/>
      <c r="AU1037" s="201"/>
      <c r="AV1037" s="201"/>
      <c r="AW1037" s="201"/>
      <c r="AX1037" s="201"/>
      <c r="AY1037" s="201"/>
      <c r="AZ1037" s="201"/>
      <c r="BA1037" s="201"/>
      <c r="BB1037" s="201"/>
      <c r="BC1037" s="201"/>
    </row>
    <row r="1038" spans="1:5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B1038" s="201"/>
      <c r="AC1038" s="201"/>
      <c r="AD1038" s="201"/>
      <c r="AE1038" s="201"/>
      <c r="AF1038" s="201"/>
      <c r="AG1038" s="201"/>
      <c r="AH1038" s="201"/>
      <c r="AI1038" s="201"/>
      <c r="AJ1038" s="201"/>
      <c r="AK1038" s="201"/>
      <c r="AL1038" s="201"/>
      <c r="AM1038" s="201"/>
      <c r="AN1038" s="201"/>
      <c r="AO1038" s="201"/>
      <c r="AP1038" s="201"/>
      <c r="AQ1038" s="201"/>
      <c r="AR1038" s="201"/>
      <c r="AS1038" s="201"/>
      <c r="AT1038" s="201"/>
      <c r="AU1038" s="201"/>
      <c r="AV1038" s="201"/>
      <c r="AW1038" s="201"/>
      <c r="AX1038" s="201"/>
      <c r="AY1038" s="201"/>
      <c r="AZ1038" s="201"/>
      <c r="BA1038" s="201"/>
      <c r="BB1038" s="201"/>
      <c r="BC1038" s="201"/>
    </row>
    <row r="1039" spans="1:5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B1039" s="201"/>
      <c r="AC1039" s="201"/>
      <c r="AD1039" s="201"/>
      <c r="AE1039" s="201"/>
      <c r="AF1039" s="201"/>
      <c r="AG1039" s="201"/>
      <c r="AH1039" s="201"/>
      <c r="AI1039" s="201"/>
      <c r="AJ1039" s="201"/>
      <c r="AK1039" s="201"/>
      <c r="AL1039" s="201"/>
      <c r="AM1039" s="201"/>
      <c r="AN1039" s="201"/>
      <c r="AO1039" s="201"/>
      <c r="AP1039" s="201"/>
      <c r="AQ1039" s="201"/>
      <c r="AR1039" s="201"/>
      <c r="AS1039" s="201"/>
      <c r="AT1039" s="201"/>
      <c r="AU1039" s="201"/>
      <c r="AV1039" s="201"/>
      <c r="AW1039" s="201"/>
      <c r="AX1039" s="201"/>
      <c r="AY1039" s="201"/>
      <c r="AZ1039" s="201"/>
      <c r="BA1039" s="201"/>
      <c r="BB1039" s="201"/>
      <c r="BC1039" s="201"/>
    </row>
    <row r="1040" spans="1:5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B1040" s="201"/>
      <c r="AC1040" s="201"/>
      <c r="AD1040" s="201"/>
      <c r="AE1040" s="201"/>
      <c r="AF1040" s="201"/>
      <c r="AG1040" s="201"/>
      <c r="AH1040" s="201"/>
      <c r="AI1040" s="201"/>
      <c r="AJ1040" s="201"/>
      <c r="AK1040" s="201"/>
      <c r="AL1040" s="201"/>
      <c r="AM1040" s="201"/>
      <c r="AN1040" s="201"/>
      <c r="AO1040" s="201"/>
      <c r="AP1040" s="201"/>
      <c r="AQ1040" s="201"/>
      <c r="AR1040" s="201"/>
      <c r="AS1040" s="201"/>
      <c r="AT1040" s="201"/>
      <c r="AU1040" s="201"/>
      <c r="AV1040" s="201"/>
      <c r="AW1040" s="201"/>
      <c r="AX1040" s="201"/>
      <c r="AY1040" s="201"/>
      <c r="AZ1040" s="201"/>
      <c r="BA1040" s="201"/>
      <c r="BB1040" s="201"/>
      <c r="BC1040" s="201"/>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1:26">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1:26">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1:26">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1:26">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1:26">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1:26">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1:26">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1: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1: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1: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1: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1: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1: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1: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1: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1: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row r="1245" spans="2:26">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row>
    <row r="1246" spans="2:26">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row>
    <row r="1247" spans="2:26">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row>
    <row r="1248" spans="2:26">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row>
    <row r="1249" spans="2:26">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row>
    <row r="1250" spans="2:26">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row>
    <row r="1251" spans="2:26">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row>
    <row r="1252" spans="2:26">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row>
    <row r="1253" spans="2:26">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row>
    <row r="1254" spans="2:26">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row>
    <row r="1255" spans="2:26">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row>
    <row r="1256" spans="2:26">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row>
    <row r="1257" spans="2:26">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row>
    <row r="1258" spans="2:26">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row>
    <row r="1259" spans="2:26">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row>
    <row r="1260" spans="2:26">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row>
    <row r="1261" spans="2:26">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row>
    <row r="1262" spans="2:26">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row>
    <row r="1263" spans="2:26">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row>
    <row r="1264" spans="2:26">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row>
  </sheetData>
  <mergeCells count="30">
    <mergeCell ref="E441:E451"/>
    <mergeCell ref="E454:E464"/>
    <mergeCell ref="E389:E399"/>
    <mergeCell ref="E402:E412"/>
    <mergeCell ref="E415:E425"/>
    <mergeCell ref="E428:E438"/>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233:E243"/>
    <mergeCell ref="E246:E256"/>
    <mergeCell ref="E77:E87"/>
    <mergeCell ref="E90:E100"/>
    <mergeCell ref="E103:E113"/>
    <mergeCell ref="E116:E126"/>
    <mergeCell ref="E207:E217"/>
    <mergeCell ref="E220:E230"/>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1018" max="16383" man="1"/>
  </rowBreaks>
  <colBreaks count="1" manualBreakCount="1">
    <brk id="1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73"/>
  <sheetViews>
    <sheetView zoomScaleNormal="100" workbookViewId="0">
      <pane ySplit="4" topLeftCell="A5" activePane="bottomLeft" state="frozen"/>
      <selection pane="bottomLeft" activeCell="L457" sqref="L457"/>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201"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1</v>
      </c>
      <c r="D4" s="86"/>
      <c r="E4" s="86"/>
      <c r="F4" s="86"/>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c r="S4" s="17"/>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49"/>
      <c r="B5" s="249"/>
      <c r="C5" s="183" t="s">
        <v>73</v>
      </c>
      <c r="D5" s="249"/>
      <c r="E5" s="249"/>
      <c r="F5" s="249"/>
      <c r="G5" s="249"/>
      <c r="H5" s="249"/>
      <c r="I5" s="249"/>
      <c r="J5" s="249"/>
      <c r="K5" s="249"/>
      <c r="L5" s="249"/>
      <c r="M5" s="249"/>
      <c r="N5" s="249"/>
      <c r="O5" s="249"/>
      <c r="P5" s="249"/>
      <c r="Q5" s="249"/>
      <c r="R5" s="249"/>
      <c r="S5" s="16"/>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24"/>
      <c r="BL6" s="224"/>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63</v>
      </c>
      <c r="D7" s="9"/>
      <c r="E7" s="9"/>
      <c r="F7" s="9"/>
      <c r="G7" s="310">
        <f>SUM(G8:G37)</f>
        <v>1879.9814438209928</v>
      </c>
      <c r="H7" s="469">
        <f>SUM(H8:H37)</f>
        <v>2093.4385480310939</v>
      </c>
      <c r="I7" s="142">
        <f t="shared" ref="I7:P7" si="1">SUM(I8:I37)</f>
        <v>2278.2609074570819</v>
      </c>
      <c r="J7" s="142">
        <f t="shared" si="1"/>
        <v>2563.010391265866</v>
      </c>
      <c r="K7" s="142">
        <f t="shared" si="1"/>
        <v>2858.9454715868251</v>
      </c>
      <c r="L7" s="142">
        <f t="shared" si="1"/>
        <v>3180.3896560995681</v>
      </c>
      <c r="M7" s="142">
        <f t="shared" si="1"/>
        <v>0</v>
      </c>
      <c r="N7" s="142">
        <f t="shared" si="1"/>
        <v>0</v>
      </c>
      <c r="O7" s="142">
        <f t="shared" si="1"/>
        <v>0</v>
      </c>
      <c r="P7" s="142">
        <f t="shared" si="1"/>
        <v>0</v>
      </c>
      <c r="Q7" s="142">
        <f>SUM(Q8:Q37)</f>
        <v>0</v>
      </c>
      <c r="R7" s="142"/>
      <c r="S7" s="141"/>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24"/>
      <c r="BL7" s="224"/>
    </row>
    <row r="8" spans="1:256" hidden="1" outlineLevel="1">
      <c r="A8" s="9"/>
      <c r="B8" s="9"/>
      <c r="C8" s="9"/>
      <c r="D8" s="271" t="str">
        <f>Asset1</f>
        <v>Subtransmission</v>
      </c>
      <c r="E8" s="9"/>
      <c r="F8" s="9"/>
      <c r="G8" s="204">
        <f>'Actual RAB roll forward'!G470</f>
        <v>221.08167189144211</v>
      </c>
      <c r="H8" s="115">
        <f>G8+G40+G72+G104+G136+G168+G200</f>
        <v>201.86232986351726</v>
      </c>
      <c r="I8" s="115">
        <f>H8+H40+H72+H104+H136+H168+H200</f>
        <v>223.75378048883468</v>
      </c>
      <c r="J8" s="115">
        <f>I8+I40+I72+I104+I136+I168+I200</f>
        <v>270.18518567823617</v>
      </c>
      <c r="K8" s="115">
        <f>J8+J40+J72+J104+J136+J168+J200</f>
        <v>333.22360899693331</v>
      </c>
      <c r="L8" s="115">
        <f>K8+K40+K72+K104+K136+K168+K200</f>
        <v>395.67376420819033</v>
      </c>
      <c r="M8" s="115">
        <f>IF(COUNT($H8:L8)&gt;=Input!$Y$7,0,L8+L40+L72)</f>
        <v>0</v>
      </c>
      <c r="N8" s="115">
        <f>IF(COUNT($H8:M8)&gt;=Input!$Y$7,0,M8+M40+M72)</f>
        <v>0</v>
      </c>
      <c r="O8" s="115">
        <f>IF(COUNT($H8:N8)&gt;=Input!$Y$7,0,N8+N40+N72)</f>
        <v>0</v>
      </c>
      <c r="P8" s="115">
        <f>IF(COUNT($H8:O8)&gt;=Input!$Y$7,0,O8+O40+O72)</f>
        <v>0</v>
      </c>
      <c r="Q8" s="115">
        <f>IF(COUNT($H8:P8)&gt;=Input!$Y$7,0,P8+P40+P72)</f>
        <v>0</v>
      </c>
      <c r="R8" s="115"/>
      <c r="S8" s="9"/>
      <c r="T8" s="9"/>
      <c r="U8" s="9"/>
      <c r="V8" s="9"/>
      <c r="W8" s="9"/>
      <c r="X8" s="9"/>
      <c r="Y8" s="9"/>
      <c r="Z8" s="9"/>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row>
    <row r="9" spans="1:256" hidden="1" outlineLevel="1">
      <c r="A9" s="9"/>
      <c r="B9" s="9"/>
      <c r="C9" s="44"/>
      <c r="D9" s="271" t="str">
        <f>Asset2</f>
        <v>Distribution system assets</v>
      </c>
      <c r="E9" s="9"/>
      <c r="F9" s="9"/>
      <c r="G9" s="204">
        <f>'Actual RAB roll forward'!G471</f>
        <v>1560.2007896223902</v>
      </c>
      <c r="H9" s="115">
        <f t="shared" ref="H9:L21" si="2">G9+G41+G73+G105+G137+G169+G201</f>
        <v>1751.8018003116877</v>
      </c>
      <c r="I9" s="115">
        <f t="shared" si="2"/>
        <v>1932.3104445268239</v>
      </c>
      <c r="J9" s="115">
        <f t="shared" si="2"/>
        <v>2147.2896410684702</v>
      </c>
      <c r="K9" s="115">
        <f t="shared" si="2"/>
        <v>2368.6596044689627</v>
      </c>
      <c r="L9" s="115">
        <f t="shared" si="2"/>
        <v>2633.8659916484798</v>
      </c>
      <c r="M9" s="115">
        <f>IF(COUNT($H9:L9)&gt;=Input!$Y$7,0,L9+L41+L73)</f>
        <v>0</v>
      </c>
      <c r="N9" s="115">
        <f>IF(COUNT($H9:M9)&gt;=Input!$Y$7,0,M9+M41+M73)</f>
        <v>0</v>
      </c>
      <c r="O9" s="115">
        <f>IF(COUNT($H9:N9)&gt;=Input!$Y$7,0,N9+N41+N73)</f>
        <v>0</v>
      </c>
      <c r="P9" s="115">
        <f>IF(COUNT($H9:O9)&gt;=Input!$Y$7,0,O9+O41+O73)</f>
        <v>0</v>
      </c>
      <c r="Q9" s="115">
        <f>IF(COUNT($H9:P9)&gt;=Input!$Y$7,0,P9+P41+P73)</f>
        <v>0</v>
      </c>
      <c r="R9" s="115"/>
      <c r="S9" s="104"/>
      <c r="T9" s="104"/>
      <c r="U9" s="104"/>
      <c r="V9" s="104"/>
      <c r="W9" s="104"/>
      <c r="X9" s="104"/>
      <c r="Y9" s="104"/>
      <c r="Z9" s="104"/>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4"/>
      <c r="BL9" s="224"/>
    </row>
    <row r="10" spans="1:256" hidden="1" outlineLevel="1">
      <c r="A10" s="9"/>
      <c r="B10" s="9"/>
      <c r="C10" s="44"/>
      <c r="D10" s="271" t="str">
        <f>Asset3</f>
        <v>Standard metering</v>
      </c>
      <c r="E10" s="9"/>
      <c r="F10" s="9"/>
      <c r="G10" s="204">
        <f>'Actual RAB roll forward'!G472</f>
        <v>14.291879766545669</v>
      </c>
      <c r="H10" s="115">
        <f t="shared" si="2"/>
        <v>15.790380770985777</v>
      </c>
      <c r="I10" s="115">
        <f t="shared" si="2"/>
        <v>-1.7763568394002505E-15</v>
      </c>
      <c r="J10" s="115">
        <f t="shared" si="2"/>
        <v>-1.7763568394002505E-15</v>
      </c>
      <c r="K10" s="115">
        <f t="shared" si="2"/>
        <v>-1.7763568394002505E-15</v>
      </c>
      <c r="L10" s="115">
        <f t="shared" si="2"/>
        <v>-1.7763568394002505E-15</v>
      </c>
      <c r="M10" s="115">
        <f>IF(COUNT($H10:L10)&gt;=Input!$Y$7,0,L10+L42+L74)</f>
        <v>0</v>
      </c>
      <c r="N10" s="115">
        <f>IF(COUNT($H10:M10)&gt;=Input!$Y$7,0,M10+M42+M74)</f>
        <v>0</v>
      </c>
      <c r="O10" s="115">
        <f>IF(COUNT($H10:N10)&gt;=Input!$Y$7,0,N10+N42+N74)</f>
        <v>0</v>
      </c>
      <c r="P10" s="115">
        <f>IF(COUNT($H10:O10)&gt;=Input!$Y$7,0,O10+O42+O74)</f>
        <v>0</v>
      </c>
      <c r="Q10" s="115">
        <f>IF(COUNT($H10:P10)&gt;=Input!$Y$7,0,P10+P42+P74)</f>
        <v>0</v>
      </c>
      <c r="R10" s="115"/>
      <c r="S10" s="104"/>
      <c r="T10" s="104"/>
      <c r="U10" s="104"/>
      <c r="V10" s="104"/>
      <c r="W10" s="104"/>
      <c r="X10" s="104"/>
      <c r="Y10" s="104"/>
      <c r="Z10" s="104"/>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4"/>
      <c r="BL10" s="224"/>
    </row>
    <row r="11" spans="1:256" hidden="1" outlineLevel="1">
      <c r="A11" s="9"/>
      <c r="B11" s="9"/>
      <c r="C11" s="44"/>
      <c r="D11" s="271" t="str">
        <f>Asset4</f>
        <v>Public lighting</v>
      </c>
      <c r="E11" s="9"/>
      <c r="F11" s="9"/>
      <c r="G11" s="204">
        <f>'Actual RAB roll forward'!G473</f>
        <v>6.9278972498934959</v>
      </c>
      <c r="H11" s="115">
        <f t="shared" si="2"/>
        <v>0.38897486718899543</v>
      </c>
      <c r="I11" s="115">
        <f t="shared" si="2"/>
        <v>0</v>
      </c>
      <c r="J11" s="115">
        <f t="shared" si="2"/>
        <v>0</v>
      </c>
      <c r="K11" s="115">
        <f t="shared" si="2"/>
        <v>0</v>
      </c>
      <c r="L11" s="115">
        <f t="shared" si="2"/>
        <v>0</v>
      </c>
      <c r="M11" s="115">
        <f>IF(COUNT($H11:L11)&gt;=Input!$Y$7,0,L11+L43+L75)</f>
        <v>0</v>
      </c>
      <c r="N11" s="115">
        <f>IF(COUNT($H11:M11)&gt;=Input!$Y$7,0,M11+M43+M75)</f>
        <v>0</v>
      </c>
      <c r="O11" s="115">
        <f>IF(COUNT($H11:N11)&gt;=Input!$Y$7,0,N11+N43+N75)</f>
        <v>0</v>
      </c>
      <c r="P11" s="115">
        <f>IF(COUNT($H11:O11)&gt;=Input!$Y$7,0,O11+O43+O75)</f>
        <v>0</v>
      </c>
      <c r="Q11" s="115">
        <f>IF(COUNT($H11:P11)&gt;=Input!$Y$7,0,P11+P43+P75)</f>
        <v>0</v>
      </c>
      <c r="R11" s="115"/>
      <c r="S11" s="104"/>
      <c r="T11" s="104"/>
      <c r="U11" s="104"/>
      <c r="V11" s="104"/>
      <c r="W11" s="104"/>
      <c r="X11" s="104"/>
      <c r="Y11" s="104"/>
      <c r="Z11" s="104"/>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4"/>
      <c r="BL11" s="224"/>
    </row>
    <row r="12" spans="1:256" hidden="1" outlineLevel="1">
      <c r="A12" s="9"/>
      <c r="B12" s="9"/>
      <c r="C12" s="44"/>
      <c r="D12" s="271" t="str">
        <f>Asset5</f>
        <v>SCADA/Network control</v>
      </c>
      <c r="E12" s="9"/>
      <c r="F12" s="9"/>
      <c r="G12" s="204">
        <f>'Actual RAB roll forward'!G474</f>
        <v>5.9976894044068878</v>
      </c>
      <c r="H12" s="334">
        <f t="shared" si="2"/>
        <v>1.6653345369377348E-15</v>
      </c>
      <c r="I12" s="115">
        <f t="shared" si="2"/>
        <v>1.3307440827500225</v>
      </c>
      <c r="J12" s="115">
        <f t="shared" si="2"/>
        <v>7.3256044531991531</v>
      </c>
      <c r="K12" s="115">
        <f t="shared" si="2"/>
        <v>7.9328362090936526</v>
      </c>
      <c r="L12" s="115">
        <f t="shared" si="2"/>
        <v>6.8785496287485728</v>
      </c>
      <c r="M12" s="115">
        <f>IF(COUNT($H12:L12)&gt;=Input!$Y$7,0,L12+L44+L76)</f>
        <v>0</v>
      </c>
      <c r="N12" s="115">
        <f>IF(COUNT($H12:M12)&gt;=Input!$Y$7,0,M12+M44+M76)</f>
        <v>0</v>
      </c>
      <c r="O12" s="115">
        <f>IF(COUNT($H12:N12)&gt;=Input!$Y$7,0,N12+N44+N76)</f>
        <v>0</v>
      </c>
      <c r="P12" s="115">
        <f>IF(COUNT($H12:O12)&gt;=Input!$Y$7,0,O12+O44+O76)</f>
        <v>0</v>
      </c>
      <c r="Q12" s="115">
        <f>IF(COUNT($H12:P12)&gt;=Input!$Y$7,0,P12+P44+P76)</f>
        <v>0</v>
      </c>
      <c r="R12" s="115"/>
      <c r="S12" s="104"/>
      <c r="T12" s="104"/>
      <c r="U12" s="104"/>
      <c r="V12" s="104"/>
      <c r="W12" s="104"/>
      <c r="X12" s="104"/>
      <c r="Y12" s="104"/>
      <c r="Z12" s="104"/>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4"/>
      <c r="BL12" s="224"/>
    </row>
    <row r="13" spans="1:256" hidden="1" outlineLevel="1">
      <c r="A13" s="9"/>
      <c r="B13" s="9"/>
      <c r="C13" s="44"/>
      <c r="D13" s="271" t="str">
        <f>Asset6</f>
        <v>Non-network general assets - IT</v>
      </c>
      <c r="E13" s="9"/>
      <c r="F13" s="9"/>
      <c r="G13" s="204">
        <f>'Actual RAB roll forward'!G475</f>
        <v>47.805445601604404</v>
      </c>
      <c r="H13" s="334">
        <f t="shared" si="2"/>
        <v>89.319417816228679</v>
      </c>
      <c r="I13" s="115">
        <f t="shared" si="2"/>
        <v>114.15739811789442</v>
      </c>
      <c r="J13" s="115">
        <f t="shared" si="2"/>
        <v>128.48028010642349</v>
      </c>
      <c r="K13" s="115">
        <f t="shared" si="2"/>
        <v>135.38391359049615</v>
      </c>
      <c r="L13" s="115">
        <f t="shared" si="2"/>
        <v>128.44507791683236</v>
      </c>
      <c r="M13" s="115">
        <f>IF(COUNT($H13:L13)&gt;=Input!$Y$7,0,L13+L45+L77)</f>
        <v>0</v>
      </c>
      <c r="N13" s="115">
        <f>IF(COUNT($H13:M13)&gt;=Input!$Y$7,0,M13+M45+M77)</f>
        <v>0</v>
      </c>
      <c r="O13" s="115">
        <f>IF(COUNT($H13:N13)&gt;=Input!$Y$7,0,N13+N45+N77)</f>
        <v>0</v>
      </c>
      <c r="P13" s="115">
        <f>IF(COUNT($H13:O13)&gt;=Input!$Y$7,0,O13+O45+O77)</f>
        <v>0</v>
      </c>
      <c r="Q13" s="115">
        <f>IF(COUNT($H13:P13)&gt;=Input!$Y$7,0,P13+P45+P77)</f>
        <v>0</v>
      </c>
      <c r="R13" s="115"/>
      <c r="S13" s="104"/>
      <c r="T13" s="104"/>
      <c r="U13" s="104"/>
      <c r="V13" s="104"/>
      <c r="W13" s="104"/>
      <c r="X13" s="104"/>
      <c r="Y13" s="104"/>
      <c r="Z13" s="104"/>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4"/>
      <c r="BL13" s="224"/>
    </row>
    <row r="14" spans="1:256" hidden="1" outlineLevel="1">
      <c r="A14" s="9"/>
      <c r="B14" s="9"/>
      <c r="C14" s="44"/>
      <c r="D14" s="271" t="str">
        <f>Asset7</f>
        <v>Non-network general assets - Other</v>
      </c>
      <c r="E14" s="9"/>
      <c r="F14" s="9"/>
      <c r="G14" s="204">
        <f>'Actual RAB roll forward'!G476</f>
        <v>23.676070284710153</v>
      </c>
      <c r="H14" s="115">
        <f t="shared" si="2"/>
        <v>34.275644401485252</v>
      </c>
      <c r="I14" s="115">
        <f t="shared" si="2"/>
        <v>5.1531960739867984</v>
      </c>
      <c r="J14" s="115">
        <f t="shared" si="2"/>
        <v>8.1542335939644737</v>
      </c>
      <c r="K14" s="115">
        <f t="shared" si="2"/>
        <v>12.17382864237941</v>
      </c>
      <c r="L14" s="115">
        <f t="shared" si="2"/>
        <v>13.956729909764542</v>
      </c>
      <c r="M14" s="115">
        <f>IF(COUNT($H14:L14)&gt;=Input!$Y$7,0,L14+L46+L78)</f>
        <v>0</v>
      </c>
      <c r="N14" s="115">
        <f>IF(COUNT($H14:M14)&gt;=Input!$Y$7,0,M14+M46+M78)</f>
        <v>0</v>
      </c>
      <c r="O14" s="115">
        <f>IF(COUNT($H14:N14)&gt;=Input!$Y$7,0,N14+N46+N78)</f>
        <v>0</v>
      </c>
      <c r="P14" s="115">
        <f>IF(COUNT($H14:O14)&gt;=Input!$Y$7,0,O14+O46+O78)</f>
        <v>0</v>
      </c>
      <c r="Q14" s="115">
        <f>IF(COUNT($H14:P14)&gt;=Input!$Y$7,0,P14+P46+P78)</f>
        <v>0</v>
      </c>
      <c r="R14" s="115"/>
      <c r="S14" s="104"/>
      <c r="T14" s="104"/>
      <c r="U14" s="104"/>
      <c r="V14" s="104"/>
      <c r="W14" s="104"/>
      <c r="X14" s="104"/>
      <c r="Y14" s="104"/>
      <c r="Z14" s="104"/>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4"/>
      <c r="BL14" s="224"/>
    </row>
    <row r="15" spans="1:256" hidden="1" outlineLevel="1">
      <c r="A15" s="9"/>
      <c r="B15" s="9"/>
      <c r="C15" s="44"/>
      <c r="D15" s="271" t="str">
        <f>Asset8</f>
        <v>Equity Raising Costs</v>
      </c>
      <c r="E15" s="9"/>
      <c r="F15" s="9"/>
      <c r="G15" s="204">
        <f>'Actual RAB roll forward'!G477</f>
        <v>0</v>
      </c>
      <c r="H15" s="115">
        <f t="shared" si="2"/>
        <v>0</v>
      </c>
      <c r="I15" s="115">
        <f t="shared" si="2"/>
        <v>1.5553441667922454</v>
      </c>
      <c r="J15" s="115">
        <f t="shared" si="2"/>
        <v>1.5754463655724007</v>
      </c>
      <c r="K15" s="115">
        <f t="shared" si="2"/>
        <v>1.5716796789597247</v>
      </c>
      <c r="L15" s="115">
        <f t="shared" si="2"/>
        <v>1.5695427875524555</v>
      </c>
      <c r="M15" s="115">
        <f>IF(COUNT($H15:L15)&gt;=Input!$Y$7,0,L15+L47+L79)</f>
        <v>0</v>
      </c>
      <c r="N15" s="115">
        <f>IF(COUNT($H15:M15)&gt;=Input!$Y$7,0,M15+M47+M79)</f>
        <v>0</v>
      </c>
      <c r="O15" s="115">
        <f>IF(COUNT($H15:N15)&gt;=Input!$Y$7,0,N15+N47+N79)</f>
        <v>0</v>
      </c>
      <c r="P15" s="115">
        <f>IF(COUNT($H15:O15)&gt;=Input!$Y$7,0,O15+O47+O79)</f>
        <v>0</v>
      </c>
      <c r="Q15" s="115">
        <f>IF(COUNT($H15:P15)&gt;=Input!$Y$7,0,P15+P47+P79)</f>
        <v>0</v>
      </c>
      <c r="R15" s="115"/>
      <c r="S15" s="104"/>
      <c r="T15" s="104"/>
      <c r="U15" s="104"/>
      <c r="V15" s="104"/>
      <c r="W15" s="104"/>
      <c r="X15" s="104"/>
      <c r="Y15" s="104"/>
      <c r="Z15" s="104"/>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4"/>
      <c r="BL15" s="224"/>
    </row>
    <row r="16" spans="1:256" hidden="1" outlineLevel="1">
      <c r="A16" s="9"/>
      <c r="B16" s="9"/>
      <c r="C16" s="44"/>
      <c r="D16" s="271">
        <f>Asset9</f>
        <v>0</v>
      </c>
      <c r="E16" s="9"/>
      <c r="F16" s="9"/>
      <c r="G16" s="204">
        <f>'Actual RAB roll forward'!G478</f>
        <v>0</v>
      </c>
      <c r="H16" s="115">
        <f t="shared" si="2"/>
        <v>0</v>
      </c>
      <c r="I16" s="115">
        <f t="shared" si="2"/>
        <v>0</v>
      </c>
      <c r="J16" s="115">
        <f t="shared" si="2"/>
        <v>0</v>
      </c>
      <c r="K16" s="115">
        <f t="shared" si="2"/>
        <v>0</v>
      </c>
      <c r="L16" s="115">
        <f t="shared" si="2"/>
        <v>0</v>
      </c>
      <c r="M16" s="115">
        <f>IF(COUNT($H16:L16)&gt;=Input!$Y$7,0,L16+L48+L80)</f>
        <v>0</v>
      </c>
      <c r="N16" s="115">
        <f>IF(COUNT($H16:M16)&gt;=Input!$Y$7,0,M16+M48+M80)</f>
        <v>0</v>
      </c>
      <c r="O16" s="115">
        <f>IF(COUNT($H16:N16)&gt;=Input!$Y$7,0,N16+N48+N80)</f>
        <v>0</v>
      </c>
      <c r="P16" s="115">
        <f>IF(COUNT($H16:O16)&gt;=Input!$Y$7,0,O16+O48+O80)</f>
        <v>0</v>
      </c>
      <c r="Q16" s="115">
        <f>IF(COUNT($H16:P16)&gt;=Input!$Y$7,0,P16+P48+P80)</f>
        <v>0</v>
      </c>
      <c r="R16" s="115"/>
      <c r="S16" s="104"/>
      <c r="T16" s="104"/>
      <c r="U16" s="104"/>
      <c r="V16" s="104"/>
      <c r="W16" s="104"/>
      <c r="X16" s="104"/>
      <c r="Y16" s="104"/>
      <c r="Z16" s="104"/>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4"/>
      <c r="BL16" s="224"/>
    </row>
    <row r="17" spans="1:64" hidden="1" outlineLevel="1">
      <c r="A17" s="9"/>
      <c r="B17" s="9"/>
      <c r="C17" s="44"/>
      <c r="D17" s="271">
        <f>Asset10</f>
        <v>0</v>
      </c>
      <c r="E17" s="9"/>
      <c r="F17" s="9"/>
      <c r="G17" s="204">
        <f>'Actual RAB roll forward'!G479</f>
        <v>0</v>
      </c>
      <c r="H17" s="115">
        <f t="shared" si="2"/>
        <v>0</v>
      </c>
      <c r="I17" s="115">
        <f t="shared" si="2"/>
        <v>0</v>
      </c>
      <c r="J17" s="115">
        <f t="shared" si="2"/>
        <v>0</v>
      </c>
      <c r="K17" s="115">
        <f t="shared" si="2"/>
        <v>0</v>
      </c>
      <c r="L17" s="115">
        <f t="shared" si="2"/>
        <v>0</v>
      </c>
      <c r="M17" s="115">
        <f>IF(COUNT($H17:L17)&gt;=Input!$Y$7,0,L17+L49+L81)</f>
        <v>0</v>
      </c>
      <c r="N17" s="115">
        <f>IF(COUNT($H17:M17)&gt;=Input!$Y$7,0,M17+M49+M81)</f>
        <v>0</v>
      </c>
      <c r="O17" s="115">
        <f>IF(COUNT($H17:N17)&gt;=Input!$Y$7,0,N17+N49+N81)</f>
        <v>0</v>
      </c>
      <c r="P17" s="115">
        <f>IF(COUNT($H17:O17)&gt;=Input!$Y$7,0,O17+O49+O81)</f>
        <v>0</v>
      </c>
      <c r="Q17" s="115">
        <f>IF(COUNT($H17:P17)&gt;=Input!$Y$7,0,P17+P49+P81)</f>
        <v>0</v>
      </c>
      <c r="R17" s="115"/>
      <c r="S17" s="104"/>
      <c r="T17" s="104"/>
      <c r="U17" s="104"/>
      <c r="V17" s="104"/>
      <c r="W17" s="104"/>
      <c r="X17" s="104"/>
      <c r="Y17" s="104"/>
      <c r="Z17" s="104"/>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4"/>
      <c r="BL17" s="224"/>
    </row>
    <row r="18" spans="1:64" hidden="1" outlineLevel="1">
      <c r="A18" s="9"/>
      <c r="B18" s="9"/>
      <c r="C18" s="44"/>
      <c r="D18" s="271">
        <f>Asset11</f>
        <v>0</v>
      </c>
      <c r="E18" s="9"/>
      <c r="F18" s="9"/>
      <c r="G18" s="204">
        <f>'Actual RAB roll forward'!G480</f>
        <v>0</v>
      </c>
      <c r="H18" s="115">
        <f t="shared" si="2"/>
        <v>0</v>
      </c>
      <c r="I18" s="115">
        <f t="shared" si="2"/>
        <v>0</v>
      </c>
      <c r="J18" s="115">
        <f t="shared" si="2"/>
        <v>0</v>
      </c>
      <c r="K18" s="115">
        <f t="shared" si="2"/>
        <v>0</v>
      </c>
      <c r="L18" s="115">
        <f t="shared" si="2"/>
        <v>0</v>
      </c>
      <c r="M18" s="115">
        <f>IF(COUNT($H18:L18)&gt;=Input!$Y$7,0,L18+L50+L82)</f>
        <v>0</v>
      </c>
      <c r="N18" s="115">
        <f>IF(COUNT($H18:M18)&gt;=Input!$Y$7,0,M18+M50+M82)</f>
        <v>0</v>
      </c>
      <c r="O18" s="115">
        <f>IF(COUNT($H18:N18)&gt;=Input!$Y$7,0,N18+N50+N82)</f>
        <v>0</v>
      </c>
      <c r="P18" s="115">
        <f>IF(COUNT($H18:O18)&gt;=Input!$Y$7,0,O18+O50+O82)</f>
        <v>0</v>
      </c>
      <c r="Q18" s="115">
        <f>IF(COUNT($H18:P18)&gt;=Input!$Y$7,0,P18+P50+P82)</f>
        <v>0</v>
      </c>
      <c r="R18" s="115"/>
      <c r="S18" s="104"/>
      <c r="T18" s="104"/>
      <c r="U18" s="104"/>
      <c r="V18" s="104"/>
      <c r="W18" s="104"/>
      <c r="X18" s="104"/>
      <c r="Y18" s="104"/>
      <c r="Z18" s="104"/>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4"/>
      <c r="BL18" s="224"/>
    </row>
    <row r="19" spans="1:64" hidden="1" outlineLevel="1">
      <c r="A19" s="9"/>
      <c r="B19" s="9"/>
      <c r="C19" s="44"/>
      <c r="D19" s="271">
        <f>Asset12</f>
        <v>0</v>
      </c>
      <c r="E19" s="9"/>
      <c r="F19" s="9"/>
      <c r="G19" s="204">
        <f>'Actual RAB roll forward'!G481</f>
        <v>0</v>
      </c>
      <c r="H19" s="115">
        <f t="shared" si="2"/>
        <v>0</v>
      </c>
      <c r="I19" s="115">
        <f t="shared" si="2"/>
        <v>0</v>
      </c>
      <c r="J19" s="115">
        <f t="shared" si="2"/>
        <v>0</v>
      </c>
      <c r="K19" s="115">
        <f t="shared" si="2"/>
        <v>0</v>
      </c>
      <c r="L19" s="115">
        <f t="shared" si="2"/>
        <v>0</v>
      </c>
      <c r="M19" s="115">
        <f>IF(COUNT($H19:L19)&gt;=Input!$Y$7,0,L19+L51+L83)</f>
        <v>0</v>
      </c>
      <c r="N19" s="115">
        <f>IF(COUNT($H19:M19)&gt;=Input!$Y$7,0,M19+M51+M83)</f>
        <v>0</v>
      </c>
      <c r="O19" s="115">
        <f>IF(COUNT($H19:N19)&gt;=Input!$Y$7,0,N19+N51+N83)</f>
        <v>0</v>
      </c>
      <c r="P19" s="115">
        <f>IF(COUNT($H19:O19)&gt;=Input!$Y$7,0,O19+O51+O83)</f>
        <v>0</v>
      </c>
      <c r="Q19" s="115">
        <f>IF(COUNT($H19:P19)&gt;=Input!$Y$7,0,P19+P51+P83)</f>
        <v>0</v>
      </c>
      <c r="R19" s="115"/>
      <c r="S19" s="104"/>
      <c r="T19" s="104"/>
      <c r="U19" s="104"/>
      <c r="V19" s="104"/>
      <c r="W19" s="104"/>
      <c r="X19" s="104"/>
      <c r="Y19" s="104"/>
      <c r="Z19" s="104"/>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4"/>
      <c r="BL19" s="224"/>
    </row>
    <row r="20" spans="1:64" hidden="1" outlineLevel="1">
      <c r="A20" s="9"/>
      <c r="B20" s="9"/>
      <c r="C20" s="44"/>
      <c r="D20" s="271">
        <f>Asset13</f>
        <v>0</v>
      </c>
      <c r="E20" s="9"/>
      <c r="F20" s="9"/>
      <c r="G20" s="204">
        <f>'Actual RAB roll forward'!G482</f>
        <v>0</v>
      </c>
      <c r="H20" s="115">
        <f t="shared" si="2"/>
        <v>0</v>
      </c>
      <c r="I20" s="115">
        <f t="shared" si="2"/>
        <v>0</v>
      </c>
      <c r="J20" s="115">
        <f t="shared" si="2"/>
        <v>0</v>
      </c>
      <c r="K20" s="115">
        <f t="shared" si="2"/>
        <v>0</v>
      </c>
      <c r="L20" s="115">
        <f t="shared" si="2"/>
        <v>0</v>
      </c>
      <c r="M20" s="115">
        <f>IF(COUNT($H20:L20)&gt;=Input!$Y$7,0,L20+L52+L84)</f>
        <v>0</v>
      </c>
      <c r="N20" s="115">
        <f>IF(COUNT($H20:M20)&gt;=Input!$Y$7,0,M20+M52+M84)</f>
        <v>0</v>
      </c>
      <c r="O20" s="115">
        <f>IF(COUNT($H20:N20)&gt;=Input!$Y$7,0,N20+N52+N84)</f>
        <v>0</v>
      </c>
      <c r="P20" s="115">
        <f>IF(COUNT($H20:O20)&gt;=Input!$Y$7,0,O20+O52+O84)</f>
        <v>0</v>
      </c>
      <c r="Q20" s="115">
        <f>IF(COUNT($H20:P20)&gt;=Input!$Y$7,0,P20+P52+P84)</f>
        <v>0</v>
      </c>
      <c r="R20" s="115"/>
      <c r="S20" s="104"/>
      <c r="T20" s="104"/>
      <c r="U20" s="104"/>
      <c r="V20" s="104"/>
      <c r="W20" s="104"/>
      <c r="X20" s="104"/>
      <c r="Y20" s="104"/>
      <c r="Z20" s="104"/>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4"/>
      <c r="BL20" s="224"/>
    </row>
    <row r="21" spans="1:64" hidden="1" outlineLevel="1">
      <c r="A21" s="9"/>
      <c r="B21" s="9"/>
      <c r="C21" s="44"/>
      <c r="D21" s="271">
        <f>Asset14</f>
        <v>0</v>
      </c>
      <c r="E21" s="9"/>
      <c r="F21" s="9"/>
      <c r="G21" s="204">
        <f>'Actual RAB roll forward'!G483</f>
        <v>0</v>
      </c>
      <c r="H21" s="115">
        <f t="shared" si="2"/>
        <v>0</v>
      </c>
      <c r="I21" s="115">
        <f t="shared" si="2"/>
        <v>0</v>
      </c>
      <c r="J21" s="115">
        <f t="shared" si="2"/>
        <v>0</v>
      </c>
      <c r="K21" s="115">
        <f t="shared" si="2"/>
        <v>0</v>
      </c>
      <c r="L21" s="115">
        <f t="shared" si="2"/>
        <v>0</v>
      </c>
      <c r="M21" s="115">
        <f>IF(COUNT($H21:L21)&gt;=Input!$Y$7,0,L21+L53+L85)</f>
        <v>0</v>
      </c>
      <c r="N21" s="115">
        <f>IF(COUNT($H21:M21)&gt;=Input!$Y$7,0,M21+M53+M85)</f>
        <v>0</v>
      </c>
      <c r="O21" s="115">
        <f>IF(COUNT($H21:N21)&gt;=Input!$Y$7,0,N21+N53+N85)</f>
        <v>0</v>
      </c>
      <c r="P21" s="115">
        <f>IF(COUNT($H21:O21)&gt;=Input!$Y$7,0,O21+O53+O85)</f>
        <v>0</v>
      </c>
      <c r="Q21" s="115">
        <f>IF(COUNT($H21:P21)&gt;=Input!$Y$7,0,P21+P53+P85)</f>
        <v>0</v>
      </c>
      <c r="R21" s="115"/>
      <c r="S21" s="104"/>
      <c r="T21" s="104"/>
      <c r="U21" s="104"/>
      <c r="V21" s="104"/>
      <c r="W21" s="104"/>
      <c r="X21" s="104"/>
      <c r="Y21" s="104"/>
      <c r="Z21" s="104"/>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4"/>
      <c r="BL21" s="224"/>
    </row>
    <row r="22" spans="1:64" hidden="1" outlineLevel="1">
      <c r="A22" s="9"/>
      <c r="B22" s="9"/>
      <c r="C22" s="44"/>
      <c r="D22" s="271">
        <f>Asset15</f>
        <v>0</v>
      </c>
      <c r="E22" s="9"/>
      <c r="F22" s="9"/>
      <c r="G22" s="204">
        <f>'Actual RAB roll forward'!G484</f>
        <v>0</v>
      </c>
      <c r="H22" s="115">
        <f t="shared" ref="H22:H37" si="3">G22+G54+G86+G118+G150+G182+G214</f>
        <v>0</v>
      </c>
      <c r="I22" s="115">
        <f t="shared" ref="I22:I37" si="4">H22+H54+H86+H118+H150+H182+H214</f>
        <v>0</v>
      </c>
      <c r="J22" s="115">
        <f t="shared" ref="J22:J37" si="5">I22+I54+I86+I118+I150+I182+I214</f>
        <v>0</v>
      </c>
      <c r="K22" s="115">
        <f t="shared" ref="K22:K37" si="6">J22+J54+J86+J118+J150+J182+J214</f>
        <v>0</v>
      </c>
      <c r="L22" s="115">
        <f t="shared" ref="L22:L37" si="7">K22+K54+K86+K118+K150+K182+K214</f>
        <v>0</v>
      </c>
      <c r="M22" s="115">
        <f>IF(COUNT($H22:L22)&gt;=Input!$Y$7,0,L22+L54+L86)</f>
        <v>0</v>
      </c>
      <c r="N22" s="115">
        <f>IF(COUNT($H22:M22)&gt;=Input!$Y$7,0,M22+M54+M86)</f>
        <v>0</v>
      </c>
      <c r="O22" s="115">
        <f>IF(COUNT($H22:N22)&gt;=Input!$Y$7,0,N22+N54+N86)</f>
        <v>0</v>
      </c>
      <c r="P22" s="115">
        <f>IF(COUNT($H22:O22)&gt;=Input!$Y$7,0,O22+O54+O86)</f>
        <v>0</v>
      </c>
      <c r="Q22" s="115">
        <f>IF(COUNT($H22:P22)&gt;=Input!$Y$7,0,P22+P54+P86)</f>
        <v>0</v>
      </c>
      <c r="R22" s="115"/>
      <c r="S22" s="104"/>
      <c r="T22" s="104"/>
      <c r="U22" s="104"/>
      <c r="V22" s="104"/>
      <c r="W22" s="104"/>
      <c r="X22" s="104"/>
      <c r="Y22" s="104"/>
      <c r="Z22" s="104"/>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4"/>
      <c r="BL22" s="224"/>
    </row>
    <row r="23" spans="1:64" hidden="1" outlineLevel="1">
      <c r="A23" s="9"/>
      <c r="B23" s="9"/>
      <c r="C23" s="44"/>
      <c r="D23" s="271">
        <f>Asset16</f>
        <v>0</v>
      </c>
      <c r="E23" s="9"/>
      <c r="F23" s="9"/>
      <c r="G23" s="204">
        <f>'Actual RAB roll forward'!G485</f>
        <v>0</v>
      </c>
      <c r="H23" s="115">
        <f t="shared" si="3"/>
        <v>0</v>
      </c>
      <c r="I23" s="115">
        <f t="shared" si="4"/>
        <v>0</v>
      </c>
      <c r="J23" s="115">
        <f t="shared" si="5"/>
        <v>0</v>
      </c>
      <c r="K23" s="115">
        <f t="shared" si="6"/>
        <v>0</v>
      </c>
      <c r="L23" s="115">
        <f t="shared" si="7"/>
        <v>0</v>
      </c>
      <c r="M23" s="115">
        <f>IF(COUNT($H23:L23)&gt;=Input!$Y$7,0,L23+L55+L87)</f>
        <v>0</v>
      </c>
      <c r="N23" s="115">
        <f>IF(COUNT($H23:M23)&gt;=Input!$Y$7,0,M23+M55+M87)</f>
        <v>0</v>
      </c>
      <c r="O23" s="115">
        <f>IF(COUNT($H23:N23)&gt;=Input!$Y$7,0,N23+N55+N87)</f>
        <v>0</v>
      </c>
      <c r="P23" s="115">
        <f>IF(COUNT($H23:O23)&gt;=Input!$Y$7,0,O23+O55+O87)</f>
        <v>0</v>
      </c>
      <c r="Q23" s="115">
        <f>IF(COUNT($H23:P23)&gt;=Input!$Y$7,0,P23+P55+P87)</f>
        <v>0</v>
      </c>
      <c r="R23" s="115"/>
      <c r="S23" s="104"/>
      <c r="T23" s="104"/>
      <c r="U23" s="104"/>
      <c r="V23" s="104"/>
      <c r="W23" s="104"/>
      <c r="X23" s="104"/>
      <c r="Y23" s="104"/>
      <c r="Z23" s="104"/>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4"/>
      <c r="BL23" s="224"/>
    </row>
    <row r="24" spans="1:64" hidden="1" outlineLevel="1">
      <c r="A24" s="9"/>
      <c r="B24" s="9"/>
      <c r="C24" s="44"/>
      <c r="D24" s="271">
        <f>Asset17</f>
        <v>0</v>
      </c>
      <c r="E24" s="9"/>
      <c r="F24" s="9"/>
      <c r="G24" s="204">
        <f>'Actual RAB roll forward'!G486</f>
        <v>0</v>
      </c>
      <c r="H24" s="115">
        <f t="shared" si="3"/>
        <v>0</v>
      </c>
      <c r="I24" s="115">
        <f t="shared" si="4"/>
        <v>0</v>
      </c>
      <c r="J24" s="115">
        <f t="shared" si="5"/>
        <v>0</v>
      </c>
      <c r="K24" s="115">
        <f t="shared" si="6"/>
        <v>0</v>
      </c>
      <c r="L24" s="115">
        <f t="shared" si="7"/>
        <v>0</v>
      </c>
      <c r="M24" s="115">
        <f>IF(COUNT($H24:L24)&gt;=Input!$Y$7,0,L24+L56+L88)</f>
        <v>0</v>
      </c>
      <c r="N24" s="115">
        <f>IF(COUNT($H24:M24)&gt;=Input!$Y$7,0,M24+M56+M88)</f>
        <v>0</v>
      </c>
      <c r="O24" s="115">
        <f>IF(COUNT($H24:N24)&gt;=Input!$Y$7,0,N24+N56+N88)</f>
        <v>0</v>
      </c>
      <c r="P24" s="115">
        <f>IF(COUNT($H24:O24)&gt;=Input!$Y$7,0,O24+O56+O88)</f>
        <v>0</v>
      </c>
      <c r="Q24" s="115">
        <f>IF(COUNT($H24:P24)&gt;=Input!$Y$7,0,P24+P56+P88)</f>
        <v>0</v>
      </c>
      <c r="R24" s="115"/>
      <c r="S24" s="104"/>
      <c r="T24" s="104"/>
      <c r="U24" s="104"/>
      <c r="V24" s="104"/>
      <c r="W24" s="104"/>
      <c r="X24" s="104"/>
      <c r="Y24" s="104"/>
      <c r="Z24" s="104"/>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4"/>
      <c r="BL24" s="224"/>
    </row>
    <row r="25" spans="1:64" hidden="1" outlineLevel="1">
      <c r="A25" s="9"/>
      <c r="B25" s="9"/>
      <c r="C25" s="44"/>
      <c r="D25" s="271">
        <f>Asset18</f>
        <v>0</v>
      </c>
      <c r="E25" s="9"/>
      <c r="F25" s="9"/>
      <c r="G25" s="204">
        <f>'Actual RAB roll forward'!G487</f>
        <v>0</v>
      </c>
      <c r="H25" s="115">
        <f t="shared" si="3"/>
        <v>0</v>
      </c>
      <c r="I25" s="115">
        <f t="shared" si="4"/>
        <v>0</v>
      </c>
      <c r="J25" s="115">
        <f t="shared" si="5"/>
        <v>0</v>
      </c>
      <c r="K25" s="115">
        <f t="shared" si="6"/>
        <v>0</v>
      </c>
      <c r="L25" s="115">
        <f t="shared" si="7"/>
        <v>0</v>
      </c>
      <c r="M25" s="115">
        <f>IF(COUNT($H25:L25)&gt;=Input!$Y$7,0,L25+L57+L89)</f>
        <v>0</v>
      </c>
      <c r="N25" s="115">
        <f>IF(COUNT($H25:M25)&gt;=Input!$Y$7,0,M25+M57+M89)</f>
        <v>0</v>
      </c>
      <c r="O25" s="115">
        <f>IF(COUNT($H25:N25)&gt;=Input!$Y$7,0,N25+N57+N89)</f>
        <v>0</v>
      </c>
      <c r="P25" s="115">
        <f>IF(COUNT($H25:O25)&gt;=Input!$Y$7,0,O25+O57+O89)</f>
        <v>0</v>
      </c>
      <c r="Q25" s="115">
        <f>IF(COUNT($H25:P25)&gt;=Input!$Y$7,0,P25+P57+P89)</f>
        <v>0</v>
      </c>
      <c r="R25" s="115"/>
      <c r="S25" s="104"/>
      <c r="T25" s="104"/>
      <c r="U25" s="104"/>
      <c r="V25" s="104"/>
      <c r="W25" s="104"/>
      <c r="X25" s="104"/>
      <c r="Y25" s="104"/>
      <c r="Z25" s="104"/>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4"/>
      <c r="BL25" s="224"/>
    </row>
    <row r="26" spans="1:64" hidden="1" outlineLevel="1">
      <c r="A26" s="9"/>
      <c r="B26" s="9"/>
      <c r="C26" s="44"/>
      <c r="D26" s="271">
        <f>Asset19</f>
        <v>0</v>
      </c>
      <c r="E26" s="9"/>
      <c r="F26" s="9"/>
      <c r="G26" s="204">
        <f>'Actual RAB roll forward'!G488</f>
        <v>0</v>
      </c>
      <c r="H26" s="115">
        <f t="shared" si="3"/>
        <v>0</v>
      </c>
      <c r="I26" s="115">
        <f t="shared" si="4"/>
        <v>0</v>
      </c>
      <c r="J26" s="115">
        <f t="shared" si="5"/>
        <v>0</v>
      </c>
      <c r="K26" s="115">
        <f t="shared" si="6"/>
        <v>0</v>
      </c>
      <c r="L26" s="115">
        <f t="shared" si="7"/>
        <v>0</v>
      </c>
      <c r="M26" s="115">
        <f>IF(COUNT($H26:L26)&gt;=Input!$Y$7,0,L26+L58+L90)</f>
        <v>0</v>
      </c>
      <c r="N26" s="115">
        <f>IF(COUNT($H26:M26)&gt;=Input!$Y$7,0,M26+M58+M90)</f>
        <v>0</v>
      </c>
      <c r="O26" s="115">
        <f>IF(COUNT($H26:N26)&gt;=Input!$Y$7,0,N26+N58+N90)</f>
        <v>0</v>
      </c>
      <c r="P26" s="115">
        <f>IF(COUNT($H26:O26)&gt;=Input!$Y$7,0,O26+O58+O90)</f>
        <v>0</v>
      </c>
      <c r="Q26" s="115">
        <f>IF(COUNT($H26:P26)&gt;=Input!$Y$7,0,P26+P58+P90)</f>
        <v>0</v>
      </c>
      <c r="R26" s="115"/>
      <c r="S26" s="104"/>
      <c r="T26" s="104"/>
      <c r="U26" s="104"/>
      <c r="V26" s="104"/>
      <c r="W26" s="104"/>
      <c r="X26" s="104"/>
      <c r="Y26" s="104"/>
      <c r="Z26" s="104"/>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4"/>
      <c r="BL26" s="224"/>
    </row>
    <row r="27" spans="1:64" hidden="1" outlineLevel="1">
      <c r="A27" s="9"/>
      <c r="B27" s="9"/>
      <c r="C27" s="44"/>
      <c r="D27" s="271">
        <f>Asset20</f>
        <v>0</v>
      </c>
      <c r="E27" s="9"/>
      <c r="F27" s="9"/>
      <c r="G27" s="204">
        <f>'Actual RAB roll forward'!G489</f>
        <v>0</v>
      </c>
      <c r="H27" s="115">
        <f t="shared" si="3"/>
        <v>0</v>
      </c>
      <c r="I27" s="115">
        <f t="shared" si="4"/>
        <v>0</v>
      </c>
      <c r="J27" s="115">
        <f t="shared" si="5"/>
        <v>0</v>
      </c>
      <c r="K27" s="115">
        <f t="shared" si="6"/>
        <v>0</v>
      </c>
      <c r="L27" s="115">
        <f t="shared" si="7"/>
        <v>0</v>
      </c>
      <c r="M27" s="115">
        <f>IF(COUNT($H27:L27)&gt;=Input!$Y$7,0,L27+L59+L91)</f>
        <v>0</v>
      </c>
      <c r="N27" s="115">
        <f>IF(COUNT($H27:M27)&gt;=Input!$Y$7,0,M27+M59+M91)</f>
        <v>0</v>
      </c>
      <c r="O27" s="115">
        <f>IF(COUNT($H27:N27)&gt;=Input!$Y$7,0,N27+N59+N91)</f>
        <v>0</v>
      </c>
      <c r="P27" s="115">
        <f>IF(COUNT($H27:O27)&gt;=Input!$Y$7,0,O27+O59+O91)</f>
        <v>0</v>
      </c>
      <c r="Q27" s="115">
        <f>IF(COUNT($H27:P27)&gt;=Input!$Y$7,0,P27+P59+P91)</f>
        <v>0</v>
      </c>
      <c r="R27" s="115"/>
      <c r="S27" s="104"/>
      <c r="T27" s="104"/>
      <c r="U27" s="104"/>
      <c r="V27" s="104"/>
      <c r="W27" s="104"/>
      <c r="X27" s="104"/>
      <c r="Y27" s="104"/>
      <c r="Z27" s="104"/>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4"/>
      <c r="BL27" s="224"/>
    </row>
    <row r="28" spans="1:64" hidden="1" outlineLevel="1">
      <c r="A28" s="9"/>
      <c r="B28" s="9"/>
      <c r="C28" s="44"/>
      <c r="D28" s="271">
        <f>Asset21</f>
        <v>0</v>
      </c>
      <c r="E28" s="9"/>
      <c r="F28" s="9"/>
      <c r="G28" s="204">
        <f>'Actual RAB roll forward'!G490</f>
        <v>0</v>
      </c>
      <c r="H28" s="115">
        <f t="shared" si="3"/>
        <v>0</v>
      </c>
      <c r="I28" s="115">
        <f t="shared" si="4"/>
        <v>0</v>
      </c>
      <c r="J28" s="115">
        <f t="shared" si="5"/>
        <v>0</v>
      </c>
      <c r="K28" s="115">
        <f t="shared" si="6"/>
        <v>0</v>
      </c>
      <c r="L28" s="115">
        <f t="shared" si="7"/>
        <v>0</v>
      </c>
      <c r="M28" s="115">
        <f>IF(COUNT($H28:L28)&gt;=Input!$Y$7,0,L28+L60+L92)</f>
        <v>0</v>
      </c>
      <c r="N28" s="115">
        <f>IF(COUNT($H28:M28)&gt;=Input!$Y$7,0,M28+M60+M92)</f>
        <v>0</v>
      </c>
      <c r="O28" s="115">
        <f>IF(COUNT($H28:N28)&gt;=Input!$Y$7,0,N28+N60+N92)</f>
        <v>0</v>
      </c>
      <c r="P28" s="115">
        <f>IF(COUNT($H28:O28)&gt;=Input!$Y$7,0,O28+O60+O92)</f>
        <v>0</v>
      </c>
      <c r="Q28" s="115">
        <f>IF(COUNT($H28:P28)&gt;=Input!$Y$7,0,P28+P60+P92)</f>
        <v>0</v>
      </c>
      <c r="R28" s="115"/>
      <c r="S28" s="104"/>
      <c r="T28" s="104"/>
      <c r="U28" s="104"/>
      <c r="V28" s="104"/>
      <c r="W28" s="104"/>
      <c r="X28" s="104"/>
      <c r="Y28" s="104"/>
      <c r="Z28" s="104"/>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4"/>
      <c r="BL28" s="224"/>
    </row>
    <row r="29" spans="1:64" hidden="1" outlineLevel="1">
      <c r="A29" s="9"/>
      <c r="B29" s="9"/>
      <c r="C29" s="44"/>
      <c r="D29" s="271">
        <f>Asset22</f>
        <v>0</v>
      </c>
      <c r="E29" s="9"/>
      <c r="F29" s="9"/>
      <c r="G29" s="204">
        <f>'Actual RAB roll forward'!G491</f>
        <v>0</v>
      </c>
      <c r="H29" s="115">
        <f t="shared" si="3"/>
        <v>0</v>
      </c>
      <c r="I29" s="115">
        <f t="shared" si="4"/>
        <v>0</v>
      </c>
      <c r="J29" s="115">
        <f t="shared" si="5"/>
        <v>0</v>
      </c>
      <c r="K29" s="115">
        <f t="shared" si="6"/>
        <v>0</v>
      </c>
      <c r="L29" s="115">
        <f t="shared" si="7"/>
        <v>0</v>
      </c>
      <c r="M29" s="115">
        <f>IF(COUNT($H29:L29)&gt;=Input!$Y$7,0,L29+L61+L93)</f>
        <v>0</v>
      </c>
      <c r="N29" s="115">
        <f>IF(COUNT($H29:M29)&gt;=Input!$Y$7,0,M29+M61+M93)</f>
        <v>0</v>
      </c>
      <c r="O29" s="115">
        <f>IF(COUNT($H29:N29)&gt;=Input!$Y$7,0,N29+N61+N93)</f>
        <v>0</v>
      </c>
      <c r="P29" s="115">
        <f>IF(COUNT($H29:O29)&gt;=Input!$Y$7,0,O29+O61+O93)</f>
        <v>0</v>
      </c>
      <c r="Q29" s="115">
        <f>IF(COUNT($H29:P29)&gt;=Input!$Y$7,0,P29+P61+P93)</f>
        <v>0</v>
      </c>
      <c r="R29" s="115"/>
      <c r="S29" s="104"/>
      <c r="T29" s="104"/>
      <c r="U29" s="104"/>
      <c r="V29" s="104"/>
      <c r="W29" s="104"/>
      <c r="X29" s="104"/>
      <c r="Y29" s="104"/>
      <c r="Z29" s="104"/>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4"/>
      <c r="BL29" s="224"/>
    </row>
    <row r="30" spans="1:64" hidden="1" outlineLevel="1">
      <c r="A30" s="9"/>
      <c r="B30" s="9"/>
      <c r="C30" s="44"/>
      <c r="D30" s="271">
        <f>Asset23</f>
        <v>0</v>
      </c>
      <c r="E30" s="9"/>
      <c r="F30" s="9"/>
      <c r="G30" s="204">
        <f>'Actual RAB roll forward'!G492</f>
        <v>0</v>
      </c>
      <c r="H30" s="115">
        <f t="shared" si="3"/>
        <v>0</v>
      </c>
      <c r="I30" s="115">
        <f t="shared" si="4"/>
        <v>0</v>
      </c>
      <c r="J30" s="115">
        <f t="shared" si="5"/>
        <v>0</v>
      </c>
      <c r="K30" s="115">
        <f t="shared" si="6"/>
        <v>0</v>
      </c>
      <c r="L30" s="115">
        <f t="shared" si="7"/>
        <v>0</v>
      </c>
      <c r="M30" s="115">
        <f>IF(COUNT($H30:L30)&gt;=Input!$Y$7,0,L30+L62+L94)</f>
        <v>0</v>
      </c>
      <c r="N30" s="115">
        <f>IF(COUNT($H30:M30)&gt;=Input!$Y$7,0,M30+M62+M94)</f>
        <v>0</v>
      </c>
      <c r="O30" s="115">
        <f>IF(COUNT($H30:N30)&gt;=Input!$Y$7,0,N30+N62+N94)</f>
        <v>0</v>
      </c>
      <c r="P30" s="115">
        <f>IF(COUNT($H30:O30)&gt;=Input!$Y$7,0,O30+O62+O94)</f>
        <v>0</v>
      </c>
      <c r="Q30" s="115">
        <f>IF(COUNT($H30:P30)&gt;=Input!$Y$7,0,P30+P62+P94)</f>
        <v>0</v>
      </c>
      <c r="R30" s="115"/>
      <c r="S30" s="104"/>
      <c r="T30" s="104"/>
      <c r="U30" s="104"/>
      <c r="V30" s="104"/>
      <c r="W30" s="104"/>
      <c r="X30" s="104"/>
      <c r="Y30" s="104"/>
      <c r="Z30" s="104"/>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4"/>
      <c r="BL30" s="224"/>
    </row>
    <row r="31" spans="1:64" hidden="1" outlineLevel="1">
      <c r="A31" s="9"/>
      <c r="B31" s="9"/>
      <c r="C31" s="44"/>
      <c r="D31" s="271">
        <f>Asset24</f>
        <v>0</v>
      </c>
      <c r="E31" s="9"/>
      <c r="F31" s="9"/>
      <c r="G31" s="204">
        <f>'Actual RAB roll forward'!G493</f>
        <v>0</v>
      </c>
      <c r="H31" s="115">
        <f t="shared" si="3"/>
        <v>0</v>
      </c>
      <c r="I31" s="115">
        <f t="shared" si="4"/>
        <v>0</v>
      </c>
      <c r="J31" s="115">
        <f t="shared" si="5"/>
        <v>0</v>
      </c>
      <c r="K31" s="115">
        <f t="shared" si="6"/>
        <v>0</v>
      </c>
      <c r="L31" s="115">
        <f t="shared" si="7"/>
        <v>0</v>
      </c>
      <c r="M31" s="115">
        <f>IF(COUNT($H31:L31)&gt;=Input!$Y$7,0,L31+L63+L95)</f>
        <v>0</v>
      </c>
      <c r="N31" s="115">
        <f>IF(COUNT($H31:M31)&gt;=Input!$Y$7,0,M31+M63+M95)</f>
        <v>0</v>
      </c>
      <c r="O31" s="115">
        <f>IF(COUNT($H31:N31)&gt;=Input!$Y$7,0,N31+N63+N95)</f>
        <v>0</v>
      </c>
      <c r="P31" s="115">
        <f>IF(COUNT($H31:O31)&gt;=Input!$Y$7,0,O31+O63+O95)</f>
        <v>0</v>
      </c>
      <c r="Q31" s="115">
        <f>IF(COUNT($H31:P31)&gt;=Input!$Y$7,0,P31+P63+P95)</f>
        <v>0</v>
      </c>
      <c r="R31" s="115"/>
      <c r="S31" s="104"/>
      <c r="T31" s="104"/>
      <c r="U31" s="104"/>
      <c r="V31" s="104"/>
      <c r="W31" s="104"/>
      <c r="X31" s="104"/>
      <c r="Y31" s="104"/>
      <c r="Z31" s="104"/>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4"/>
      <c r="BL31" s="224"/>
    </row>
    <row r="32" spans="1:64" hidden="1" outlineLevel="1">
      <c r="A32" s="9"/>
      <c r="B32" s="9"/>
      <c r="C32" s="44"/>
      <c r="D32" s="271">
        <f>Asset25</f>
        <v>0</v>
      </c>
      <c r="E32" s="9"/>
      <c r="F32" s="9"/>
      <c r="G32" s="204">
        <f>'Actual RAB roll forward'!G494</f>
        <v>0</v>
      </c>
      <c r="H32" s="115">
        <f t="shared" si="3"/>
        <v>0</v>
      </c>
      <c r="I32" s="115">
        <f t="shared" si="4"/>
        <v>0</v>
      </c>
      <c r="J32" s="115">
        <f t="shared" si="5"/>
        <v>0</v>
      </c>
      <c r="K32" s="115">
        <f t="shared" si="6"/>
        <v>0</v>
      </c>
      <c r="L32" s="115">
        <f t="shared" si="7"/>
        <v>0</v>
      </c>
      <c r="M32" s="115">
        <f>IF(COUNT($H32:L32)&gt;=Input!$Y$7,0,L32+L64+L96)</f>
        <v>0</v>
      </c>
      <c r="N32" s="115">
        <f>IF(COUNT($H32:M32)&gt;=Input!$Y$7,0,M32+M64+M96)</f>
        <v>0</v>
      </c>
      <c r="O32" s="115">
        <f>IF(COUNT($H32:N32)&gt;=Input!$Y$7,0,N32+N64+N96)</f>
        <v>0</v>
      </c>
      <c r="P32" s="115">
        <f>IF(COUNT($H32:O32)&gt;=Input!$Y$7,0,O32+O64+O96)</f>
        <v>0</v>
      </c>
      <c r="Q32" s="115">
        <f>IF(COUNT($H32:P32)&gt;=Input!$Y$7,0,P32+P64+P96)</f>
        <v>0</v>
      </c>
      <c r="R32" s="115"/>
      <c r="S32" s="104"/>
      <c r="T32" s="104"/>
      <c r="U32" s="104"/>
      <c r="V32" s="104"/>
      <c r="W32" s="104"/>
      <c r="X32" s="104"/>
      <c r="Y32" s="104"/>
      <c r="Z32" s="104"/>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4"/>
      <c r="BL32" s="224"/>
    </row>
    <row r="33" spans="1:64" hidden="1" outlineLevel="1">
      <c r="A33" s="9"/>
      <c r="B33" s="9"/>
      <c r="C33" s="44"/>
      <c r="D33" s="271">
        <f>Asset26</f>
        <v>0</v>
      </c>
      <c r="E33" s="9"/>
      <c r="F33" s="9"/>
      <c r="G33" s="204">
        <f>'Actual RAB roll forward'!G495</f>
        <v>0</v>
      </c>
      <c r="H33" s="115">
        <f t="shared" si="3"/>
        <v>0</v>
      </c>
      <c r="I33" s="115">
        <f t="shared" si="4"/>
        <v>0</v>
      </c>
      <c r="J33" s="115">
        <f t="shared" si="5"/>
        <v>0</v>
      </c>
      <c r="K33" s="115">
        <f t="shared" si="6"/>
        <v>0</v>
      </c>
      <c r="L33" s="115">
        <f t="shared" si="7"/>
        <v>0</v>
      </c>
      <c r="M33" s="115">
        <f>IF(COUNT($H33:L33)&gt;=Input!$Y$7,0,L33+L65+L97)</f>
        <v>0</v>
      </c>
      <c r="N33" s="115">
        <f>IF(COUNT($H33:M33)&gt;=Input!$Y$7,0,M33+M65+M97)</f>
        <v>0</v>
      </c>
      <c r="O33" s="115">
        <f>IF(COUNT($H33:N33)&gt;=Input!$Y$7,0,N33+N65+N97)</f>
        <v>0</v>
      </c>
      <c r="P33" s="115">
        <f>IF(COUNT($H33:O33)&gt;=Input!$Y$7,0,O33+O65+O97)</f>
        <v>0</v>
      </c>
      <c r="Q33" s="115">
        <f>IF(COUNT($H33:P33)&gt;=Input!$Y$7,0,P33+P65+P97)</f>
        <v>0</v>
      </c>
      <c r="R33" s="115"/>
      <c r="S33" s="104"/>
      <c r="T33" s="104"/>
      <c r="U33" s="104"/>
      <c r="V33" s="104"/>
      <c r="W33" s="104"/>
      <c r="X33" s="104"/>
      <c r="Y33" s="104"/>
      <c r="Z33" s="104"/>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4"/>
      <c r="BL33" s="224"/>
    </row>
    <row r="34" spans="1:64" hidden="1" outlineLevel="1">
      <c r="A34" s="9"/>
      <c r="B34" s="9"/>
      <c r="C34" s="44"/>
      <c r="D34" s="271">
        <f>Asset27</f>
        <v>0</v>
      </c>
      <c r="E34" s="9"/>
      <c r="F34" s="9"/>
      <c r="G34" s="204">
        <f>'Actual RAB roll forward'!G496</f>
        <v>0</v>
      </c>
      <c r="H34" s="115">
        <f t="shared" si="3"/>
        <v>0</v>
      </c>
      <c r="I34" s="115">
        <f t="shared" si="4"/>
        <v>0</v>
      </c>
      <c r="J34" s="115">
        <f t="shared" si="5"/>
        <v>0</v>
      </c>
      <c r="K34" s="115">
        <f t="shared" si="6"/>
        <v>0</v>
      </c>
      <c r="L34" s="115">
        <f t="shared" si="7"/>
        <v>0</v>
      </c>
      <c r="M34" s="115">
        <f>IF(COUNT($H34:L34)&gt;=Input!$Y$7,0,L34+L66+L98)</f>
        <v>0</v>
      </c>
      <c r="N34" s="115">
        <f>IF(COUNT($H34:M34)&gt;=Input!$Y$7,0,M34+M66+M98)</f>
        <v>0</v>
      </c>
      <c r="O34" s="115">
        <f>IF(COUNT($H34:N34)&gt;=Input!$Y$7,0,N34+N66+N98)</f>
        <v>0</v>
      </c>
      <c r="P34" s="115">
        <f>IF(COUNT($H34:O34)&gt;=Input!$Y$7,0,O34+O66+O98)</f>
        <v>0</v>
      </c>
      <c r="Q34" s="115">
        <f>IF(COUNT($H34:P34)&gt;=Input!$Y$7,0,P34+P66+P98)</f>
        <v>0</v>
      </c>
      <c r="R34" s="115"/>
      <c r="S34" s="104"/>
      <c r="T34" s="104"/>
      <c r="U34" s="104"/>
      <c r="V34" s="104"/>
      <c r="W34" s="104"/>
      <c r="X34" s="104"/>
      <c r="Y34" s="104"/>
      <c r="Z34" s="104"/>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4"/>
      <c r="BL34" s="224"/>
    </row>
    <row r="35" spans="1:64" hidden="1" outlineLevel="1">
      <c r="A35" s="9"/>
      <c r="B35" s="9"/>
      <c r="C35" s="44"/>
      <c r="D35" s="271">
        <f>Asset28</f>
        <v>0</v>
      </c>
      <c r="E35" s="9"/>
      <c r="F35" s="9"/>
      <c r="G35" s="204">
        <f>'Actual RAB roll forward'!G497</f>
        <v>0</v>
      </c>
      <c r="H35" s="115">
        <f t="shared" si="3"/>
        <v>0</v>
      </c>
      <c r="I35" s="115">
        <f t="shared" si="4"/>
        <v>0</v>
      </c>
      <c r="J35" s="115">
        <f t="shared" si="5"/>
        <v>0</v>
      </c>
      <c r="K35" s="115">
        <f t="shared" si="6"/>
        <v>0</v>
      </c>
      <c r="L35" s="115">
        <f t="shared" si="7"/>
        <v>0</v>
      </c>
      <c r="M35" s="115">
        <f>IF(COUNT($H35:L35)&gt;=Input!$Y$7,0,L35+L67+L99)</f>
        <v>0</v>
      </c>
      <c r="N35" s="115">
        <f>IF(COUNT($H35:M35)&gt;=Input!$Y$7,0,M35+M67+M99)</f>
        <v>0</v>
      </c>
      <c r="O35" s="115">
        <f>IF(COUNT($H35:N35)&gt;=Input!$Y$7,0,N35+N67+N99)</f>
        <v>0</v>
      </c>
      <c r="P35" s="115">
        <f>IF(COUNT($H35:O35)&gt;=Input!$Y$7,0,O35+O67+O99)</f>
        <v>0</v>
      </c>
      <c r="Q35" s="115">
        <f>IF(COUNT($H35:P35)&gt;=Input!$Y$7,0,P35+P67+P99)</f>
        <v>0</v>
      </c>
      <c r="R35" s="115"/>
      <c r="S35" s="104"/>
      <c r="T35" s="104"/>
      <c r="U35" s="104"/>
      <c r="V35" s="104"/>
      <c r="W35" s="104"/>
      <c r="X35" s="104"/>
      <c r="Y35" s="104"/>
      <c r="Z35" s="104"/>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4"/>
      <c r="BL35" s="224"/>
    </row>
    <row r="36" spans="1:64" hidden="1" outlineLevel="1">
      <c r="A36" s="9"/>
      <c r="B36" s="9"/>
      <c r="C36" s="44"/>
      <c r="D36" s="271">
        <f>Asset29</f>
        <v>0</v>
      </c>
      <c r="E36" s="9"/>
      <c r="F36" s="9"/>
      <c r="G36" s="204">
        <f>'Actual RAB roll forward'!G498</f>
        <v>0</v>
      </c>
      <c r="H36" s="115">
        <f t="shared" si="3"/>
        <v>0</v>
      </c>
      <c r="I36" s="115">
        <f t="shared" si="4"/>
        <v>0</v>
      </c>
      <c r="J36" s="115">
        <f t="shared" si="5"/>
        <v>0</v>
      </c>
      <c r="K36" s="115">
        <f t="shared" si="6"/>
        <v>0</v>
      </c>
      <c r="L36" s="115">
        <f t="shared" si="7"/>
        <v>0</v>
      </c>
      <c r="M36" s="115">
        <f>IF(COUNT($H36:L36)&gt;=Input!$Y$7,0,L36+L68+L100)</f>
        <v>0</v>
      </c>
      <c r="N36" s="115">
        <f>IF(COUNT($H36:M36)&gt;=Input!$Y$7,0,M36+M68+M100)</f>
        <v>0</v>
      </c>
      <c r="O36" s="115">
        <f>IF(COUNT($H36:N36)&gt;=Input!$Y$7,0,N36+N68+N100)</f>
        <v>0</v>
      </c>
      <c r="P36" s="115">
        <f>IF(COUNT($H36:O36)&gt;=Input!$Y$7,0,O36+O68+O100)</f>
        <v>0</v>
      </c>
      <c r="Q36" s="115">
        <f>IF(COUNT($H36:P36)&gt;=Input!$Y$7,0,P36+P68+P100)</f>
        <v>0</v>
      </c>
      <c r="R36" s="115"/>
      <c r="S36" s="104"/>
      <c r="T36" s="104"/>
      <c r="U36" s="104"/>
      <c r="V36" s="104"/>
      <c r="W36" s="104"/>
      <c r="X36" s="104"/>
      <c r="Y36" s="104"/>
      <c r="Z36" s="104"/>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4"/>
      <c r="BL36" s="224"/>
    </row>
    <row r="37" spans="1:64" hidden="1" outlineLevel="1">
      <c r="A37" s="9"/>
      <c r="B37" s="9"/>
      <c r="C37" s="44"/>
      <c r="D37" s="271">
        <f>Asset30</f>
        <v>0</v>
      </c>
      <c r="E37" s="9"/>
      <c r="F37" s="9"/>
      <c r="G37" s="204">
        <f>'Actual RAB roll forward'!G499</f>
        <v>0</v>
      </c>
      <c r="H37" s="115">
        <f t="shared" si="3"/>
        <v>0</v>
      </c>
      <c r="I37" s="115">
        <f t="shared" si="4"/>
        <v>0</v>
      </c>
      <c r="J37" s="115">
        <f t="shared" si="5"/>
        <v>0</v>
      </c>
      <c r="K37" s="115">
        <f t="shared" si="6"/>
        <v>0</v>
      </c>
      <c r="L37" s="115">
        <f t="shared" si="7"/>
        <v>0</v>
      </c>
      <c r="M37" s="115">
        <f>IF(COUNT($H37:L37)&gt;=Input!$Y$7,0,L37+L69+L101)</f>
        <v>0</v>
      </c>
      <c r="N37" s="115">
        <f>IF(COUNT($H37:M37)&gt;=Input!$Y$7,0,M37+M69+M101)</f>
        <v>0</v>
      </c>
      <c r="O37" s="115">
        <f>IF(COUNT($H37:N37)&gt;=Input!$Y$7,0,N37+N69+N101)</f>
        <v>0</v>
      </c>
      <c r="P37" s="115">
        <f>IF(COUNT($H37:O37)&gt;=Input!$Y$7,0,O37+O69+O101)</f>
        <v>0</v>
      </c>
      <c r="Q37" s="115">
        <f>IF(COUNT($H37:P37)&gt;=Input!$Y$7,0,P37+P69+P101)</f>
        <v>0</v>
      </c>
      <c r="R37" s="115"/>
      <c r="S37" s="104"/>
      <c r="T37" s="104"/>
      <c r="U37" s="104"/>
      <c r="V37" s="104"/>
      <c r="W37" s="104"/>
      <c r="X37" s="104"/>
      <c r="Y37" s="104"/>
      <c r="Z37" s="104"/>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4"/>
      <c r="BL37" s="224"/>
    </row>
    <row r="38" spans="1:64" collapsed="1">
      <c r="A38" s="9"/>
      <c r="B38" s="9"/>
      <c r="C38" s="44"/>
      <c r="D38" s="117"/>
      <c r="E38" s="9"/>
      <c r="F38" s="9"/>
      <c r="G38" s="213"/>
      <c r="H38" s="35"/>
      <c r="I38" s="35"/>
      <c r="J38" s="35"/>
      <c r="K38" s="35"/>
      <c r="L38" s="35"/>
      <c r="M38" s="35"/>
      <c r="N38" s="104"/>
      <c r="O38" s="29"/>
      <c r="P38" s="29"/>
      <c r="Q38" s="29"/>
      <c r="R38" s="29"/>
      <c r="S38" s="104"/>
      <c r="T38" s="104"/>
      <c r="U38" s="104"/>
      <c r="V38" s="104"/>
      <c r="W38" s="104"/>
      <c r="X38" s="104"/>
      <c r="Y38" s="104"/>
      <c r="Z38" s="104"/>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4"/>
      <c r="BL38" s="224"/>
    </row>
    <row r="39" spans="1:64">
      <c r="A39" s="9"/>
      <c r="B39" s="9"/>
      <c r="C39" s="44" t="s">
        <v>10</v>
      </c>
      <c r="D39" s="9"/>
      <c r="E39" s="9"/>
      <c r="F39" s="9"/>
      <c r="G39" s="205">
        <f>SUM(G40:G69)</f>
        <v>256.13131134785033</v>
      </c>
      <c r="H39" s="35">
        <f>SUM(H40:H69)</f>
        <v>273.82759092251814</v>
      </c>
      <c r="I39" s="35">
        <f t="shared" ref="I39:P39" si="8">SUM(I40:I69)</f>
        <v>319.46355928702627</v>
      </c>
      <c r="J39" s="35">
        <f t="shared" si="8"/>
        <v>379.05562881142396</v>
      </c>
      <c r="K39" s="35">
        <f t="shared" si="8"/>
        <v>400.5282162554243</v>
      </c>
      <c r="L39" s="35">
        <f t="shared" si="8"/>
        <v>366.10899757493087</v>
      </c>
      <c r="M39" s="35">
        <f t="shared" si="8"/>
        <v>0</v>
      </c>
      <c r="N39" s="35">
        <f t="shared" si="8"/>
        <v>0</v>
      </c>
      <c r="O39" s="35">
        <f t="shared" si="8"/>
        <v>0</v>
      </c>
      <c r="P39" s="35">
        <f t="shared" si="8"/>
        <v>0</v>
      </c>
      <c r="Q39" s="35">
        <f>SUM(Q40:Q69)</f>
        <v>0</v>
      </c>
      <c r="R39" s="29"/>
      <c r="S39" s="104"/>
      <c r="T39" s="104"/>
      <c r="U39" s="104"/>
      <c r="V39" s="104"/>
      <c r="W39" s="104"/>
      <c r="X39" s="104"/>
      <c r="Y39" s="104"/>
      <c r="Z39" s="104"/>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4"/>
      <c r="BL39" s="224"/>
    </row>
    <row r="40" spans="1:64" hidden="1" outlineLevel="1">
      <c r="A40" s="9"/>
      <c r="B40" s="9"/>
      <c r="C40" s="44"/>
      <c r="D40" s="271" t="str">
        <f>Asset1</f>
        <v>Subtransmission</v>
      </c>
      <c r="E40" s="9"/>
      <c r="F40" s="9"/>
      <c r="G40" s="204">
        <f>'Actual RAB roll forward'!G502</f>
        <v>26.463578654632183</v>
      </c>
      <c r="H40" s="506">
        <f>'Actual RAB roll forward'!H502</f>
        <v>23.303623231324877</v>
      </c>
      <c r="I40" s="506">
        <f>'Actual RAB roll forward'!I502</f>
        <v>46.378760314540145</v>
      </c>
      <c r="J40" s="506">
        <f>'Actual RAB roll forward'!J502</f>
        <v>66.655244555600063</v>
      </c>
      <c r="K40" s="506">
        <f>'Actual RAB roll forward'!K502</f>
        <v>65.988628238562669</v>
      </c>
      <c r="L40" s="506">
        <f>'Actual RAB roll forward'!L502</f>
        <v>65.82190228729435</v>
      </c>
      <c r="M40" s="115">
        <f>'Actual RAB roll forward'!M502</f>
        <v>0</v>
      </c>
      <c r="N40" s="115">
        <f>'Actual RAB roll forward'!N502</f>
        <v>0</v>
      </c>
      <c r="O40" s="115">
        <f>'Actual RAB roll forward'!O502</f>
        <v>0</v>
      </c>
      <c r="P40" s="115">
        <f>'Actual RAB roll forward'!P502</f>
        <v>0</v>
      </c>
      <c r="Q40" s="115">
        <f>'Actual RAB roll forward'!Q502</f>
        <v>0</v>
      </c>
      <c r="R40" s="29"/>
      <c r="S40" s="104"/>
      <c r="T40" s="104"/>
      <c r="U40" s="104"/>
      <c r="V40" s="104"/>
      <c r="W40" s="104"/>
      <c r="X40" s="104"/>
      <c r="Y40" s="104"/>
      <c r="Z40" s="104"/>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4"/>
      <c r="BL40" s="224"/>
    </row>
    <row r="41" spans="1:64" hidden="1" outlineLevel="1">
      <c r="A41" s="9"/>
      <c r="B41" s="9"/>
      <c r="C41" s="44"/>
      <c r="D41" s="271" t="str">
        <f>Asset2</f>
        <v>Distribution system assets</v>
      </c>
      <c r="E41" s="9"/>
      <c r="F41" s="9"/>
      <c r="G41" s="204">
        <f>'Actual RAB roll forward'!G503</f>
        <v>172.58288269321812</v>
      </c>
      <c r="H41" s="506">
        <f>'Actual RAB roll forward'!H503</f>
        <v>193.59505286296888</v>
      </c>
      <c r="I41" s="506">
        <f>'Actual RAB roll forward'!I503</f>
        <v>215.07213538798695</v>
      </c>
      <c r="J41" s="506">
        <f>'Actual RAB roll forward'!J503</f>
        <v>252.19913275839346</v>
      </c>
      <c r="K41" s="506">
        <f>'Actual RAB roll forward'!K503</f>
        <v>294.62750465602994</v>
      </c>
      <c r="L41" s="506">
        <f>'Actual RAB roll forward'!L503</f>
        <v>274.33470113397988</v>
      </c>
      <c r="M41" s="115">
        <f>'Actual RAB roll forward'!M503</f>
        <v>0</v>
      </c>
      <c r="N41" s="115">
        <f>'Actual RAB roll forward'!N503</f>
        <v>0</v>
      </c>
      <c r="O41" s="115">
        <f>'Actual RAB roll forward'!O503</f>
        <v>0</v>
      </c>
      <c r="P41" s="115">
        <f>'Actual RAB roll forward'!P503</f>
        <v>0</v>
      </c>
      <c r="Q41" s="115">
        <f>'Actual RAB roll forward'!Q503</f>
        <v>0</v>
      </c>
      <c r="R41" s="29"/>
      <c r="S41" s="104"/>
      <c r="T41" s="104"/>
      <c r="U41" s="104"/>
      <c r="V41" s="104"/>
      <c r="W41" s="104"/>
      <c r="X41" s="104"/>
      <c r="Y41" s="104"/>
      <c r="Z41" s="104"/>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4"/>
      <c r="BL41" s="224"/>
    </row>
    <row r="42" spans="1:64" hidden="1" outlineLevel="1">
      <c r="A42" s="9"/>
      <c r="B42" s="9"/>
      <c r="C42" s="44"/>
      <c r="D42" s="271" t="str">
        <f>Asset3</f>
        <v>Standard metering</v>
      </c>
      <c r="E42" s="9"/>
      <c r="F42" s="9"/>
      <c r="G42" s="204">
        <f>'Actual RAB roll forward'!G504</f>
        <v>0</v>
      </c>
      <c r="H42" s="506">
        <f>'Actual RAB roll forward'!H504</f>
        <v>0</v>
      </c>
      <c r="I42" s="506">
        <f>'Actual RAB roll forward'!I504</f>
        <v>0</v>
      </c>
      <c r="J42" s="506">
        <f>'Actual RAB roll forward'!J504</f>
        <v>0</v>
      </c>
      <c r="K42" s="506">
        <f>'Actual RAB roll forward'!K504</f>
        <v>0</v>
      </c>
      <c r="L42" s="506">
        <f>'Actual RAB roll forward'!L504</f>
        <v>0</v>
      </c>
      <c r="M42" s="115">
        <f>'Actual RAB roll forward'!M504</f>
        <v>0</v>
      </c>
      <c r="N42" s="115">
        <f>'Actual RAB roll forward'!N504</f>
        <v>0</v>
      </c>
      <c r="O42" s="115">
        <f>'Actual RAB roll forward'!O504</f>
        <v>0</v>
      </c>
      <c r="P42" s="115">
        <f>'Actual RAB roll forward'!P504</f>
        <v>0</v>
      </c>
      <c r="Q42" s="115">
        <f>'Actual RAB roll forward'!Q504</f>
        <v>0</v>
      </c>
      <c r="R42" s="29"/>
      <c r="S42" s="104"/>
      <c r="T42" s="104"/>
      <c r="U42" s="104"/>
      <c r="V42" s="104"/>
      <c r="W42" s="104"/>
      <c r="X42" s="104"/>
      <c r="Y42" s="104"/>
      <c r="Z42" s="104"/>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4"/>
      <c r="BL42" s="224"/>
    </row>
    <row r="43" spans="1:64" hidden="1" outlineLevel="1">
      <c r="A43" s="9"/>
      <c r="B43" s="9"/>
      <c r="C43" s="44"/>
      <c r="D43" s="271" t="str">
        <f>Asset4</f>
        <v>Public lighting</v>
      </c>
      <c r="E43" s="9"/>
      <c r="F43" s="9"/>
      <c r="G43" s="204">
        <f>'Actual RAB roll forward'!G505</f>
        <v>0</v>
      </c>
      <c r="H43" s="506">
        <f>'Actual RAB roll forward'!H505</f>
        <v>0</v>
      </c>
      <c r="I43" s="506">
        <f>'Actual RAB roll forward'!I505</f>
        <v>0</v>
      </c>
      <c r="J43" s="506">
        <f>'Actual RAB roll forward'!J505</f>
        <v>0</v>
      </c>
      <c r="K43" s="506">
        <f>'Actual RAB roll forward'!K505</f>
        <v>0</v>
      </c>
      <c r="L43" s="506">
        <f>'Actual RAB roll forward'!L505</f>
        <v>0</v>
      </c>
      <c r="M43" s="115">
        <f>'Actual RAB roll forward'!M505</f>
        <v>0</v>
      </c>
      <c r="N43" s="115">
        <f>'Actual RAB roll forward'!N505</f>
        <v>0</v>
      </c>
      <c r="O43" s="115">
        <f>'Actual RAB roll forward'!O505</f>
        <v>0</v>
      </c>
      <c r="P43" s="115">
        <f>'Actual RAB roll forward'!P505</f>
        <v>0</v>
      </c>
      <c r="Q43" s="115">
        <f>'Actual RAB roll forward'!Q505</f>
        <v>0</v>
      </c>
      <c r="R43" s="29"/>
      <c r="S43" s="104"/>
      <c r="T43" s="104"/>
      <c r="U43" s="104"/>
      <c r="V43" s="104"/>
      <c r="W43" s="104"/>
      <c r="X43" s="104"/>
      <c r="Y43" s="104"/>
      <c r="Z43" s="104"/>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4"/>
      <c r="BL43" s="224"/>
    </row>
    <row r="44" spans="1:64" hidden="1" outlineLevel="1">
      <c r="A44" s="9"/>
      <c r="B44" s="9"/>
      <c r="C44" s="44"/>
      <c r="D44" s="271" t="str">
        <f>Asset5</f>
        <v>SCADA/Network control</v>
      </c>
      <c r="E44" s="9"/>
      <c r="F44" s="9"/>
      <c r="G44" s="204">
        <f>'Actual RAB roll forward'!G506</f>
        <v>1.96</v>
      </c>
      <c r="H44" s="506">
        <f>'Actual RAB roll forward'!H506</f>
        <v>1.3307440827500228</v>
      </c>
      <c r="I44" s="506">
        <f>'Actual RAB roll forward'!I506</f>
        <v>6.2235364165212346</v>
      </c>
      <c r="J44" s="506">
        <f>'Actual RAB roll forward'!J506</f>
        <v>2.0111157645861524</v>
      </c>
      <c r="K44" s="506">
        <f>'Actual RAB roll forward'!K506</f>
        <v>0.76939414652789528</v>
      </c>
      <c r="L44" s="506">
        <f>'Actual RAB roll forward'!L506</f>
        <v>3.0482079713681767</v>
      </c>
      <c r="M44" s="115">
        <f>'Actual RAB roll forward'!M506</f>
        <v>0</v>
      </c>
      <c r="N44" s="115">
        <f>'Actual RAB roll forward'!N506</f>
        <v>0</v>
      </c>
      <c r="O44" s="115">
        <f>'Actual RAB roll forward'!O506</f>
        <v>0</v>
      </c>
      <c r="P44" s="115">
        <f>'Actual RAB roll forward'!P506</f>
        <v>0</v>
      </c>
      <c r="Q44" s="115">
        <f>'Actual RAB roll forward'!Q506</f>
        <v>0</v>
      </c>
      <c r="R44" s="29"/>
      <c r="S44" s="104"/>
      <c r="T44" s="104"/>
      <c r="U44" s="104"/>
      <c r="V44" s="104"/>
      <c r="W44" s="104"/>
      <c r="X44" s="104"/>
      <c r="Y44" s="104"/>
      <c r="Z44" s="104"/>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4"/>
      <c r="BL44" s="224"/>
    </row>
    <row r="45" spans="1:64" hidden="1" outlineLevel="1">
      <c r="A45" s="9"/>
      <c r="B45" s="9"/>
      <c r="C45" s="44"/>
      <c r="D45" s="271" t="str">
        <f>Asset6</f>
        <v>Non-network general assets - IT</v>
      </c>
      <c r="E45" s="9"/>
      <c r="F45" s="9"/>
      <c r="G45" s="204">
        <f>'Actual RAB roll forward'!G507</f>
        <v>48.754849999999998</v>
      </c>
      <c r="H45" s="506">
        <f>'Actual RAB roll forward'!H507</f>
        <v>48.88963050469534</v>
      </c>
      <c r="I45" s="506">
        <f>'Actual RAB roll forward'!I507</f>
        <v>47.902560628477289</v>
      </c>
      <c r="J45" s="506">
        <f>'Actual RAB roll forward'!J507</f>
        <v>52.452763589315062</v>
      </c>
      <c r="K45" s="506">
        <f>'Actual RAB roll forward'!K507</f>
        <v>34.528761120489946</v>
      </c>
      <c r="L45" s="506">
        <f>'Actual RAB roll forward'!L507</f>
        <v>20.378165210085136</v>
      </c>
      <c r="M45" s="115">
        <f>'Actual RAB roll forward'!M507</f>
        <v>0</v>
      </c>
      <c r="N45" s="115">
        <f>'Actual RAB roll forward'!N507</f>
        <v>0</v>
      </c>
      <c r="O45" s="115">
        <f>'Actual RAB roll forward'!O507</f>
        <v>0</v>
      </c>
      <c r="P45" s="115">
        <f>'Actual RAB roll forward'!P507</f>
        <v>0</v>
      </c>
      <c r="Q45" s="115">
        <f>'Actual RAB roll forward'!Q507</f>
        <v>0</v>
      </c>
      <c r="R45" s="29"/>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4"/>
      <c r="BL45" s="224"/>
    </row>
    <row r="46" spans="1:64" hidden="1" outlineLevel="1">
      <c r="A46" s="9"/>
      <c r="B46" s="9"/>
      <c r="C46" s="44"/>
      <c r="D46" s="271" t="str">
        <f>Asset7</f>
        <v>Non-network general assets - Other</v>
      </c>
      <c r="E46" s="9"/>
      <c r="F46" s="9"/>
      <c r="G46" s="204">
        <f>'Actual RAB roll forward'!G508</f>
        <v>6.37</v>
      </c>
      <c r="H46" s="506">
        <f>'Actual RAB roll forward'!H508</f>
        <v>5.1531960739867975</v>
      </c>
      <c r="I46" s="506">
        <f>'Actual RAB roll forward'!I508</f>
        <v>3.8865665395006244</v>
      </c>
      <c r="J46" s="506">
        <f>'Actual RAB roll forward'!J508</f>
        <v>5.7373721435292522</v>
      </c>
      <c r="K46" s="506">
        <f>'Actual RAB roll forward'!K508</f>
        <v>4.613928093813831</v>
      </c>
      <c r="L46" s="506">
        <f>'Actual RAB roll forward'!L508</f>
        <v>2.5260209722033289</v>
      </c>
      <c r="M46" s="115">
        <f>'Actual RAB roll forward'!M508</f>
        <v>0</v>
      </c>
      <c r="N46" s="115">
        <f>'Actual RAB roll forward'!N508</f>
        <v>0</v>
      </c>
      <c r="O46" s="115">
        <f>'Actual RAB roll forward'!O508</f>
        <v>0</v>
      </c>
      <c r="P46" s="115">
        <f>'Actual RAB roll forward'!P508</f>
        <v>0</v>
      </c>
      <c r="Q46" s="115">
        <f>'Actual RAB roll forward'!Q508</f>
        <v>0</v>
      </c>
      <c r="R46" s="29"/>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4"/>
      <c r="BL46" s="224"/>
    </row>
    <row r="47" spans="1:64" hidden="1" outlineLevel="1">
      <c r="A47" s="9"/>
      <c r="B47" s="9"/>
      <c r="C47" s="44"/>
      <c r="D47" s="271" t="str">
        <f>Asset8</f>
        <v>Equity Raising Costs</v>
      </c>
      <c r="E47" s="9"/>
      <c r="F47" s="9"/>
      <c r="G47" s="204">
        <f>'Actual RAB roll forward'!G509</f>
        <v>0</v>
      </c>
      <c r="H47" s="506">
        <f>'Actual RAB roll forward'!H509</f>
        <v>1.5553441667922454</v>
      </c>
      <c r="I47" s="506">
        <f>'Actual RAB roll forward'!I509</f>
        <v>0</v>
      </c>
      <c r="J47" s="506">
        <f>'Actual RAB roll forward'!J509</f>
        <v>0</v>
      </c>
      <c r="K47" s="506">
        <f>'Actual RAB roll forward'!K509</f>
        <v>0</v>
      </c>
      <c r="L47" s="506">
        <f>'Actual RAB roll forward'!L509</f>
        <v>0</v>
      </c>
      <c r="M47" s="115">
        <f>'Actual RAB roll forward'!M509</f>
        <v>0</v>
      </c>
      <c r="N47" s="115">
        <f>'Actual RAB roll forward'!N509</f>
        <v>0</v>
      </c>
      <c r="O47" s="115">
        <f>'Actual RAB roll forward'!O509</f>
        <v>0</v>
      </c>
      <c r="P47" s="115">
        <f>'Actual RAB roll forward'!P509</f>
        <v>0</v>
      </c>
      <c r="Q47" s="115">
        <f>'Actual RAB roll forward'!Q509</f>
        <v>0</v>
      </c>
      <c r="R47" s="29"/>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4"/>
      <c r="BL47" s="224"/>
    </row>
    <row r="48" spans="1:64" hidden="1" outlineLevel="1">
      <c r="A48" s="9"/>
      <c r="B48" s="9"/>
      <c r="C48" s="44"/>
      <c r="D48" s="271">
        <f>Asset9</f>
        <v>0</v>
      </c>
      <c r="E48" s="9"/>
      <c r="F48" s="9"/>
      <c r="G48" s="204">
        <f>'Actual RAB roll forward'!G510</f>
        <v>0</v>
      </c>
      <c r="H48" s="506">
        <f>'Actual RAB roll forward'!H510</f>
        <v>0</v>
      </c>
      <c r="I48" s="506">
        <f>'Actual RAB roll forward'!I510</f>
        <v>0</v>
      </c>
      <c r="J48" s="506">
        <f>'Actual RAB roll forward'!J510</f>
        <v>0</v>
      </c>
      <c r="K48" s="506">
        <f>'Actual RAB roll forward'!K510</f>
        <v>0</v>
      </c>
      <c r="L48" s="506">
        <f>'Actual RAB roll forward'!L510</f>
        <v>0</v>
      </c>
      <c r="M48" s="115">
        <f>'Actual RAB roll forward'!M510</f>
        <v>0</v>
      </c>
      <c r="N48" s="115">
        <f>'Actual RAB roll forward'!N510</f>
        <v>0</v>
      </c>
      <c r="O48" s="115">
        <f>'Actual RAB roll forward'!O510</f>
        <v>0</v>
      </c>
      <c r="P48" s="115">
        <f>'Actual RAB roll forward'!P510</f>
        <v>0</v>
      </c>
      <c r="Q48" s="115">
        <f>'Actual RAB roll forward'!Q510</f>
        <v>0</v>
      </c>
      <c r="R48" s="29"/>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4"/>
      <c r="BL48" s="224"/>
    </row>
    <row r="49" spans="1:64" hidden="1" outlineLevel="1">
      <c r="A49" s="9"/>
      <c r="B49" s="9"/>
      <c r="C49" s="44"/>
      <c r="D49" s="271">
        <f>Asset10</f>
        <v>0</v>
      </c>
      <c r="E49" s="9"/>
      <c r="F49" s="9"/>
      <c r="G49" s="204">
        <f>'Actual RAB roll forward'!G511</f>
        <v>0</v>
      </c>
      <c r="H49" s="506">
        <f>'Actual RAB roll forward'!H511</f>
        <v>0</v>
      </c>
      <c r="I49" s="506">
        <f>'Actual RAB roll forward'!I511</f>
        <v>0</v>
      </c>
      <c r="J49" s="506">
        <f>'Actual RAB roll forward'!J511</f>
        <v>0</v>
      </c>
      <c r="K49" s="506">
        <f>'Actual RAB roll forward'!K511</f>
        <v>0</v>
      </c>
      <c r="L49" s="506">
        <f>'Actual RAB roll forward'!L511</f>
        <v>0</v>
      </c>
      <c r="M49" s="115">
        <f>'Actual RAB roll forward'!M511</f>
        <v>0</v>
      </c>
      <c r="N49" s="115">
        <f>'Actual RAB roll forward'!N511</f>
        <v>0</v>
      </c>
      <c r="O49" s="115">
        <f>'Actual RAB roll forward'!O511</f>
        <v>0</v>
      </c>
      <c r="P49" s="115">
        <f>'Actual RAB roll forward'!P511</f>
        <v>0</v>
      </c>
      <c r="Q49" s="115">
        <f>'Actual RAB roll forward'!Q511</f>
        <v>0</v>
      </c>
      <c r="R49" s="29"/>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4"/>
      <c r="BL49" s="224"/>
    </row>
    <row r="50" spans="1:64" hidden="1" outlineLevel="1">
      <c r="A50" s="9"/>
      <c r="B50" s="9"/>
      <c r="C50" s="44"/>
      <c r="D50" s="271">
        <f>Asset11</f>
        <v>0</v>
      </c>
      <c r="E50" s="9"/>
      <c r="F50" s="9"/>
      <c r="G50" s="204">
        <f>'Actual RAB roll forward'!G512</f>
        <v>0</v>
      </c>
      <c r="H50" s="506">
        <f>'Actual RAB roll forward'!H512</f>
        <v>0</v>
      </c>
      <c r="I50" s="506">
        <f>'Actual RAB roll forward'!I512</f>
        <v>0</v>
      </c>
      <c r="J50" s="506">
        <f>'Actual RAB roll forward'!J512</f>
        <v>0</v>
      </c>
      <c r="K50" s="506">
        <f>'Actual RAB roll forward'!K512</f>
        <v>0</v>
      </c>
      <c r="L50" s="506">
        <f>'Actual RAB roll forward'!L512</f>
        <v>0</v>
      </c>
      <c r="M50" s="115">
        <f>'Actual RAB roll forward'!M512</f>
        <v>0</v>
      </c>
      <c r="N50" s="115">
        <f>'Actual RAB roll forward'!N512</f>
        <v>0</v>
      </c>
      <c r="O50" s="115">
        <f>'Actual RAB roll forward'!O512</f>
        <v>0</v>
      </c>
      <c r="P50" s="115">
        <f>'Actual RAB roll forward'!P512</f>
        <v>0</v>
      </c>
      <c r="Q50" s="115">
        <f>'Actual RAB roll forward'!Q512</f>
        <v>0</v>
      </c>
      <c r="R50" s="29"/>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4"/>
      <c r="BL50" s="224"/>
    </row>
    <row r="51" spans="1:64" hidden="1" outlineLevel="1">
      <c r="A51" s="9"/>
      <c r="B51" s="9"/>
      <c r="C51" s="44"/>
      <c r="D51" s="271">
        <f>Asset12</f>
        <v>0</v>
      </c>
      <c r="E51" s="9"/>
      <c r="F51" s="9"/>
      <c r="G51" s="204">
        <f>'Actual RAB roll forward'!G513</f>
        <v>0</v>
      </c>
      <c r="H51" s="506">
        <f>'Actual RAB roll forward'!H513</f>
        <v>0</v>
      </c>
      <c r="I51" s="506">
        <f>'Actual RAB roll forward'!I513</f>
        <v>0</v>
      </c>
      <c r="J51" s="506">
        <f>'Actual RAB roll forward'!J513</f>
        <v>0</v>
      </c>
      <c r="K51" s="506">
        <f>'Actual RAB roll forward'!K513</f>
        <v>0</v>
      </c>
      <c r="L51" s="506">
        <f>'Actual RAB roll forward'!L513</f>
        <v>0</v>
      </c>
      <c r="M51" s="115">
        <f>'Actual RAB roll forward'!M513</f>
        <v>0</v>
      </c>
      <c r="N51" s="115">
        <f>'Actual RAB roll forward'!N513</f>
        <v>0</v>
      </c>
      <c r="O51" s="115">
        <f>'Actual RAB roll forward'!O513</f>
        <v>0</v>
      </c>
      <c r="P51" s="115">
        <f>'Actual RAB roll forward'!P513</f>
        <v>0</v>
      </c>
      <c r="Q51" s="115">
        <f>'Actual RAB roll forward'!Q513</f>
        <v>0</v>
      </c>
      <c r="R51" s="29"/>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4"/>
      <c r="BL51" s="224"/>
    </row>
    <row r="52" spans="1:64" hidden="1" outlineLevel="1">
      <c r="A52" s="9"/>
      <c r="B52" s="9"/>
      <c r="C52" s="44"/>
      <c r="D52" s="271">
        <f>Asset13</f>
        <v>0</v>
      </c>
      <c r="E52" s="9"/>
      <c r="F52" s="9"/>
      <c r="G52" s="204">
        <f>'Actual RAB roll forward'!G514</f>
        <v>0</v>
      </c>
      <c r="H52" s="506">
        <f>'Actual RAB roll forward'!H514</f>
        <v>0</v>
      </c>
      <c r="I52" s="506">
        <f>'Actual RAB roll forward'!I514</f>
        <v>0</v>
      </c>
      <c r="J52" s="506">
        <f>'Actual RAB roll forward'!J514</f>
        <v>0</v>
      </c>
      <c r="K52" s="506">
        <f>'Actual RAB roll forward'!K514</f>
        <v>0</v>
      </c>
      <c r="L52" s="506">
        <f>'Actual RAB roll forward'!L514</f>
        <v>0</v>
      </c>
      <c r="M52" s="115">
        <f>'Actual RAB roll forward'!M514</f>
        <v>0</v>
      </c>
      <c r="N52" s="115">
        <f>'Actual RAB roll forward'!N514</f>
        <v>0</v>
      </c>
      <c r="O52" s="115">
        <f>'Actual RAB roll forward'!O514</f>
        <v>0</v>
      </c>
      <c r="P52" s="115">
        <f>'Actual RAB roll forward'!P514</f>
        <v>0</v>
      </c>
      <c r="Q52" s="115">
        <f>'Actual RAB roll forward'!Q514</f>
        <v>0</v>
      </c>
      <c r="R52" s="29"/>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4"/>
      <c r="BL52" s="224"/>
    </row>
    <row r="53" spans="1:64" hidden="1" outlineLevel="1">
      <c r="A53" s="9"/>
      <c r="B53" s="9"/>
      <c r="C53" s="44"/>
      <c r="D53" s="271">
        <f>Asset14</f>
        <v>0</v>
      </c>
      <c r="E53" s="9"/>
      <c r="F53" s="9"/>
      <c r="G53" s="204">
        <f>'Actual RAB roll forward'!G515</f>
        <v>0</v>
      </c>
      <c r="H53" s="506">
        <f>'Actual RAB roll forward'!H515</f>
        <v>0</v>
      </c>
      <c r="I53" s="506">
        <f>'Actual RAB roll forward'!I515</f>
        <v>0</v>
      </c>
      <c r="J53" s="506">
        <f>'Actual RAB roll forward'!J515</f>
        <v>0</v>
      </c>
      <c r="K53" s="506">
        <f>'Actual RAB roll forward'!K515</f>
        <v>0</v>
      </c>
      <c r="L53" s="506">
        <f>'Actual RAB roll forward'!L515</f>
        <v>0</v>
      </c>
      <c r="M53" s="115">
        <f>'Actual RAB roll forward'!M515</f>
        <v>0</v>
      </c>
      <c r="N53" s="115">
        <f>'Actual RAB roll forward'!N515</f>
        <v>0</v>
      </c>
      <c r="O53" s="115">
        <f>'Actual RAB roll forward'!O515</f>
        <v>0</v>
      </c>
      <c r="P53" s="115">
        <f>'Actual RAB roll forward'!P515</f>
        <v>0</v>
      </c>
      <c r="Q53" s="115">
        <f>'Actual RAB roll forward'!Q515</f>
        <v>0</v>
      </c>
      <c r="R53" s="29"/>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4"/>
      <c r="BL53" s="224"/>
    </row>
    <row r="54" spans="1:64" hidden="1" outlineLevel="1">
      <c r="A54" s="9"/>
      <c r="B54" s="9"/>
      <c r="C54" s="44"/>
      <c r="D54" s="271">
        <f>Asset15</f>
        <v>0</v>
      </c>
      <c r="E54" s="9"/>
      <c r="F54" s="9"/>
      <c r="G54" s="204">
        <f>'Actual RAB roll forward'!G516</f>
        <v>0</v>
      </c>
      <c r="H54" s="506">
        <f>'Actual RAB roll forward'!H516</f>
        <v>0</v>
      </c>
      <c r="I54" s="506">
        <f>'Actual RAB roll forward'!I516</f>
        <v>0</v>
      </c>
      <c r="J54" s="506">
        <f>'Actual RAB roll forward'!J516</f>
        <v>0</v>
      </c>
      <c r="K54" s="506">
        <f>'Actual RAB roll forward'!K516</f>
        <v>0</v>
      </c>
      <c r="L54" s="506">
        <f>'Actual RAB roll forward'!L516</f>
        <v>0</v>
      </c>
      <c r="M54" s="115">
        <f>'Actual RAB roll forward'!M516</f>
        <v>0</v>
      </c>
      <c r="N54" s="115">
        <f>'Actual RAB roll forward'!N516</f>
        <v>0</v>
      </c>
      <c r="O54" s="115">
        <f>'Actual RAB roll forward'!O516</f>
        <v>0</v>
      </c>
      <c r="P54" s="115">
        <f>'Actual RAB roll forward'!P516</f>
        <v>0</v>
      </c>
      <c r="Q54" s="115">
        <f>'Actual RAB roll forward'!Q516</f>
        <v>0</v>
      </c>
      <c r="R54" s="29"/>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4"/>
      <c r="BL54" s="224"/>
    </row>
    <row r="55" spans="1:64" hidden="1" outlineLevel="1">
      <c r="A55" s="9"/>
      <c r="B55" s="9"/>
      <c r="C55" s="44"/>
      <c r="D55" s="271">
        <f>Asset16</f>
        <v>0</v>
      </c>
      <c r="E55" s="9"/>
      <c r="F55" s="9"/>
      <c r="G55" s="204">
        <f>'Actual RAB roll forward'!G517</f>
        <v>0</v>
      </c>
      <c r="H55" s="506">
        <f>'Actual RAB roll forward'!H517</f>
        <v>0</v>
      </c>
      <c r="I55" s="506">
        <f>'Actual RAB roll forward'!I517</f>
        <v>0</v>
      </c>
      <c r="J55" s="506">
        <f>'Actual RAB roll forward'!J517</f>
        <v>0</v>
      </c>
      <c r="K55" s="506">
        <f>'Actual RAB roll forward'!K517</f>
        <v>0</v>
      </c>
      <c r="L55" s="506">
        <f>'Actual RAB roll forward'!L517</f>
        <v>0</v>
      </c>
      <c r="M55" s="115">
        <f>'Actual RAB roll forward'!M517</f>
        <v>0</v>
      </c>
      <c r="N55" s="115">
        <f>'Actual RAB roll forward'!N517</f>
        <v>0</v>
      </c>
      <c r="O55" s="115">
        <f>'Actual RAB roll forward'!O517</f>
        <v>0</v>
      </c>
      <c r="P55" s="115">
        <f>'Actual RAB roll forward'!P517</f>
        <v>0</v>
      </c>
      <c r="Q55" s="115">
        <f>'Actual RAB roll forward'!Q517</f>
        <v>0</v>
      </c>
      <c r="R55" s="29"/>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4"/>
      <c r="BL55" s="224"/>
    </row>
    <row r="56" spans="1:64" hidden="1" outlineLevel="1">
      <c r="A56" s="9"/>
      <c r="B56" s="9"/>
      <c r="C56" s="44"/>
      <c r="D56" s="271">
        <f>Asset17</f>
        <v>0</v>
      </c>
      <c r="E56" s="9"/>
      <c r="F56" s="9"/>
      <c r="G56" s="204">
        <f>'Actual RAB roll forward'!G518</f>
        <v>0</v>
      </c>
      <c r="H56" s="506">
        <f>'Actual RAB roll forward'!H518</f>
        <v>0</v>
      </c>
      <c r="I56" s="506">
        <f>'Actual RAB roll forward'!I518</f>
        <v>0</v>
      </c>
      <c r="J56" s="506">
        <f>'Actual RAB roll forward'!J518</f>
        <v>0</v>
      </c>
      <c r="K56" s="506">
        <f>'Actual RAB roll forward'!K518</f>
        <v>0</v>
      </c>
      <c r="L56" s="506">
        <f>'Actual RAB roll forward'!L518</f>
        <v>0</v>
      </c>
      <c r="M56" s="115">
        <f>'Actual RAB roll forward'!M518</f>
        <v>0</v>
      </c>
      <c r="N56" s="115">
        <f>'Actual RAB roll forward'!N518</f>
        <v>0</v>
      </c>
      <c r="O56" s="115">
        <f>'Actual RAB roll forward'!O518</f>
        <v>0</v>
      </c>
      <c r="P56" s="115">
        <f>'Actual RAB roll forward'!P518</f>
        <v>0</v>
      </c>
      <c r="Q56" s="115">
        <f>'Actual RAB roll forward'!Q518</f>
        <v>0</v>
      </c>
      <c r="R56" s="29"/>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4"/>
      <c r="BL56" s="224"/>
    </row>
    <row r="57" spans="1:64" hidden="1" outlineLevel="1">
      <c r="A57" s="9"/>
      <c r="B57" s="9"/>
      <c r="C57" s="44"/>
      <c r="D57" s="271">
        <f>Asset18</f>
        <v>0</v>
      </c>
      <c r="E57" s="9"/>
      <c r="F57" s="9"/>
      <c r="G57" s="204">
        <f>'Actual RAB roll forward'!G519</f>
        <v>0</v>
      </c>
      <c r="H57" s="506">
        <f>'Actual RAB roll forward'!H519</f>
        <v>0</v>
      </c>
      <c r="I57" s="506">
        <f>'Actual RAB roll forward'!I519</f>
        <v>0</v>
      </c>
      <c r="J57" s="506">
        <f>'Actual RAB roll forward'!J519</f>
        <v>0</v>
      </c>
      <c r="K57" s="506">
        <f>'Actual RAB roll forward'!K519</f>
        <v>0</v>
      </c>
      <c r="L57" s="506">
        <f>'Actual RAB roll forward'!L519</f>
        <v>0</v>
      </c>
      <c r="M57" s="115">
        <f>'Actual RAB roll forward'!M519</f>
        <v>0</v>
      </c>
      <c r="N57" s="115">
        <f>'Actual RAB roll forward'!N519</f>
        <v>0</v>
      </c>
      <c r="O57" s="115">
        <f>'Actual RAB roll forward'!O519</f>
        <v>0</v>
      </c>
      <c r="P57" s="115">
        <f>'Actual RAB roll forward'!P519</f>
        <v>0</v>
      </c>
      <c r="Q57" s="115">
        <f>'Actual RAB roll forward'!Q519</f>
        <v>0</v>
      </c>
      <c r="R57" s="29"/>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4"/>
      <c r="BL57" s="224"/>
    </row>
    <row r="58" spans="1:64" hidden="1" outlineLevel="1">
      <c r="A58" s="9"/>
      <c r="B58" s="9"/>
      <c r="C58" s="44"/>
      <c r="D58" s="271">
        <f>Asset19</f>
        <v>0</v>
      </c>
      <c r="E58" s="9"/>
      <c r="F58" s="9"/>
      <c r="G58" s="204">
        <f>'Actual RAB roll forward'!G520</f>
        <v>0</v>
      </c>
      <c r="H58" s="506">
        <f>'Actual RAB roll forward'!H520</f>
        <v>0</v>
      </c>
      <c r="I58" s="506">
        <f>'Actual RAB roll forward'!I520</f>
        <v>0</v>
      </c>
      <c r="J58" s="506">
        <f>'Actual RAB roll forward'!J520</f>
        <v>0</v>
      </c>
      <c r="K58" s="506">
        <f>'Actual RAB roll forward'!K520</f>
        <v>0</v>
      </c>
      <c r="L58" s="506">
        <f>'Actual RAB roll forward'!L520</f>
        <v>0</v>
      </c>
      <c r="M58" s="115">
        <f>'Actual RAB roll forward'!M520</f>
        <v>0</v>
      </c>
      <c r="N58" s="115">
        <f>'Actual RAB roll forward'!N520</f>
        <v>0</v>
      </c>
      <c r="O58" s="115">
        <f>'Actual RAB roll forward'!O520</f>
        <v>0</v>
      </c>
      <c r="P58" s="115">
        <f>'Actual RAB roll forward'!P520</f>
        <v>0</v>
      </c>
      <c r="Q58" s="115">
        <f>'Actual RAB roll forward'!Q520</f>
        <v>0</v>
      </c>
      <c r="R58" s="29"/>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4"/>
      <c r="BL58" s="224"/>
    </row>
    <row r="59" spans="1:64" hidden="1" outlineLevel="1">
      <c r="A59" s="9"/>
      <c r="B59" s="9"/>
      <c r="C59" s="44"/>
      <c r="D59" s="271">
        <f>Asset20</f>
        <v>0</v>
      </c>
      <c r="E59" s="9"/>
      <c r="F59" s="9"/>
      <c r="G59" s="204">
        <f>'Actual RAB roll forward'!G521</f>
        <v>0</v>
      </c>
      <c r="H59" s="506">
        <f>'Actual RAB roll forward'!H521</f>
        <v>0</v>
      </c>
      <c r="I59" s="506">
        <f>'Actual RAB roll forward'!I521</f>
        <v>0</v>
      </c>
      <c r="J59" s="506">
        <f>'Actual RAB roll forward'!J521</f>
        <v>0</v>
      </c>
      <c r="K59" s="506">
        <f>'Actual RAB roll forward'!K521</f>
        <v>0</v>
      </c>
      <c r="L59" s="506">
        <f>'Actual RAB roll forward'!L521</f>
        <v>0</v>
      </c>
      <c r="M59" s="115">
        <f>'Actual RAB roll forward'!M521</f>
        <v>0</v>
      </c>
      <c r="N59" s="115">
        <f>'Actual RAB roll forward'!N521</f>
        <v>0</v>
      </c>
      <c r="O59" s="115">
        <f>'Actual RAB roll forward'!O521</f>
        <v>0</v>
      </c>
      <c r="P59" s="115">
        <f>'Actual RAB roll forward'!P521</f>
        <v>0</v>
      </c>
      <c r="Q59" s="115">
        <f>'Actual RAB roll forward'!Q521</f>
        <v>0</v>
      </c>
      <c r="R59" s="29"/>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4"/>
      <c r="BL59" s="224"/>
    </row>
    <row r="60" spans="1:64" hidden="1" outlineLevel="1">
      <c r="A60" s="9"/>
      <c r="B60" s="9"/>
      <c r="C60" s="44"/>
      <c r="D60" s="271">
        <f>Asset21</f>
        <v>0</v>
      </c>
      <c r="E60" s="9"/>
      <c r="F60" s="9"/>
      <c r="G60" s="204">
        <f>'Actual RAB roll forward'!G522</f>
        <v>0</v>
      </c>
      <c r="H60" s="506">
        <f>'Actual RAB roll forward'!H522</f>
        <v>0</v>
      </c>
      <c r="I60" s="506">
        <f>'Actual RAB roll forward'!I522</f>
        <v>0</v>
      </c>
      <c r="J60" s="506">
        <f>'Actual RAB roll forward'!J522</f>
        <v>0</v>
      </c>
      <c r="K60" s="506">
        <f>'Actual RAB roll forward'!K522</f>
        <v>0</v>
      </c>
      <c r="L60" s="506">
        <f>'Actual RAB roll forward'!L522</f>
        <v>0</v>
      </c>
      <c r="M60" s="115">
        <f>'Actual RAB roll forward'!M522</f>
        <v>0</v>
      </c>
      <c r="N60" s="115">
        <f>'Actual RAB roll forward'!N522</f>
        <v>0</v>
      </c>
      <c r="O60" s="115">
        <f>'Actual RAB roll forward'!O522</f>
        <v>0</v>
      </c>
      <c r="P60" s="115">
        <f>'Actual RAB roll forward'!P522</f>
        <v>0</v>
      </c>
      <c r="Q60" s="115">
        <f>'Actual RAB roll forward'!Q522</f>
        <v>0</v>
      </c>
      <c r="R60" s="29"/>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4"/>
      <c r="BL60" s="224"/>
    </row>
    <row r="61" spans="1:64" hidden="1" outlineLevel="1">
      <c r="A61" s="9"/>
      <c r="B61" s="9"/>
      <c r="C61" s="44"/>
      <c r="D61" s="271">
        <f>Asset22</f>
        <v>0</v>
      </c>
      <c r="E61" s="9"/>
      <c r="F61" s="9"/>
      <c r="G61" s="204">
        <f>'Actual RAB roll forward'!G523</f>
        <v>0</v>
      </c>
      <c r="H61" s="506">
        <f>'Actual RAB roll forward'!H523</f>
        <v>0</v>
      </c>
      <c r="I61" s="506">
        <f>'Actual RAB roll forward'!I523</f>
        <v>0</v>
      </c>
      <c r="J61" s="506">
        <f>'Actual RAB roll forward'!J523</f>
        <v>0</v>
      </c>
      <c r="K61" s="506">
        <f>'Actual RAB roll forward'!K523</f>
        <v>0</v>
      </c>
      <c r="L61" s="506">
        <f>'Actual RAB roll forward'!L523</f>
        <v>0</v>
      </c>
      <c r="M61" s="115">
        <f>'Actual RAB roll forward'!M523</f>
        <v>0</v>
      </c>
      <c r="N61" s="115">
        <f>'Actual RAB roll forward'!N523</f>
        <v>0</v>
      </c>
      <c r="O61" s="115">
        <f>'Actual RAB roll forward'!O523</f>
        <v>0</v>
      </c>
      <c r="P61" s="115">
        <f>'Actual RAB roll forward'!P523</f>
        <v>0</v>
      </c>
      <c r="Q61" s="115">
        <f>'Actual RAB roll forward'!Q523</f>
        <v>0</v>
      </c>
      <c r="R61" s="29"/>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4"/>
      <c r="BL61" s="224"/>
    </row>
    <row r="62" spans="1:64" hidden="1" outlineLevel="1">
      <c r="A62" s="9"/>
      <c r="B62" s="9"/>
      <c r="C62" s="44"/>
      <c r="D62" s="271">
        <f>Asset23</f>
        <v>0</v>
      </c>
      <c r="E62" s="9"/>
      <c r="F62" s="9"/>
      <c r="G62" s="204">
        <f>'Actual RAB roll forward'!G524</f>
        <v>0</v>
      </c>
      <c r="H62" s="506">
        <f>'Actual RAB roll forward'!H524</f>
        <v>0</v>
      </c>
      <c r="I62" s="506">
        <f>'Actual RAB roll forward'!I524</f>
        <v>0</v>
      </c>
      <c r="J62" s="506">
        <f>'Actual RAB roll forward'!J524</f>
        <v>0</v>
      </c>
      <c r="K62" s="506">
        <f>'Actual RAB roll forward'!K524</f>
        <v>0</v>
      </c>
      <c r="L62" s="506">
        <f>'Actual RAB roll forward'!L524</f>
        <v>0</v>
      </c>
      <c r="M62" s="115">
        <f>'Actual RAB roll forward'!M524</f>
        <v>0</v>
      </c>
      <c r="N62" s="115">
        <f>'Actual RAB roll forward'!N524</f>
        <v>0</v>
      </c>
      <c r="O62" s="115">
        <f>'Actual RAB roll forward'!O524</f>
        <v>0</v>
      </c>
      <c r="P62" s="115">
        <f>'Actual RAB roll forward'!P524</f>
        <v>0</v>
      </c>
      <c r="Q62" s="115">
        <f>'Actual RAB roll forward'!Q524</f>
        <v>0</v>
      </c>
      <c r="R62" s="29"/>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4"/>
      <c r="BL62" s="224"/>
    </row>
    <row r="63" spans="1:64" hidden="1" outlineLevel="1">
      <c r="A63" s="9"/>
      <c r="B63" s="9"/>
      <c r="C63" s="44"/>
      <c r="D63" s="271">
        <f>Asset24</f>
        <v>0</v>
      </c>
      <c r="E63" s="9"/>
      <c r="F63" s="9"/>
      <c r="G63" s="204">
        <f>'Actual RAB roll forward'!G525</f>
        <v>0</v>
      </c>
      <c r="H63" s="506">
        <f>'Actual RAB roll forward'!H525</f>
        <v>0</v>
      </c>
      <c r="I63" s="506">
        <f>'Actual RAB roll forward'!I525</f>
        <v>0</v>
      </c>
      <c r="J63" s="506">
        <f>'Actual RAB roll forward'!J525</f>
        <v>0</v>
      </c>
      <c r="K63" s="506">
        <f>'Actual RAB roll forward'!K525</f>
        <v>0</v>
      </c>
      <c r="L63" s="506">
        <f>'Actual RAB roll forward'!L525</f>
        <v>0</v>
      </c>
      <c r="M63" s="115">
        <f>'Actual RAB roll forward'!M525</f>
        <v>0</v>
      </c>
      <c r="N63" s="115">
        <f>'Actual RAB roll forward'!N525</f>
        <v>0</v>
      </c>
      <c r="O63" s="115">
        <f>'Actual RAB roll forward'!O525</f>
        <v>0</v>
      </c>
      <c r="P63" s="115">
        <f>'Actual RAB roll forward'!P525</f>
        <v>0</v>
      </c>
      <c r="Q63" s="115">
        <f>'Actual RAB roll forward'!Q525</f>
        <v>0</v>
      </c>
      <c r="R63" s="29"/>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4"/>
      <c r="BL63" s="224"/>
    </row>
    <row r="64" spans="1:64" hidden="1" outlineLevel="1">
      <c r="A64" s="9"/>
      <c r="B64" s="9"/>
      <c r="C64" s="44"/>
      <c r="D64" s="271">
        <f>Asset25</f>
        <v>0</v>
      </c>
      <c r="E64" s="9"/>
      <c r="F64" s="9"/>
      <c r="G64" s="204">
        <f>'Actual RAB roll forward'!G526</f>
        <v>0</v>
      </c>
      <c r="H64" s="506">
        <f>'Actual RAB roll forward'!H526</f>
        <v>0</v>
      </c>
      <c r="I64" s="506">
        <f>'Actual RAB roll forward'!I526</f>
        <v>0</v>
      </c>
      <c r="J64" s="506">
        <f>'Actual RAB roll forward'!J526</f>
        <v>0</v>
      </c>
      <c r="K64" s="506">
        <f>'Actual RAB roll forward'!K526</f>
        <v>0</v>
      </c>
      <c r="L64" s="506">
        <f>'Actual RAB roll forward'!L526</f>
        <v>0</v>
      </c>
      <c r="M64" s="115">
        <f>'Actual RAB roll forward'!M526</f>
        <v>0</v>
      </c>
      <c r="N64" s="115">
        <f>'Actual RAB roll forward'!N526</f>
        <v>0</v>
      </c>
      <c r="O64" s="115">
        <f>'Actual RAB roll forward'!O526</f>
        <v>0</v>
      </c>
      <c r="P64" s="115">
        <f>'Actual RAB roll forward'!P526</f>
        <v>0</v>
      </c>
      <c r="Q64" s="115">
        <f>'Actual RAB roll forward'!Q526</f>
        <v>0</v>
      </c>
      <c r="R64" s="29"/>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4"/>
      <c r="BL64" s="224"/>
    </row>
    <row r="65" spans="1:64" hidden="1" outlineLevel="1">
      <c r="A65" s="9"/>
      <c r="B65" s="9"/>
      <c r="C65" s="44"/>
      <c r="D65" s="271">
        <f>Asset26</f>
        <v>0</v>
      </c>
      <c r="E65" s="9"/>
      <c r="F65" s="9"/>
      <c r="G65" s="204">
        <f>'Actual RAB roll forward'!G527</f>
        <v>0</v>
      </c>
      <c r="H65" s="506">
        <f>'Actual RAB roll forward'!H527</f>
        <v>0</v>
      </c>
      <c r="I65" s="506">
        <f>'Actual RAB roll forward'!I527</f>
        <v>0</v>
      </c>
      <c r="J65" s="506">
        <f>'Actual RAB roll forward'!J527</f>
        <v>0</v>
      </c>
      <c r="K65" s="506">
        <f>'Actual RAB roll forward'!K527</f>
        <v>0</v>
      </c>
      <c r="L65" s="506">
        <f>'Actual RAB roll forward'!L527</f>
        <v>0</v>
      </c>
      <c r="M65" s="115">
        <f>'Actual RAB roll forward'!M527</f>
        <v>0</v>
      </c>
      <c r="N65" s="115">
        <f>'Actual RAB roll forward'!N527</f>
        <v>0</v>
      </c>
      <c r="O65" s="115">
        <f>'Actual RAB roll forward'!O527</f>
        <v>0</v>
      </c>
      <c r="P65" s="115">
        <f>'Actual RAB roll forward'!P527</f>
        <v>0</v>
      </c>
      <c r="Q65" s="115">
        <f>'Actual RAB roll forward'!Q527</f>
        <v>0</v>
      </c>
      <c r="R65" s="29"/>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4"/>
      <c r="BL65" s="224"/>
    </row>
    <row r="66" spans="1:64" hidden="1" outlineLevel="1">
      <c r="A66" s="9"/>
      <c r="B66" s="9"/>
      <c r="C66" s="44"/>
      <c r="D66" s="271">
        <f>Asset27</f>
        <v>0</v>
      </c>
      <c r="E66" s="9"/>
      <c r="F66" s="9"/>
      <c r="G66" s="204">
        <f>'Actual RAB roll forward'!G528</f>
        <v>0</v>
      </c>
      <c r="H66" s="506">
        <f>'Actual RAB roll forward'!H528</f>
        <v>0</v>
      </c>
      <c r="I66" s="506">
        <f>'Actual RAB roll forward'!I528</f>
        <v>0</v>
      </c>
      <c r="J66" s="506">
        <f>'Actual RAB roll forward'!J528</f>
        <v>0</v>
      </c>
      <c r="K66" s="506">
        <f>'Actual RAB roll forward'!K528</f>
        <v>0</v>
      </c>
      <c r="L66" s="506">
        <f>'Actual RAB roll forward'!L528</f>
        <v>0</v>
      </c>
      <c r="M66" s="115">
        <f>'Actual RAB roll forward'!M528</f>
        <v>0</v>
      </c>
      <c r="N66" s="115">
        <f>'Actual RAB roll forward'!N528</f>
        <v>0</v>
      </c>
      <c r="O66" s="115">
        <f>'Actual RAB roll forward'!O528</f>
        <v>0</v>
      </c>
      <c r="P66" s="115">
        <f>'Actual RAB roll forward'!P528</f>
        <v>0</v>
      </c>
      <c r="Q66" s="115">
        <f>'Actual RAB roll forward'!Q528</f>
        <v>0</v>
      </c>
      <c r="R66" s="29"/>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4"/>
      <c r="BL66" s="224"/>
    </row>
    <row r="67" spans="1:64" hidden="1" outlineLevel="1">
      <c r="A67" s="9"/>
      <c r="B67" s="9"/>
      <c r="C67" s="44"/>
      <c r="D67" s="271">
        <f>Asset28</f>
        <v>0</v>
      </c>
      <c r="E67" s="9"/>
      <c r="F67" s="9"/>
      <c r="G67" s="204">
        <f>'Actual RAB roll forward'!G529</f>
        <v>0</v>
      </c>
      <c r="H67" s="506">
        <f>'Actual RAB roll forward'!H529</f>
        <v>0</v>
      </c>
      <c r="I67" s="506">
        <f>'Actual RAB roll forward'!I529</f>
        <v>0</v>
      </c>
      <c r="J67" s="506">
        <f>'Actual RAB roll forward'!J529</f>
        <v>0</v>
      </c>
      <c r="K67" s="506">
        <f>'Actual RAB roll forward'!K529</f>
        <v>0</v>
      </c>
      <c r="L67" s="506">
        <f>'Actual RAB roll forward'!L529</f>
        <v>0</v>
      </c>
      <c r="M67" s="115">
        <f>'Actual RAB roll forward'!M529</f>
        <v>0</v>
      </c>
      <c r="N67" s="115">
        <f>'Actual RAB roll forward'!N529</f>
        <v>0</v>
      </c>
      <c r="O67" s="115">
        <f>'Actual RAB roll forward'!O529</f>
        <v>0</v>
      </c>
      <c r="P67" s="115">
        <f>'Actual RAB roll forward'!P529</f>
        <v>0</v>
      </c>
      <c r="Q67" s="115">
        <f>'Actual RAB roll forward'!Q529</f>
        <v>0</v>
      </c>
      <c r="R67" s="29"/>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4"/>
      <c r="BL67" s="224"/>
    </row>
    <row r="68" spans="1:64" hidden="1" outlineLevel="1">
      <c r="A68" s="9"/>
      <c r="B68" s="9"/>
      <c r="C68" s="44"/>
      <c r="D68" s="271">
        <f>Asset29</f>
        <v>0</v>
      </c>
      <c r="E68" s="9"/>
      <c r="F68" s="9"/>
      <c r="G68" s="204">
        <f>'Actual RAB roll forward'!G530</f>
        <v>0</v>
      </c>
      <c r="H68" s="506">
        <f>'Actual RAB roll forward'!H530</f>
        <v>0</v>
      </c>
      <c r="I68" s="506">
        <f>'Actual RAB roll forward'!I530</f>
        <v>0</v>
      </c>
      <c r="J68" s="506">
        <f>'Actual RAB roll forward'!J530</f>
        <v>0</v>
      </c>
      <c r="K68" s="506">
        <f>'Actual RAB roll forward'!K530</f>
        <v>0</v>
      </c>
      <c r="L68" s="506">
        <f>'Actual RAB roll forward'!L530</f>
        <v>0</v>
      </c>
      <c r="M68" s="115">
        <f>'Actual RAB roll forward'!M530</f>
        <v>0</v>
      </c>
      <c r="N68" s="115">
        <f>'Actual RAB roll forward'!N530</f>
        <v>0</v>
      </c>
      <c r="O68" s="115">
        <f>'Actual RAB roll forward'!O530</f>
        <v>0</v>
      </c>
      <c r="P68" s="115">
        <f>'Actual RAB roll forward'!P530</f>
        <v>0</v>
      </c>
      <c r="Q68" s="115">
        <f>'Actual RAB roll forward'!Q530</f>
        <v>0</v>
      </c>
      <c r="R68" s="29"/>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4"/>
      <c r="BL68" s="224"/>
    </row>
    <row r="69" spans="1:64" hidden="1" outlineLevel="1">
      <c r="A69" s="9"/>
      <c r="B69" s="9"/>
      <c r="C69" s="44"/>
      <c r="D69" s="271">
        <f>Asset30</f>
        <v>0</v>
      </c>
      <c r="E69" s="9"/>
      <c r="F69" s="9"/>
      <c r="G69" s="204">
        <f>'Actual RAB roll forward'!G531</f>
        <v>0</v>
      </c>
      <c r="H69" s="506">
        <f>'Actual RAB roll forward'!H531</f>
        <v>0</v>
      </c>
      <c r="I69" s="506">
        <f>'Actual RAB roll forward'!I531</f>
        <v>0</v>
      </c>
      <c r="J69" s="506">
        <f>'Actual RAB roll forward'!J531</f>
        <v>0</v>
      </c>
      <c r="K69" s="506">
        <f>'Actual RAB roll forward'!K531</f>
        <v>0</v>
      </c>
      <c r="L69" s="506">
        <f>'Actual RAB roll forward'!L531</f>
        <v>0</v>
      </c>
      <c r="M69" s="115">
        <f>'Actual RAB roll forward'!M531</f>
        <v>0</v>
      </c>
      <c r="N69" s="115">
        <f>'Actual RAB roll forward'!N531</f>
        <v>0</v>
      </c>
      <c r="O69" s="115">
        <f>'Actual RAB roll forward'!O531</f>
        <v>0</v>
      </c>
      <c r="P69" s="115">
        <f>'Actual RAB roll forward'!P531</f>
        <v>0</v>
      </c>
      <c r="Q69" s="115">
        <f>'Actual RAB roll forward'!Q531</f>
        <v>0</v>
      </c>
      <c r="R69" s="29"/>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4"/>
      <c r="BL69" s="224"/>
    </row>
    <row r="70" spans="1:64" collapsed="1">
      <c r="A70" s="9"/>
      <c r="B70" s="9"/>
      <c r="C70" s="44"/>
      <c r="D70" s="117"/>
      <c r="E70" s="9"/>
      <c r="F70" s="9"/>
      <c r="G70" s="213"/>
      <c r="H70" s="496"/>
      <c r="I70" s="496"/>
      <c r="J70" s="496"/>
      <c r="K70" s="496"/>
      <c r="L70" s="496"/>
      <c r="M70" s="35"/>
      <c r="N70" s="104"/>
      <c r="O70" s="29"/>
      <c r="P70" s="29"/>
      <c r="Q70" s="29"/>
      <c r="R70" s="29"/>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4"/>
      <c r="BL70" s="224"/>
    </row>
    <row r="71" spans="1:64">
      <c r="A71" s="9"/>
      <c r="B71" s="9"/>
      <c r="C71" s="229" t="s">
        <v>49</v>
      </c>
      <c r="D71" s="12"/>
      <c r="E71" s="9"/>
      <c r="F71" s="9"/>
      <c r="G71" s="205">
        <f>SUM(G72:G101)</f>
        <v>-85.497842544496294</v>
      </c>
      <c r="H71" s="496">
        <f>SUM(H72:H101)</f>
        <v>-89.005231496529916</v>
      </c>
      <c r="I71" s="496">
        <f t="shared" ref="I71:P71" si="9">SUM(I72:I101)</f>
        <v>-34.714075478242158</v>
      </c>
      <c r="J71" s="496">
        <f t="shared" si="9"/>
        <v>-83.120548490464657</v>
      </c>
      <c r="K71" s="496">
        <f t="shared" si="9"/>
        <v>-79.084031742681205</v>
      </c>
      <c r="L71" s="496">
        <f t="shared" si="9"/>
        <v>-72.973664130462026</v>
      </c>
      <c r="M71" s="35">
        <f t="shared" si="9"/>
        <v>0</v>
      </c>
      <c r="N71" s="35">
        <f t="shared" si="9"/>
        <v>0</v>
      </c>
      <c r="O71" s="35">
        <f t="shared" si="9"/>
        <v>0</v>
      </c>
      <c r="P71" s="35">
        <f t="shared" si="9"/>
        <v>0</v>
      </c>
      <c r="Q71" s="35">
        <f>SUM(Q72:Q101)</f>
        <v>0</v>
      </c>
      <c r="R71" s="29"/>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4"/>
      <c r="BL71" s="224"/>
    </row>
    <row r="72" spans="1:64" hidden="1" outlineLevel="1">
      <c r="A72" s="9"/>
      <c r="B72" s="9"/>
      <c r="C72" s="44"/>
      <c r="D72" s="271" t="str">
        <f>Asset1</f>
        <v>Subtransmission</v>
      </c>
      <c r="E72" s="9"/>
      <c r="F72" s="9"/>
      <c r="G72" s="204">
        <f>'Actual RAB roll forward'!G534</f>
        <v>-6.6911891775343548</v>
      </c>
      <c r="H72" s="115">
        <f>'Actual RAB roll forward'!H534</f>
        <v>-1.4121726060074709</v>
      </c>
      <c r="I72" s="115">
        <f>'Actual RAB roll forward'!I534</f>
        <v>5.2644874861382362E-2</v>
      </c>
      <c r="J72" s="115">
        <f>'Actual RAB roll forward'!J534</f>
        <v>-3.6168212369029087</v>
      </c>
      <c r="K72" s="115">
        <f>'Actual RAB roll forward'!K534</f>
        <v>-3.5384730273056562</v>
      </c>
      <c r="L72" s="115">
        <f>'Actual RAB roll forward'!L534</f>
        <v>-3.3569311841354992</v>
      </c>
      <c r="M72" s="115">
        <f>'Actual RAB roll forward'!M534</f>
        <v>0</v>
      </c>
      <c r="N72" s="115">
        <f>'Actual RAB roll forward'!N534</f>
        <v>0</v>
      </c>
      <c r="O72" s="115">
        <f>'Actual RAB roll forward'!O534</f>
        <v>0</v>
      </c>
      <c r="P72" s="115">
        <f>'Actual RAB roll forward'!P534</f>
        <v>0</v>
      </c>
      <c r="Q72" s="115">
        <f>'Actual RAB roll forward'!Q534</f>
        <v>0</v>
      </c>
      <c r="R72" s="29"/>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4"/>
      <c r="BL72" s="224"/>
    </row>
    <row r="73" spans="1:64" hidden="1" outlineLevel="1">
      <c r="A73" s="9"/>
      <c r="B73" s="9"/>
      <c r="C73" s="44"/>
      <c r="D73" s="271" t="str">
        <f>Asset2</f>
        <v>Distribution system assets</v>
      </c>
      <c r="E73" s="9"/>
      <c r="F73" s="9"/>
      <c r="G73" s="204">
        <f>'Actual RAB roll forward'!G535</f>
        <v>-30.502351015154549</v>
      </c>
      <c r="H73" s="115">
        <f>'Actual RAB roll forward'!H535</f>
        <v>-13.086408647832833</v>
      </c>
      <c r="I73" s="115">
        <f>'Actual RAB roll forward'!I535</f>
        <v>-9.2938846340430814E-2</v>
      </c>
      <c r="J73" s="115">
        <f>'Actual RAB roll forward'!J535</f>
        <v>-30.829169357900689</v>
      </c>
      <c r="K73" s="115">
        <f>'Actual RAB roll forward'!K535</f>
        <v>-29.421117476512855</v>
      </c>
      <c r="L73" s="115">
        <f>'Actual RAB roll forward'!L535</f>
        <v>-27.717469934295117</v>
      </c>
      <c r="M73" s="115">
        <f>'Actual RAB roll forward'!M535</f>
        <v>0</v>
      </c>
      <c r="N73" s="115">
        <f>'Actual RAB roll forward'!N535</f>
        <v>0</v>
      </c>
      <c r="O73" s="115">
        <f>'Actual RAB roll forward'!O535</f>
        <v>0</v>
      </c>
      <c r="P73" s="115">
        <f>'Actual RAB roll forward'!P535</f>
        <v>0</v>
      </c>
      <c r="Q73" s="115">
        <f>'Actual RAB roll forward'!Q535</f>
        <v>0</v>
      </c>
      <c r="R73" s="29"/>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4"/>
      <c r="BL73" s="224"/>
    </row>
    <row r="74" spans="1:64" hidden="1" outlineLevel="1">
      <c r="A74" s="9"/>
      <c r="B74" s="9"/>
      <c r="C74" s="44"/>
      <c r="D74" s="271" t="str">
        <f>Asset3</f>
        <v>Standard metering</v>
      </c>
      <c r="E74" s="9"/>
      <c r="F74" s="9"/>
      <c r="G74" s="204">
        <f>'Actual RAB roll forward'!G536</f>
        <v>-13.489445516505549</v>
      </c>
      <c r="H74" s="115">
        <f>'Actual RAB roll forward'!H536</f>
        <v>-15.790380770985779</v>
      </c>
      <c r="I74" s="115">
        <f>'Actual RAB roll forward'!I536</f>
        <v>0</v>
      </c>
      <c r="J74" s="115">
        <f>'Actual RAB roll forward'!J536</f>
        <v>0</v>
      </c>
      <c r="K74" s="115">
        <f>'Actual RAB roll forward'!K536</f>
        <v>0</v>
      </c>
      <c r="L74" s="115">
        <f>'Actual RAB roll forward'!L536</f>
        <v>0</v>
      </c>
      <c r="M74" s="115">
        <f>'Actual RAB roll forward'!M536</f>
        <v>0</v>
      </c>
      <c r="N74" s="115">
        <f>'Actual RAB roll forward'!N536</f>
        <v>0</v>
      </c>
      <c r="O74" s="115">
        <f>'Actual RAB roll forward'!O536</f>
        <v>0</v>
      </c>
      <c r="P74" s="115">
        <f>'Actual RAB roll forward'!P536</f>
        <v>0</v>
      </c>
      <c r="Q74" s="115">
        <f>'Actual RAB roll forward'!Q536</f>
        <v>0</v>
      </c>
      <c r="R74" s="29"/>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4"/>
      <c r="BL74" s="224"/>
    </row>
    <row r="75" spans="1:64" hidden="1" outlineLevel="1">
      <c r="A75" s="9"/>
      <c r="B75" s="9"/>
      <c r="C75" s="44"/>
      <c r="D75" s="271" t="str">
        <f>Asset4</f>
        <v>Public lighting</v>
      </c>
      <c r="E75" s="9"/>
      <c r="F75" s="9"/>
      <c r="G75" s="204">
        <f>'Actual RAB roll forward'!G537</f>
        <v>-6.5389223827045004</v>
      </c>
      <c r="H75" s="115">
        <f>'Actual RAB roll forward'!H537</f>
        <v>-0.38897486718899543</v>
      </c>
      <c r="I75" s="115">
        <f>'Actual RAB roll forward'!I537</f>
        <v>0</v>
      </c>
      <c r="J75" s="115">
        <f>'Actual RAB roll forward'!J537</f>
        <v>0</v>
      </c>
      <c r="K75" s="115">
        <f>'Actual RAB roll forward'!K537</f>
        <v>0</v>
      </c>
      <c r="L75" s="115">
        <f>'Actual RAB roll forward'!L537</f>
        <v>0</v>
      </c>
      <c r="M75" s="115">
        <f>'Actual RAB roll forward'!M537</f>
        <v>0</v>
      </c>
      <c r="N75" s="115">
        <f>'Actual RAB roll forward'!N537</f>
        <v>0</v>
      </c>
      <c r="O75" s="115">
        <f>'Actual RAB roll forward'!O537</f>
        <v>0</v>
      </c>
      <c r="P75" s="115">
        <f>'Actual RAB roll forward'!P537</f>
        <v>0</v>
      </c>
      <c r="Q75" s="115">
        <f>'Actual RAB roll forward'!Q537</f>
        <v>0</v>
      </c>
      <c r="R75" s="29"/>
      <c r="S75" s="104"/>
      <c r="T75" s="104"/>
      <c r="U75" s="104"/>
      <c r="V75" s="104"/>
      <c r="W75" s="104"/>
      <c r="X75" s="104"/>
      <c r="Y75" s="104"/>
      <c r="Z75" s="104"/>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4"/>
      <c r="BL75" s="224"/>
    </row>
    <row r="76" spans="1:64" hidden="1" outlineLevel="1">
      <c r="A76" s="9"/>
      <c r="B76" s="9"/>
      <c r="C76" s="44"/>
      <c r="D76" s="271" t="str">
        <f>Asset5</f>
        <v>SCADA/Network control</v>
      </c>
      <c r="E76" s="9"/>
      <c r="F76" s="9"/>
      <c r="G76" s="204">
        <f>'Actual RAB roll forward'!G538</f>
        <v>-9.9973617177477241</v>
      </c>
      <c r="H76" s="115">
        <f>'Actual RAB roll forward'!H538</f>
        <v>-1.6653345369377348E-15</v>
      </c>
      <c r="I76" s="115">
        <f>'Actual RAB roll forward'!I538</f>
        <v>-0.2286760460721044</v>
      </c>
      <c r="J76" s="115">
        <f>'Actual RAB roll forward'!J538</f>
        <v>-1.4038840086916538</v>
      </c>
      <c r="K76" s="115">
        <f>'Actual RAB roll forward'!K538</f>
        <v>-1.8236807268729756</v>
      </c>
      <c r="L76" s="115">
        <f>'Actual RAB roll forward'!L538</f>
        <v>-2.0398525519937203</v>
      </c>
      <c r="M76" s="115">
        <f>'Actual RAB roll forward'!M538</f>
        <v>0</v>
      </c>
      <c r="N76" s="115">
        <f>'Actual RAB roll forward'!N538</f>
        <v>0</v>
      </c>
      <c r="O76" s="115">
        <f>'Actual RAB roll forward'!O538</f>
        <v>0</v>
      </c>
      <c r="P76" s="115">
        <f>'Actual RAB roll forward'!P538</f>
        <v>0</v>
      </c>
      <c r="Q76" s="115">
        <f>'Actual RAB roll forward'!Q538</f>
        <v>0</v>
      </c>
      <c r="R76" s="29"/>
      <c r="S76" s="104"/>
      <c r="T76" s="104"/>
      <c r="U76" s="104"/>
      <c r="V76" s="104"/>
      <c r="W76" s="104"/>
      <c r="X76" s="104"/>
      <c r="Y76" s="104"/>
      <c r="Z76" s="104"/>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4"/>
      <c r="BL76" s="224"/>
    </row>
    <row r="77" spans="1:64" hidden="1" outlineLevel="1">
      <c r="A77" s="9"/>
      <c r="B77" s="9"/>
      <c r="C77" s="44"/>
      <c r="D77" s="271" t="str">
        <f>Asset6</f>
        <v>Non-network general assets - IT</v>
      </c>
      <c r="E77" s="9"/>
      <c r="F77" s="9"/>
      <c r="G77" s="204">
        <f>'Actual RAB roll forward'!G539</f>
        <v>-18.232941669919043</v>
      </c>
      <c r="H77" s="115">
        <f>'Actual RAB roll forward'!H539</f>
        <v>-24.051650203029588</v>
      </c>
      <c r="I77" s="115">
        <f>'Actual RAB roll forward'!I539</f>
        <v>-33.579678639948213</v>
      </c>
      <c r="J77" s="115">
        <f>'Actual RAB roll forward'!J539</f>
        <v>-45.549130105242405</v>
      </c>
      <c r="K77" s="115">
        <f>'Actual RAB roll forward'!K539</f>
        <v>-41.467596794153749</v>
      </c>
      <c r="L77" s="115">
        <f>'Actual RAB roll forward'!L539</f>
        <v>-36.071174665794985</v>
      </c>
      <c r="M77" s="115">
        <f>'Actual RAB roll forward'!M539</f>
        <v>0</v>
      </c>
      <c r="N77" s="115">
        <f>'Actual RAB roll forward'!N539</f>
        <v>0</v>
      </c>
      <c r="O77" s="115">
        <f>'Actual RAB roll forward'!O539</f>
        <v>0</v>
      </c>
      <c r="P77" s="115">
        <f>'Actual RAB roll forward'!P539</f>
        <v>0</v>
      </c>
      <c r="Q77" s="115">
        <f>'Actual RAB roll forward'!Q539</f>
        <v>0</v>
      </c>
      <c r="R77" s="29"/>
      <c r="S77" s="104"/>
      <c r="T77" s="104"/>
      <c r="U77" s="104"/>
      <c r="V77" s="104"/>
      <c r="W77" s="104"/>
      <c r="X77" s="104"/>
      <c r="Y77" s="104"/>
      <c r="Z77" s="104"/>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4"/>
      <c r="BL77" s="224"/>
    </row>
    <row r="78" spans="1:64" hidden="1" outlineLevel="1">
      <c r="A78" s="9"/>
      <c r="B78" s="9"/>
      <c r="C78" s="44"/>
      <c r="D78" s="271" t="str">
        <f>Asset7</f>
        <v>Non-network general assets - Other</v>
      </c>
      <c r="E78" s="9"/>
      <c r="F78" s="9"/>
      <c r="G78" s="204">
        <f>'Actual RAB roll forward'!G540</f>
        <v>-4.5631064930580612E-2</v>
      </c>
      <c r="H78" s="115">
        <f>'Actual RAB roll forward'!H540</f>
        <v>-34.275644401485252</v>
      </c>
      <c r="I78" s="115">
        <f>'Actual RAB roll forward'!I540</f>
        <v>-0.88552901952294794</v>
      </c>
      <c r="J78" s="115">
        <f>'Actual RAB roll forward'!J540</f>
        <v>-1.7177770951143159</v>
      </c>
      <c r="K78" s="115">
        <f>'Actual RAB roll forward'!K540</f>
        <v>-2.8310268264286993</v>
      </c>
      <c r="L78" s="115">
        <f>'Actual RAB roll forward'!L540</f>
        <v>-3.7875204145944852</v>
      </c>
      <c r="M78" s="115">
        <f>'Actual RAB roll forward'!M540</f>
        <v>0</v>
      </c>
      <c r="N78" s="115">
        <f>'Actual RAB roll forward'!N540</f>
        <v>0</v>
      </c>
      <c r="O78" s="115">
        <f>'Actual RAB roll forward'!O540</f>
        <v>0</v>
      </c>
      <c r="P78" s="115">
        <f>'Actual RAB roll forward'!P540</f>
        <v>0</v>
      </c>
      <c r="Q78" s="115">
        <f>'Actual RAB roll forward'!Q540</f>
        <v>0</v>
      </c>
      <c r="R78" s="29"/>
      <c r="S78" s="104"/>
      <c r="T78" s="104"/>
      <c r="U78" s="104"/>
      <c r="V78" s="104"/>
      <c r="W78" s="104"/>
      <c r="X78" s="104"/>
      <c r="Y78" s="104"/>
      <c r="Z78" s="104"/>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4"/>
      <c r="BL78" s="224"/>
    </row>
    <row r="79" spans="1:64" hidden="1" outlineLevel="1">
      <c r="A79" s="9"/>
      <c r="B79" s="9"/>
      <c r="C79" s="44"/>
      <c r="D79" s="271" t="str">
        <f>Asset8</f>
        <v>Equity Raising Costs</v>
      </c>
      <c r="E79" s="9"/>
      <c r="F79" s="9"/>
      <c r="G79" s="204">
        <f>'Actual RAB roll forward'!G541</f>
        <v>0</v>
      </c>
      <c r="H79" s="115">
        <f>'Actual RAB roll forward'!H541</f>
        <v>0</v>
      </c>
      <c r="I79" s="115">
        <f>'Actual RAB roll forward'!I541</f>
        <v>2.0102198780155262E-2</v>
      </c>
      <c r="J79" s="115">
        <f>'Actual RAB roll forward'!J541</f>
        <v>-3.7666866126759915E-3</v>
      </c>
      <c r="K79" s="115">
        <f>'Actual RAB roll forward'!K541</f>
        <v>-2.1368914072693382E-3</v>
      </c>
      <c r="L79" s="115">
        <f>'Actual RAB roll forward'!L541</f>
        <v>-7.1537964822988159E-4</v>
      </c>
      <c r="M79" s="115">
        <f>'Actual RAB roll forward'!M541</f>
        <v>0</v>
      </c>
      <c r="N79" s="115">
        <f>'Actual RAB roll forward'!N541</f>
        <v>0</v>
      </c>
      <c r="O79" s="115">
        <f>'Actual RAB roll forward'!O541</f>
        <v>0</v>
      </c>
      <c r="P79" s="115">
        <f>'Actual RAB roll forward'!P541</f>
        <v>0</v>
      </c>
      <c r="Q79" s="115">
        <f>'Actual RAB roll forward'!Q541</f>
        <v>0</v>
      </c>
      <c r="R79" s="29"/>
      <c r="S79" s="104"/>
      <c r="T79" s="104"/>
      <c r="U79" s="104"/>
      <c r="V79" s="104"/>
      <c r="W79" s="104"/>
      <c r="X79" s="104"/>
      <c r="Y79" s="104"/>
      <c r="Z79" s="104"/>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4"/>
      <c r="BL79" s="224"/>
    </row>
    <row r="80" spans="1:64" hidden="1" outlineLevel="1">
      <c r="A80" s="9"/>
      <c r="B80" s="9"/>
      <c r="C80" s="44"/>
      <c r="D80" s="271">
        <f>Asset9</f>
        <v>0</v>
      </c>
      <c r="E80" s="9"/>
      <c r="F80" s="9"/>
      <c r="G80" s="204">
        <f>'Actual RAB roll forward'!G542</f>
        <v>0</v>
      </c>
      <c r="H80" s="115">
        <f>'Actual RAB roll forward'!H542</f>
        <v>0</v>
      </c>
      <c r="I80" s="115">
        <f>'Actual RAB roll forward'!I542</f>
        <v>0</v>
      </c>
      <c r="J80" s="115">
        <f>'Actual RAB roll forward'!J542</f>
        <v>0</v>
      </c>
      <c r="K80" s="115">
        <f>'Actual RAB roll forward'!K542</f>
        <v>0</v>
      </c>
      <c r="L80" s="115">
        <f>'Actual RAB roll forward'!L542</f>
        <v>0</v>
      </c>
      <c r="M80" s="115">
        <f>'Actual RAB roll forward'!M542</f>
        <v>0</v>
      </c>
      <c r="N80" s="115">
        <f>'Actual RAB roll forward'!N542</f>
        <v>0</v>
      </c>
      <c r="O80" s="115">
        <f>'Actual RAB roll forward'!O542</f>
        <v>0</v>
      </c>
      <c r="P80" s="115">
        <f>'Actual RAB roll forward'!P542</f>
        <v>0</v>
      </c>
      <c r="Q80" s="115">
        <f>'Actual RAB roll forward'!Q542</f>
        <v>0</v>
      </c>
      <c r="R80" s="29"/>
      <c r="S80" s="104"/>
      <c r="T80" s="104"/>
      <c r="U80" s="104"/>
      <c r="V80" s="104"/>
      <c r="W80" s="104"/>
      <c r="X80" s="104"/>
      <c r="Y80" s="104"/>
      <c r="Z80" s="104"/>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4"/>
      <c r="BL80" s="224"/>
    </row>
    <row r="81" spans="1:64" hidden="1" outlineLevel="1">
      <c r="A81" s="9"/>
      <c r="B81" s="9"/>
      <c r="C81" s="44"/>
      <c r="D81" s="271">
        <f>Asset10</f>
        <v>0</v>
      </c>
      <c r="E81" s="9"/>
      <c r="F81" s="9"/>
      <c r="G81" s="204">
        <f>'Actual RAB roll forward'!G543</f>
        <v>0</v>
      </c>
      <c r="H81" s="115">
        <f>'Actual RAB roll forward'!H543</f>
        <v>0</v>
      </c>
      <c r="I81" s="115">
        <f>'Actual RAB roll forward'!I543</f>
        <v>0</v>
      </c>
      <c r="J81" s="115">
        <f>'Actual RAB roll forward'!J543</f>
        <v>0</v>
      </c>
      <c r="K81" s="115">
        <f>'Actual RAB roll forward'!K543</f>
        <v>0</v>
      </c>
      <c r="L81" s="115">
        <f>'Actual RAB roll forward'!L543</f>
        <v>0</v>
      </c>
      <c r="M81" s="115">
        <f>'Actual RAB roll forward'!M543</f>
        <v>0</v>
      </c>
      <c r="N81" s="115">
        <f>'Actual RAB roll forward'!N543</f>
        <v>0</v>
      </c>
      <c r="O81" s="115">
        <f>'Actual RAB roll forward'!O543</f>
        <v>0</v>
      </c>
      <c r="P81" s="115">
        <f>'Actual RAB roll forward'!P543</f>
        <v>0</v>
      </c>
      <c r="Q81" s="115">
        <f>'Actual RAB roll forward'!Q543</f>
        <v>0</v>
      </c>
      <c r="R81" s="29"/>
      <c r="S81" s="104"/>
      <c r="T81" s="104"/>
      <c r="U81" s="104"/>
      <c r="V81" s="104"/>
      <c r="W81" s="104"/>
      <c r="X81" s="104"/>
      <c r="Y81" s="104"/>
      <c r="Z81" s="104"/>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4"/>
      <c r="BL81" s="224"/>
    </row>
    <row r="82" spans="1:64" hidden="1" outlineLevel="1">
      <c r="A82" s="9"/>
      <c r="B82" s="9"/>
      <c r="C82" s="44"/>
      <c r="D82" s="271">
        <f>Asset11</f>
        <v>0</v>
      </c>
      <c r="E82" s="9"/>
      <c r="F82" s="9"/>
      <c r="G82" s="204">
        <f>'Actual RAB roll forward'!G544</f>
        <v>0</v>
      </c>
      <c r="H82" s="115">
        <f>'Actual RAB roll forward'!H544</f>
        <v>0</v>
      </c>
      <c r="I82" s="115">
        <f>'Actual RAB roll forward'!I544</f>
        <v>0</v>
      </c>
      <c r="J82" s="115">
        <f>'Actual RAB roll forward'!J544</f>
        <v>0</v>
      </c>
      <c r="K82" s="115">
        <f>'Actual RAB roll forward'!K544</f>
        <v>0</v>
      </c>
      <c r="L82" s="115">
        <f>'Actual RAB roll forward'!L544</f>
        <v>0</v>
      </c>
      <c r="M82" s="115">
        <f>'Actual RAB roll forward'!M544</f>
        <v>0</v>
      </c>
      <c r="N82" s="115">
        <f>'Actual RAB roll forward'!N544</f>
        <v>0</v>
      </c>
      <c r="O82" s="115">
        <f>'Actual RAB roll forward'!O544</f>
        <v>0</v>
      </c>
      <c r="P82" s="115">
        <f>'Actual RAB roll forward'!P544</f>
        <v>0</v>
      </c>
      <c r="Q82" s="115">
        <f>'Actual RAB roll forward'!Q544</f>
        <v>0</v>
      </c>
      <c r="R82" s="29"/>
      <c r="S82" s="104"/>
      <c r="T82" s="104"/>
      <c r="U82" s="104"/>
      <c r="V82" s="104"/>
      <c r="W82" s="104"/>
      <c r="X82" s="104"/>
      <c r="Y82" s="104"/>
      <c r="Z82" s="104"/>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4"/>
      <c r="BL82" s="224"/>
    </row>
    <row r="83" spans="1:64" hidden="1" outlineLevel="1">
      <c r="A83" s="9"/>
      <c r="B83" s="9"/>
      <c r="C83" s="44"/>
      <c r="D83" s="271">
        <f>Asset12</f>
        <v>0</v>
      </c>
      <c r="E83" s="9"/>
      <c r="F83" s="9"/>
      <c r="G83" s="204">
        <f>'Actual RAB roll forward'!G545</f>
        <v>0</v>
      </c>
      <c r="H83" s="115">
        <f>'Actual RAB roll forward'!H545</f>
        <v>0</v>
      </c>
      <c r="I83" s="115">
        <f>'Actual RAB roll forward'!I545</f>
        <v>0</v>
      </c>
      <c r="J83" s="115">
        <f>'Actual RAB roll forward'!J545</f>
        <v>0</v>
      </c>
      <c r="K83" s="115">
        <f>'Actual RAB roll forward'!K545</f>
        <v>0</v>
      </c>
      <c r="L83" s="115">
        <f>'Actual RAB roll forward'!L545</f>
        <v>0</v>
      </c>
      <c r="M83" s="115">
        <f>'Actual RAB roll forward'!M545</f>
        <v>0</v>
      </c>
      <c r="N83" s="115">
        <f>'Actual RAB roll forward'!N545</f>
        <v>0</v>
      </c>
      <c r="O83" s="115">
        <f>'Actual RAB roll forward'!O545</f>
        <v>0</v>
      </c>
      <c r="P83" s="115">
        <f>'Actual RAB roll forward'!P545</f>
        <v>0</v>
      </c>
      <c r="Q83" s="115">
        <f>'Actual RAB roll forward'!Q545</f>
        <v>0</v>
      </c>
      <c r="R83" s="29"/>
      <c r="S83" s="104"/>
      <c r="T83" s="104"/>
      <c r="U83" s="104"/>
      <c r="V83" s="104"/>
      <c r="W83" s="104"/>
      <c r="X83" s="104"/>
      <c r="Y83" s="104"/>
      <c r="Z83" s="104"/>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4"/>
      <c r="BL83" s="224"/>
    </row>
    <row r="84" spans="1:64" hidden="1" outlineLevel="1">
      <c r="A84" s="9"/>
      <c r="B84" s="9"/>
      <c r="C84" s="44"/>
      <c r="D84" s="271">
        <f>Asset13</f>
        <v>0</v>
      </c>
      <c r="E84" s="9"/>
      <c r="F84" s="9"/>
      <c r="G84" s="204">
        <f>'Actual RAB roll forward'!G546</f>
        <v>0</v>
      </c>
      <c r="H84" s="115">
        <f>'Actual RAB roll forward'!H546</f>
        <v>0</v>
      </c>
      <c r="I84" s="115">
        <f>'Actual RAB roll forward'!I546</f>
        <v>0</v>
      </c>
      <c r="J84" s="115">
        <f>'Actual RAB roll forward'!J546</f>
        <v>0</v>
      </c>
      <c r="K84" s="115">
        <f>'Actual RAB roll forward'!K546</f>
        <v>0</v>
      </c>
      <c r="L84" s="115">
        <f>'Actual RAB roll forward'!L546</f>
        <v>0</v>
      </c>
      <c r="M84" s="115">
        <f>'Actual RAB roll forward'!M546</f>
        <v>0</v>
      </c>
      <c r="N84" s="115">
        <f>'Actual RAB roll forward'!N546</f>
        <v>0</v>
      </c>
      <c r="O84" s="115">
        <f>'Actual RAB roll forward'!O546</f>
        <v>0</v>
      </c>
      <c r="P84" s="115">
        <f>'Actual RAB roll forward'!P546</f>
        <v>0</v>
      </c>
      <c r="Q84" s="115">
        <f>'Actual RAB roll forward'!Q546</f>
        <v>0</v>
      </c>
      <c r="R84" s="29"/>
      <c r="S84" s="104"/>
      <c r="T84" s="104"/>
      <c r="U84" s="104"/>
      <c r="V84" s="104"/>
      <c r="W84" s="104"/>
      <c r="X84" s="104"/>
      <c r="Y84" s="104"/>
      <c r="Z84" s="104"/>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4"/>
      <c r="BL84" s="224"/>
    </row>
    <row r="85" spans="1:64" hidden="1" outlineLevel="1">
      <c r="A85" s="9"/>
      <c r="B85" s="9"/>
      <c r="C85" s="44"/>
      <c r="D85" s="271">
        <f>Asset14</f>
        <v>0</v>
      </c>
      <c r="E85" s="9"/>
      <c r="F85" s="9"/>
      <c r="G85" s="204">
        <f>'Actual RAB roll forward'!G547</f>
        <v>0</v>
      </c>
      <c r="H85" s="115">
        <f>'Actual RAB roll forward'!H547</f>
        <v>0</v>
      </c>
      <c r="I85" s="115">
        <f>'Actual RAB roll forward'!I547</f>
        <v>0</v>
      </c>
      <c r="J85" s="115">
        <f>'Actual RAB roll forward'!J547</f>
        <v>0</v>
      </c>
      <c r="K85" s="115">
        <f>'Actual RAB roll forward'!K547</f>
        <v>0</v>
      </c>
      <c r="L85" s="115">
        <f>'Actual RAB roll forward'!L547</f>
        <v>0</v>
      </c>
      <c r="M85" s="115">
        <f>'Actual RAB roll forward'!M547</f>
        <v>0</v>
      </c>
      <c r="N85" s="115">
        <f>'Actual RAB roll forward'!N547</f>
        <v>0</v>
      </c>
      <c r="O85" s="115">
        <f>'Actual RAB roll forward'!O547</f>
        <v>0</v>
      </c>
      <c r="P85" s="115">
        <f>'Actual RAB roll forward'!P547</f>
        <v>0</v>
      </c>
      <c r="Q85" s="115">
        <f>'Actual RAB roll forward'!Q547</f>
        <v>0</v>
      </c>
      <c r="R85" s="29"/>
      <c r="S85" s="104"/>
      <c r="T85" s="104"/>
      <c r="U85" s="104"/>
      <c r="V85" s="104"/>
      <c r="W85" s="104"/>
      <c r="X85" s="104"/>
      <c r="Y85" s="104"/>
      <c r="Z85" s="104"/>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4"/>
      <c r="BL85" s="224"/>
    </row>
    <row r="86" spans="1:64" hidden="1" outlineLevel="1">
      <c r="A86" s="9"/>
      <c r="B86" s="9"/>
      <c r="C86" s="44"/>
      <c r="D86" s="271">
        <f>Asset15</f>
        <v>0</v>
      </c>
      <c r="E86" s="9"/>
      <c r="F86" s="9"/>
      <c r="G86" s="204">
        <f>'Actual RAB roll forward'!G548</f>
        <v>0</v>
      </c>
      <c r="H86" s="115">
        <f>'Actual RAB roll forward'!H548</f>
        <v>0</v>
      </c>
      <c r="I86" s="115">
        <f>'Actual RAB roll forward'!I548</f>
        <v>0</v>
      </c>
      <c r="J86" s="115">
        <f>'Actual RAB roll forward'!J548</f>
        <v>0</v>
      </c>
      <c r="K86" s="115">
        <f>'Actual RAB roll forward'!K548</f>
        <v>0</v>
      </c>
      <c r="L86" s="115">
        <f>'Actual RAB roll forward'!L548</f>
        <v>0</v>
      </c>
      <c r="M86" s="115">
        <f>'Actual RAB roll forward'!M548</f>
        <v>0</v>
      </c>
      <c r="N86" s="115">
        <f>'Actual RAB roll forward'!N548</f>
        <v>0</v>
      </c>
      <c r="O86" s="115">
        <f>'Actual RAB roll forward'!O548</f>
        <v>0</v>
      </c>
      <c r="P86" s="115">
        <f>'Actual RAB roll forward'!P548</f>
        <v>0</v>
      </c>
      <c r="Q86" s="115">
        <f>'Actual RAB roll forward'!Q548</f>
        <v>0</v>
      </c>
      <c r="R86" s="29"/>
      <c r="S86" s="104"/>
      <c r="T86" s="104"/>
      <c r="U86" s="104"/>
      <c r="V86" s="104"/>
      <c r="W86" s="104"/>
      <c r="X86" s="104"/>
      <c r="Y86" s="104"/>
      <c r="Z86" s="104"/>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4"/>
      <c r="BL86" s="224"/>
    </row>
    <row r="87" spans="1:64" hidden="1" outlineLevel="1">
      <c r="A87" s="9"/>
      <c r="B87" s="9"/>
      <c r="C87" s="44"/>
      <c r="D87" s="271">
        <f>Asset16</f>
        <v>0</v>
      </c>
      <c r="E87" s="9"/>
      <c r="F87" s="9"/>
      <c r="G87" s="204">
        <f>'Actual RAB roll forward'!G549</f>
        <v>0</v>
      </c>
      <c r="H87" s="115">
        <f>'Actual RAB roll forward'!H549</f>
        <v>0</v>
      </c>
      <c r="I87" s="115">
        <f>'Actual RAB roll forward'!I549</f>
        <v>0</v>
      </c>
      <c r="J87" s="115">
        <f>'Actual RAB roll forward'!J549</f>
        <v>0</v>
      </c>
      <c r="K87" s="115">
        <f>'Actual RAB roll forward'!K549</f>
        <v>0</v>
      </c>
      <c r="L87" s="115">
        <f>'Actual RAB roll forward'!L549</f>
        <v>0</v>
      </c>
      <c r="M87" s="115">
        <f>'Actual RAB roll forward'!M549</f>
        <v>0</v>
      </c>
      <c r="N87" s="115">
        <f>'Actual RAB roll forward'!N549</f>
        <v>0</v>
      </c>
      <c r="O87" s="115">
        <f>'Actual RAB roll forward'!O549</f>
        <v>0</v>
      </c>
      <c r="P87" s="115">
        <f>'Actual RAB roll forward'!P549</f>
        <v>0</v>
      </c>
      <c r="Q87" s="115">
        <f>'Actual RAB roll forward'!Q549</f>
        <v>0</v>
      </c>
      <c r="R87" s="29"/>
      <c r="S87" s="104"/>
      <c r="T87" s="104"/>
      <c r="U87" s="104"/>
      <c r="V87" s="104"/>
      <c r="W87" s="104"/>
      <c r="X87" s="104"/>
      <c r="Y87" s="104"/>
      <c r="Z87" s="104"/>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4"/>
      <c r="BL87" s="224"/>
    </row>
    <row r="88" spans="1:64" hidden="1" outlineLevel="1">
      <c r="A88" s="9"/>
      <c r="B88" s="9"/>
      <c r="C88" s="44"/>
      <c r="D88" s="271">
        <f>Asset17</f>
        <v>0</v>
      </c>
      <c r="E88" s="9"/>
      <c r="F88" s="9"/>
      <c r="G88" s="204">
        <f>'Actual RAB roll forward'!G550</f>
        <v>0</v>
      </c>
      <c r="H88" s="115">
        <f>'Actual RAB roll forward'!H550</f>
        <v>0</v>
      </c>
      <c r="I88" s="115">
        <f>'Actual RAB roll forward'!I550</f>
        <v>0</v>
      </c>
      <c r="J88" s="115">
        <f>'Actual RAB roll forward'!J550</f>
        <v>0</v>
      </c>
      <c r="K88" s="115">
        <f>'Actual RAB roll forward'!K550</f>
        <v>0</v>
      </c>
      <c r="L88" s="115">
        <f>'Actual RAB roll forward'!L550</f>
        <v>0</v>
      </c>
      <c r="M88" s="115">
        <f>'Actual RAB roll forward'!M550</f>
        <v>0</v>
      </c>
      <c r="N88" s="115">
        <f>'Actual RAB roll forward'!N550</f>
        <v>0</v>
      </c>
      <c r="O88" s="115">
        <f>'Actual RAB roll forward'!O550</f>
        <v>0</v>
      </c>
      <c r="P88" s="115">
        <f>'Actual RAB roll forward'!P550</f>
        <v>0</v>
      </c>
      <c r="Q88" s="115">
        <f>'Actual RAB roll forward'!Q550</f>
        <v>0</v>
      </c>
      <c r="R88" s="29"/>
      <c r="S88" s="104"/>
      <c r="T88" s="104"/>
      <c r="U88" s="104"/>
      <c r="V88" s="104"/>
      <c r="W88" s="104"/>
      <c r="X88" s="104"/>
      <c r="Y88" s="104"/>
      <c r="Z88" s="104"/>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4"/>
      <c r="BL88" s="224"/>
    </row>
    <row r="89" spans="1:64" hidden="1" outlineLevel="1">
      <c r="A89" s="9"/>
      <c r="B89" s="9"/>
      <c r="C89" s="44"/>
      <c r="D89" s="271">
        <f>Asset18</f>
        <v>0</v>
      </c>
      <c r="E89" s="9"/>
      <c r="F89" s="9"/>
      <c r="G89" s="204">
        <f>'Actual RAB roll forward'!G551</f>
        <v>0</v>
      </c>
      <c r="H89" s="115">
        <f>'Actual RAB roll forward'!H551</f>
        <v>0</v>
      </c>
      <c r="I89" s="115">
        <f>'Actual RAB roll forward'!I551</f>
        <v>0</v>
      </c>
      <c r="J89" s="115">
        <f>'Actual RAB roll forward'!J551</f>
        <v>0</v>
      </c>
      <c r="K89" s="115">
        <f>'Actual RAB roll forward'!K551</f>
        <v>0</v>
      </c>
      <c r="L89" s="115">
        <f>'Actual RAB roll forward'!L551</f>
        <v>0</v>
      </c>
      <c r="M89" s="115">
        <f>'Actual RAB roll forward'!M551</f>
        <v>0</v>
      </c>
      <c r="N89" s="115">
        <f>'Actual RAB roll forward'!N551</f>
        <v>0</v>
      </c>
      <c r="O89" s="115">
        <f>'Actual RAB roll forward'!O551</f>
        <v>0</v>
      </c>
      <c r="P89" s="115">
        <f>'Actual RAB roll forward'!P551</f>
        <v>0</v>
      </c>
      <c r="Q89" s="115">
        <f>'Actual RAB roll forward'!Q551</f>
        <v>0</v>
      </c>
      <c r="R89" s="29"/>
      <c r="S89" s="104"/>
      <c r="T89" s="104"/>
      <c r="U89" s="104"/>
      <c r="V89" s="104"/>
      <c r="W89" s="104"/>
      <c r="X89" s="104"/>
      <c r="Y89" s="104"/>
      <c r="Z89" s="104"/>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4"/>
      <c r="BL89" s="224"/>
    </row>
    <row r="90" spans="1:64" hidden="1" outlineLevel="1">
      <c r="A90" s="9"/>
      <c r="B90" s="9"/>
      <c r="C90" s="44"/>
      <c r="D90" s="271">
        <f>Asset19</f>
        <v>0</v>
      </c>
      <c r="E90" s="9"/>
      <c r="F90" s="9"/>
      <c r="G90" s="204">
        <f>'Actual RAB roll forward'!G552</f>
        <v>0</v>
      </c>
      <c r="H90" s="115">
        <f>'Actual RAB roll forward'!H552</f>
        <v>0</v>
      </c>
      <c r="I90" s="115">
        <f>'Actual RAB roll forward'!I552</f>
        <v>0</v>
      </c>
      <c r="J90" s="115">
        <f>'Actual RAB roll forward'!J552</f>
        <v>0</v>
      </c>
      <c r="K90" s="115">
        <f>'Actual RAB roll forward'!K552</f>
        <v>0</v>
      </c>
      <c r="L90" s="115">
        <f>'Actual RAB roll forward'!L552</f>
        <v>0</v>
      </c>
      <c r="M90" s="115">
        <f>'Actual RAB roll forward'!M552</f>
        <v>0</v>
      </c>
      <c r="N90" s="115">
        <f>'Actual RAB roll forward'!N552</f>
        <v>0</v>
      </c>
      <c r="O90" s="115">
        <f>'Actual RAB roll forward'!O552</f>
        <v>0</v>
      </c>
      <c r="P90" s="115">
        <f>'Actual RAB roll forward'!P552</f>
        <v>0</v>
      </c>
      <c r="Q90" s="115">
        <f>'Actual RAB roll forward'!Q552</f>
        <v>0</v>
      </c>
      <c r="R90" s="29"/>
      <c r="S90" s="104"/>
      <c r="T90" s="104"/>
      <c r="U90" s="104"/>
      <c r="V90" s="104"/>
      <c r="W90" s="104"/>
      <c r="X90" s="104"/>
      <c r="Y90" s="104"/>
      <c r="Z90" s="104"/>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4"/>
      <c r="BL90" s="224"/>
    </row>
    <row r="91" spans="1:64" hidden="1" outlineLevel="1">
      <c r="A91" s="9"/>
      <c r="B91" s="9"/>
      <c r="C91" s="44"/>
      <c r="D91" s="271">
        <f>Asset20</f>
        <v>0</v>
      </c>
      <c r="E91" s="9"/>
      <c r="F91" s="9"/>
      <c r="G91" s="204">
        <f>'Actual RAB roll forward'!G553</f>
        <v>0</v>
      </c>
      <c r="H91" s="115">
        <f>'Actual RAB roll forward'!H553</f>
        <v>0</v>
      </c>
      <c r="I91" s="115">
        <f>'Actual RAB roll forward'!I553</f>
        <v>0</v>
      </c>
      <c r="J91" s="115">
        <f>'Actual RAB roll forward'!J553</f>
        <v>0</v>
      </c>
      <c r="K91" s="115">
        <f>'Actual RAB roll forward'!K553</f>
        <v>0</v>
      </c>
      <c r="L91" s="115">
        <f>'Actual RAB roll forward'!L553</f>
        <v>0</v>
      </c>
      <c r="M91" s="115">
        <f>'Actual RAB roll forward'!M553</f>
        <v>0</v>
      </c>
      <c r="N91" s="115">
        <f>'Actual RAB roll forward'!N553</f>
        <v>0</v>
      </c>
      <c r="O91" s="115">
        <f>'Actual RAB roll forward'!O553</f>
        <v>0</v>
      </c>
      <c r="P91" s="115">
        <f>'Actual RAB roll forward'!P553</f>
        <v>0</v>
      </c>
      <c r="Q91" s="115">
        <f>'Actual RAB roll forward'!Q553</f>
        <v>0</v>
      </c>
      <c r="R91" s="29"/>
      <c r="S91" s="104"/>
      <c r="T91" s="104"/>
      <c r="U91" s="104"/>
      <c r="V91" s="104"/>
      <c r="W91" s="104"/>
      <c r="X91" s="104"/>
      <c r="Y91" s="104"/>
      <c r="Z91" s="104"/>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4"/>
      <c r="BL91" s="224"/>
    </row>
    <row r="92" spans="1:64" hidden="1" outlineLevel="1">
      <c r="A92" s="9"/>
      <c r="B92" s="9"/>
      <c r="C92" s="44"/>
      <c r="D92" s="271">
        <f>Asset21</f>
        <v>0</v>
      </c>
      <c r="E92" s="9"/>
      <c r="F92" s="9"/>
      <c r="G92" s="204">
        <f>'Actual RAB roll forward'!G554</f>
        <v>0</v>
      </c>
      <c r="H92" s="115">
        <f>'Actual RAB roll forward'!H554</f>
        <v>0</v>
      </c>
      <c r="I92" s="115">
        <f>'Actual RAB roll forward'!I554</f>
        <v>0</v>
      </c>
      <c r="J92" s="115">
        <f>'Actual RAB roll forward'!J554</f>
        <v>0</v>
      </c>
      <c r="K92" s="115">
        <f>'Actual RAB roll forward'!K554</f>
        <v>0</v>
      </c>
      <c r="L92" s="115">
        <f>'Actual RAB roll forward'!L554</f>
        <v>0</v>
      </c>
      <c r="M92" s="115">
        <f>'Actual RAB roll forward'!M554</f>
        <v>0</v>
      </c>
      <c r="N92" s="115">
        <f>'Actual RAB roll forward'!N554</f>
        <v>0</v>
      </c>
      <c r="O92" s="115">
        <f>'Actual RAB roll forward'!O554</f>
        <v>0</v>
      </c>
      <c r="P92" s="115">
        <f>'Actual RAB roll forward'!P554</f>
        <v>0</v>
      </c>
      <c r="Q92" s="115">
        <f>'Actual RAB roll forward'!Q554</f>
        <v>0</v>
      </c>
      <c r="R92" s="29"/>
      <c r="S92" s="104"/>
      <c r="T92" s="104"/>
      <c r="U92" s="104"/>
      <c r="V92" s="104"/>
      <c r="W92" s="104"/>
      <c r="X92" s="104"/>
      <c r="Y92" s="104"/>
      <c r="Z92" s="104"/>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4"/>
      <c r="BL92" s="224"/>
    </row>
    <row r="93" spans="1:64" hidden="1" outlineLevel="1">
      <c r="A93" s="9"/>
      <c r="B93" s="9"/>
      <c r="C93" s="44"/>
      <c r="D93" s="271">
        <f>Asset22</f>
        <v>0</v>
      </c>
      <c r="E93" s="9"/>
      <c r="F93" s="9"/>
      <c r="G93" s="204">
        <f>'Actual RAB roll forward'!G555</f>
        <v>0</v>
      </c>
      <c r="H93" s="115">
        <f>'Actual RAB roll forward'!H555</f>
        <v>0</v>
      </c>
      <c r="I93" s="115">
        <f>'Actual RAB roll forward'!I555</f>
        <v>0</v>
      </c>
      <c r="J93" s="115">
        <f>'Actual RAB roll forward'!J555</f>
        <v>0</v>
      </c>
      <c r="K93" s="115">
        <f>'Actual RAB roll forward'!K555</f>
        <v>0</v>
      </c>
      <c r="L93" s="115">
        <f>'Actual RAB roll forward'!L555</f>
        <v>0</v>
      </c>
      <c r="M93" s="115">
        <f>'Actual RAB roll forward'!M555</f>
        <v>0</v>
      </c>
      <c r="N93" s="115">
        <f>'Actual RAB roll forward'!N555</f>
        <v>0</v>
      </c>
      <c r="O93" s="115">
        <f>'Actual RAB roll forward'!O555</f>
        <v>0</v>
      </c>
      <c r="P93" s="115">
        <f>'Actual RAB roll forward'!P555</f>
        <v>0</v>
      </c>
      <c r="Q93" s="115">
        <f>'Actual RAB roll forward'!Q555</f>
        <v>0</v>
      </c>
      <c r="R93" s="29"/>
      <c r="S93" s="104"/>
      <c r="T93" s="104"/>
      <c r="U93" s="104"/>
      <c r="V93" s="104"/>
      <c r="W93" s="104"/>
      <c r="X93" s="104"/>
      <c r="Y93" s="104"/>
      <c r="Z93" s="104"/>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4"/>
      <c r="BL93" s="224"/>
    </row>
    <row r="94" spans="1:64" hidden="1" outlineLevel="1">
      <c r="A94" s="9"/>
      <c r="B94" s="9"/>
      <c r="C94" s="44"/>
      <c r="D94" s="271">
        <f>Asset23</f>
        <v>0</v>
      </c>
      <c r="E94" s="9"/>
      <c r="F94" s="9"/>
      <c r="G94" s="204">
        <f>'Actual RAB roll forward'!G556</f>
        <v>0</v>
      </c>
      <c r="H94" s="115">
        <f>'Actual RAB roll forward'!H556</f>
        <v>0</v>
      </c>
      <c r="I94" s="115">
        <f>'Actual RAB roll forward'!I556</f>
        <v>0</v>
      </c>
      <c r="J94" s="115">
        <f>'Actual RAB roll forward'!J556</f>
        <v>0</v>
      </c>
      <c r="K94" s="115">
        <f>'Actual RAB roll forward'!K556</f>
        <v>0</v>
      </c>
      <c r="L94" s="115">
        <f>'Actual RAB roll forward'!L556</f>
        <v>0</v>
      </c>
      <c r="M94" s="115">
        <f>'Actual RAB roll forward'!M556</f>
        <v>0</v>
      </c>
      <c r="N94" s="115">
        <f>'Actual RAB roll forward'!N556</f>
        <v>0</v>
      </c>
      <c r="O94" s="115">
        <f>'Actual RAB roll forward'!O556</f>
        <v>0</v>
      </c>
      <c r="P94" s="115">
        <f>'Actual RAB roll forward'!P556</f>
        <v>0</v>
      </c>
      <c r="Q94" s="115">
        <f>'Actual RAB roll forward'!Q556</f>
        <v>0</v>
      </c>
      <c r="R94" s="29"/>
      <c r="S94" s="104"/>
      <c r="T94" s="104"/>
      <c r="U94" s="104"/>
      <c r="V94" s="104"/>
      <c r="W94" s="104"/>
      <c r="X94" s="104"/>
      <c r="Y94" s="104"/>
      <c r="Z94" s="104"/>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4"/>
      <c r="BL94" s="224"/>
    </row>
    <row r="95" spans="1:64" hidden="1" outlineLevel="1">
      <c r="A95" s="9"/>
      <c r="B95" s="9"/>
      <c r="C95" s="44"/>
      <c r="D95" s="271">
        <f>Asset24</f>
        <v>0</v>
      </c>
      <c r="E95" s="9"/>
      <c r="F95" s="9"/>
      <c r="G95" s="204">
        <f>'Actual RAB roll forward'!G557</f>
        <v>0</v>
      </c>
      <c r="H95" s="115">
        <f>'Actual RAB roll forward'!H557</f>
        <v>0</v>
      </c>
      <c r="I95" s="115">
        <f>'Actual RAB roll forward'!I557</f>
        <v>0</v>
      </c>
      <c r="J95" s="115">
        <f>'Actual RAB roll forward'!J557</f>
        <v>0</v>
      </c>
      <c r="K95" s="115">
        <f>'Actual RAB roll forward'!K557</f>
        <v>0</v>
      </c>
      <c r="L95" s="115">
        <f>'Actual RAB roll forward'!L557</f>
        <v>0</v>
      </c>
      <c r="M95" s="115">
        <f>'Actual RAB roll forward'!M557</f>
        <v>0</v>
      </c>
      <c r="N95" s="115">
        <f>'Actual RAB roll forward'!N557</f>
        <v>0</v>
      </c>
      <c r="O95" s="115">
        <f>'Actual RAB roll forward'!O557</f>
        <v>0</v>
      </c>
      <c r="P95" s="115">
        <f>'Actual RAB roll forward'!P557</f>
        <v>0</v>
      </c>
      <c r="Q95" s="115">
        <f>'Actual RAB roll forward'!Q557</f>
        <v>0</v>
      </c>
      <c r="R95" s="29"/>
      <c r="S95" s="104"/>
      <c r="T95" s="104"/>
      <c r="U95" s="104"/>
      <c r="V95" s="104"/>
      <c r="W95" s="104"/>
      <c r="X95" s="104"/>
      <c r="Y95" s="104"/>
      <c r="Z95" s="104"/>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4"/>
      <c r="BL95" s="224"/>
    </row>
    <row r="96" spans="1:64" hidden="1" outlineLevel="1">
      <c r="A96" s="9"/>
      <c r="B96" s="9"/>
      <c r="C96" s="44"/>
      <c r="D96" s="271">
        <f>Asset25</f>
        <v>0</v>
      </c>
      <c r="E96" s="9"/>
      <c r="F96" s="9"/>
      <c r="G96" s="204">
        <f>'Actual RAB roll forward'!G558</f>
        <v>0</v>
      </c>
      <c r="H96" s="115">
        <f>'Actual RAB roll forward'!H558</f>
        <v>0</v>
      </c>
      <c r="I96" s="115">
        <f>'Actual RAB roll forward'!I558</f>
        <v>0</v>
      </c>
      <c r="J96" s="115">
        <f>'Actual RAB roll forward'!J558</f>
        <v>0</v>
      </c>
      <c r="K96" s="115">
        <f>'Actual RAB roll forward'!K558</f>
        <v>0</v>
      </c>
      <c r="L96" s="115">
        <f>'Actual RAB roll forward'!L558</f>
        <v>0</v>
      </c>
      <c r="M96" s="115">
        <f>'Actual RAB roll forward'!M558</f>
        <v>0</v>
      </c>
      <c r="N96" s="115">
        <f>'Actual RAB roll forward'!N558</f>
        <v>0</v>
      </c>
      <c r="O96" s="115">
        <f>'Actual RAB roll forward'!O558</f>
        <v>0</v>
      </c>
      <c r="P96" s="115">
        <f>'Actual RAB roll forward'!P558</f>
        <v>0</v>
      </c>
      <c r="Q96" s="115">
        <f>'Actual RAB roll forward'!Q558</f>
        <v>0</v>
      </c>
      <c r="R96" s="29"/>
      <c r="S96" s="104"/>
      <c r="T96" s="104"/>
      <c r="U96" s="104"/>
      <c r="V96" s="104"/>
      <c r="W96" s="104"/>
      <c r="X96" s="104"/>
      <c r="Y96" s="104"/>
      <c r="Z96" s="104"/>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4"/>
      <c r="BL96" s="224"/>
    </row>
    <row r="97" spans="1:64" hidden="1" outlineLevel="1">
      <c r="A97" s="9"/>
      <c r="B97" s="9"/>
      <c r="C97" s="44"/>
      <c r="D97" s="271">
        <f>Asset26</f>
        <v>0</v>
      </c>
      <c r="E97" s="9"/>
      <c r="F97" s="9"/>
      <c r="G97" s="204">
        <f>'Actual RAB roll forward'!G559</f>
        <v>0</v>
      </c>
      <c r="H97" s="115">
        <f>'Actual RAB roll forward'!H559</f>
        <v>0</v>
      </c>
      <c r="I97" s="115">
        <f>'Actual RAB roll forward'!I559</f>
        <v>0</v>
      </c>
      <c r="J97" s="115">
        <f>'Actual RAB roll forward'!J559</f>
        <v>0</v>
      </c>
      <c r="K97" s="115">
        <f>'Actual RAB roll forward'!K559</f>
        <v>0</v>
      </c>
      <c r="L97" s="115">
        <f>'Actual RAB roll forward'!L559</f>
        <v>0</v>
      </c>
      <c r="M97" s="115">
        <f>'Actual RAB roll forward'!M559</f>
        <v>0</v>
      </c>
      <c r="N97" s="115">
        <f>'Actual RAB roll forward'!N559</f>
        <v>0</v>
      </c>
      <c r="O97" s="115">
        <f>'Actual RAB roll forward'!O559</f>
        <v>0</v>
      </c>
      <c r="P97" s="115">
        <f>'Actual RAB roll forward'!P559</f>
        <v>0</v>
      </c>
      <c r="Q97" s="115">
        <f>'Actual RAB roll forward'!Q559</f>
        <v>0</v>
      </c>
      <c r="R97" s="29"/>
      <c r="S97" s="104"/>
      <c r="T97" s="104"/>
      <c r="U97" s="104"/>
      <c r="V97" s="104"/>
      <c r="W97" s="104"/>
      <c r="X97" s="104"/>
      <c r="Y97" s="104"/>
      <c r="Z97" s="104"/>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4"/>
      <c r="BL97" s="224"/>
    </row>
    <row r="98" spans="1:64" hidden="1" outlineLevel="1">
      <c r="A98" s="9"/>
      <c r="B98" s="9"/>
      <c r="C98" s="44"/>
      <c r="D98" s="271">
        <f>Asset27</f>
        <v>0</v>
      </c>
      <c r="E98" s="9"/>
      <c r="F98" s="9"/>
      <c r="G98" s="204">
        <f>'Actual RAB roll forward'!G560</f>
        <v>0</v>
      </c>
      <c r="H98" s="115">
        <f>'Actual RAB roll forward'!H560</f>
        <v>0</v>
      </c>
      <c r="I98" s="115">
        <f>'Actual RAB roll forward'!I560</f>
        <v>0</v>
      </c>
      <c r="J98" s="115">
        <f>'Actual RAB roll forward'!J560</f>
        <v>0</v>
      </c>
      <c r="K98" s="115">
        <f>'Actual RAB roll forward'!K560</f>
        <v>0</v>
      </c>
      <c r="L98" s="115">
        <f>'Actual RAB roll forward'!L560</f>
        <v>0</v>
      </c>
      <c r="M98" s="115">
        <f>'Actual RAB roll forward'!M560</f>
        <v>0</v>
      </c>
      <c r="N98" s="115">
        <f>'Actual RAB roll forward'!N560</f>
        <v>0</v>
      </c>
      <c r="O98" s="115">
        <f>'Actual RAB roll forward'!O560</f>
        <v>0</v>
      </c>
      <c r="P98" s="115">
        <f>'Actual RAB roll forward'!P560</f>
        <v>0</v>
      </c>
      <c r="Q98" s="115">
        <f>'Actual RAB roll forward'!Q560</f>
        <v>0</v>
      </c>
      <c r="R98" s="29"/>
      <c r="S98" s="104"/>
      <c r="T98" s="104"/>
      <c r="U98" s="104"/>
      <c r="V98" s="104"/>
      <c r="W98" s="104"/>
      <c r="X98" s="104"/>
      <c r="Y98" s="104"/>
      <c r="Z98" s="104"/>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4"/>
      <c r="BL98" s="224"/>
    </row>
    <row r="99" spans="1:64" hidden="1" outlineLevel="1">
      <c r="A99" s="9"/>
      <c r="B99" s="9"/>
      <c r="C99" s="44"/>
      <c r="D99" s="271">
        <f>Asset28</f>
        <v>0</v>
      </c>
      <c r="E99" s="9"/>
      <c r="F99" s="9"/>
      <c r="G99" s="204">
        <f>'Actual RAB roll forward'!G561</f>
        <v>0</v>
      </c>
      <c r="H99" s="115">
        <f>'Actual RAB roll forward'!H561</f>
        <v>0</v>
      </c>
      <c r="I99" s="115">
        <f>'Actual RAB roll forward'!I561</f>
        <v>0</v>
      </c>
      <c r="J99" s="115">
        <f>'Actual RAB roll forward'!J561</f>
        <v>0</v>
      </c>
      <c r="K99" s="115">
        <f>'Actual RAB roll forward'!K561</f>
        <v>0</v>
      </c>
      <c r="L99" s="115">
        <f>'Actual RAB roll forward'!L561</f>
        <v>0</v>
      </c>
      <c r="M99" s="115">
        <f>'Actual RAB roll forward'!M561</f>
        <v>0</v>
      </c>
      <c r="N99" s="115">
        <f>'Actual RAB roll forward'!N561</f>
        <v>0</v>
      </c>
      <c r="O99" s="115">
        <f>'Actual RAB roll forward'!O561</f>
        <v>0</v>
      </c>
      <c r="P99" s="115">
        <f>'Actual RAB roll forward'!P561</f>
        <v>0</v>
      </c>
      <c r="Q99" s="115">
        <f>'Actual RAB roll forward'!Q561</f>
        <v>0</v>
      </c>
      <c r="R99" s="29"/>
      <c r="S99" s="104"/>
      <c r="T99" s="104"/>
      <c r="U99" s="104"/>
      <c r="V99" s="104"/>
      <c r="W99" s="104"/>
      <c r="X99" s="104"/>
      <c r="Y99" s="104"/>
      <c r="Z99" s="104"/>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4"/>
      <c r="BL99" s="224"/>
    </row>
    <row r="100" spans="1:64" hidden="1" outlineLevel="1">
      <c r="A100" s="9"/>
      <c r="B100" s="9"/>
      <c r="C100" s="44"/>
      <c r="D100" s="271">
        <f>Asset29</f>
        <v>0</v>
      </c>
      <c r="E100" s="9"/>
      <c r="F100" s="9"/>
      <c r="G100" s="204">
        <f>'Actual RAB roll forward'!G562</f>
        <v>0</v>
      </c>
      <c r="H100" s="115">
        <f>'Actual RAB roll forward'!H562</f>
        <v>0</v>
      </c>
      <c r="I100" s="115">
        <f>'Actual RAB roll forward'!I562</f>
        <v>0</v>
      </c>
      <c r="J100" s="115">
        <f>'Actual RAB roll forward'!J562</f>
        <v>0</v>
      </c>
      <c r="K100" s="115">
        <f>'Actual RAB roll forward'!K562</f>
        <v>0</v>
      </c>
      <c r="L100" s="115">
        <f>'Actual RAB roll forward'!L562</f>
        <v>0</v>
      </c>
      <c r="M100" s="115">
        <f>'Actual RAB roll forward'!M562</f>
        <v>0</v>
      </c>
      <c r="N100" s="115">
        <f>'Actual RAB roll forward'!N562</f>
        <v>0</v>
      </c>
      <c r="O100" s="115">
        <f>'Actual RAB roll forward'!O562</f>
        <v>0</v>
      </c>
      <c r="P100" s="115">
        <f>'Actual RAB roll forward'!P562</f>
        <v>0</v>
      </c>
      <c r="Q100" s="115">
        <f>'Actual RAB roll forward'!Q562</f>
        <v>0</v>
      </c>
      <c r="R100" s="29"/>
      <c r="S100" s="104"/>
      <c r="T100" s="104"/>
      <c r="U100" s="104"/>
      <c r="V100" s="104"/>
      <c r="W100" s="104"/>
      <c r="X100" s="104"/>
      <c r="Y100" s="104"/>
      <c r="Z100" s="104"/>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4"/>
      <c r="BL100" s="224"/>
    </row>
    <row r="101" spans="1:64" hidden="1" outlineLevel="1">
      <c r="A101" s="9"/>
      <c r="B101" s="9"/>
      <c r="C101" s="44"/>
      <c r="D101" s="271">
        <f>Asset30</f>
        <v>0</v>
      </c>
      <c r="E101" s="9"/>
      <c r="F101" s="9"/>
      <c r="G101" s="204">
        <f>'Actual RAB roll forward'!G563</f>
        <v>0</v>
      </c>
      <c r="H101" s="115">
        <f>'Actual RAB roll forward'!H563</f>
        <v>0</v>
      </c>
      <c r="I101" s="115">
        <f>'Actual RAB roll forward'!I563</f>
        <v>0</v>
      </c>
      <c r="J101" s="115">
        <f>'Actual RAB roll forward'!J563</f>
        <v>0</v>
      </c>
      <c r="K101" s="115">
        <f>'Actual RAB roll forward'!K563</f>
        <v>0</v>
      </c>
      <c r="L101" s="115">
        <f>'Actual RAB roll forward'!L563</f>
        <v>0</v>
      </c>
      <c r="M101" s="115">
        <f>'Actual RAB roll forward'!M563</f>
        <v>0</v>
      </c>
      <c r="N101" s="115">
        <f>'Actual RAB roll forward'!N563</f>
        <v>0</v>
      </c>
      <c r="O101" s="115">
        <f>'Actual RAB roll forward'!O563</f>
        <v>0</v>
      </c>
      <c r="P101" s="115">
        <f>'Actual RAB roll forward'!P563</f>
        <v>0</v>
      </c>
      <c r="Q101" s="115">
        <f>'Actual RAB roll forward'!Q563</f>
        <v>0</v>
      </c>
      <c r="R101" s="29"/>
      <c r="S101" s="104"/>
      <c r="T101" s="104"/>
      <c r="U101" s="104"/>
      <c r="V101" s="104"/>
      <c r="W101" s="104"/>
      <c r="X101" s="104"/>
      <c r="Y101" s="104"/>
      <c r="Z101" s="104"/>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4"/>
      <c r="BL101" s="224"/>
    </row>
    <row r="102" spans="1:64" collapsed="1">
      <c r="A102" s="9"/>
      <c r="B102" s="9"/>
      <c r="C102" s="44"/>
      <c r="D102" s="131"/>
      <c r="E102" s="9"/>
      <c r="F102" s="9"/>
      <c r="G102" s="213"/>
      <c r="H102" s="115"/>
      <c r="I102" s="115"/>
      <c r="J102" s="115"/>
      <c r="K102" s="115"/>
      <c r="L102" s="115"/>
      <c r="M102" s="115"/>
      <c r="N102" s="104"/>
      <c r="O102" s="29"/>
      <c r="P102" s="29"/>
      <c r="Q102" s="29"/>
      <c r="R102" s="29"/>
      <c r="S102" s="104"/>
      <c r="T102" s="104"/>
      <c r="U102" s="104"/>
      <c r="V102" s="104"/>
      <c r="W102" s="104"/>
      <c r="X102" s="104"/>
      <c r="Y102" s="104"/>
      <c r="Z102" s="104"/>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4"/>
      <c r="BL102" s="224"/>
    </row>
    <row r="103" spans="1:64">
      <c r="A103" s="9"/>
      <c r="B103" s="9"/>
      <c r="C103" s="44" t="s">
        <v>26</v>
      </c>
      <c r="D103" s="117"/>
      <c r="E103" s="9"/>
      <c r="F103" s="9"/>
      <c r="G103" s="311">
        <f>SUM(G104:G133)</f>
        <v>27.807906237003301</v>
      </c>
      <c r="H103" s="35"/>
      <c r="I103" s="35"/>
      <c r="J103" s="35"/>
      <c r="K103" s="35"/>
      <c r="L103" s="35"/>
      <c r="M103" s="35"/>
      <c r="N103" s="104"/>
      <c r="O103" s="29"/>
      <c r="P103" s="29"/>
      <c r="Q103" s="29"/>
      <c r="R103" s="29"/>
      <c r="S103" s="104"/>
      <c r="T103" s="104"/>
      <c r="U103" s="104"/>
      <c r="V103" s="104"/>
      <c r="W103" s="104"/>
      <c r="X103" s="104"/>
      <c r="Y103" s="104"/>
      <c r="Z103" s="104"/>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4"/>
      <c r="BL103" s="224"/>
    </row>
    <row r="104" spans="1:64" hidden="1" outlineLevel="1">
      <c r="A104" s="9"/>
      <c r="B104" s="9"/>
      <c r="C104" s="9"/>
      <c r="D104" s="271" t="str">
        <f>Asset1</f>
        <v>Subtransmission</v>
      </c>
      <c r="E104" s="9"/>
      <c r="F104" s="9"/>
      <c r="G104" s="207">
        <f>'Actual RAB roll forward'!G566</f>
        <v>-25.319625562178441</v>
      </c>
      <c r="H104" s="35"/>
      <c r="I104" s="35"/>
      <c r="J104" s="35"/>
      <c r="K104" s="35"/>
      <c r="L104" s="35"/>
      <c r="M104" s="35"/>
      <c r="N104" s="104"/>
      <c r="O104" s="29"/>
      <c r="P104" s="29"/>
      <c r="Q104" s="29"/>
      <c r="R104" s="29"/>
      <c r="S104" s="104"/>
      <c r="T104" s="104"/>
      <c r="U104" s="104"/>
      <c r="V104" s="104"/>
      <c r="W104" s="104"/>
      <c r="X104" s="104"/>
      <c r="Y104" s="104"/>
      <c r="Z104" s="104"/>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4"/>
      <c r="BL104" s="224"/>
    </row>
    <row r="105" spans="1:64" hidden="1" outlineLevel="1">
      <c r="A105" s="9"/>
      <c r="B105" s="9"/>
      <c r="C105" s="44"/>
      <c r="D105" s="271" t="str">
        <f>Asset2</f>
        <v>Distribution system assets</v>
      </c>
      <c r="E105" s="9"/>
      <c r="F105" s="9"/>
      <c r="G105" s="207">
        <f>'Actual RAB roll forward'!G567</f>
        <v>32.156560835536396</v>
      </c>
      <c r="H105" s="35"/>
      <c r="I105" s="35"/>
      <c r="J105" s="35"/>
      <c r="K105" s="35"/>
      <c r="L105" s="35"/>
      <c r="M105" s="35"/>
      <c r="N105" s="104"/>
      <c r="O105" s="29"/>
      <c r="P105" s="29"/>
      <c r="Q105" s="29"/>
      <c r="R105" s="29"/>
      <c r="S105" s="104"/>
      <c r="T105" s="104"/>
      <c r="U105" s="104"/>
      <c r="V105" s="104"/>
      <c r="W105" s="104"/>
      <c r="X105" s="104"/>
      <c r="Y105" s="104"/>
      <c r="Z105" s="104"/>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4"/>
      <c r="BL105" s="224"/>
    </row>
    <row r="106" spans="1:64" hidden="1" outlineLevel="1">
      <c r="A106" s="9"/>
      <c r="B106" s="9"/>
      <c r="C106" s="44"/>
      <c r="D106" s="271" t="str">
        <f>Asset3</f>
        <v>Standard metering</v>
      </c>
      <c r="E106" s="9"/>
      <c r="F106" s="9"/>
      <c r="G106" s="207">
        <f>'Actual RAB roll forward'!G568</f>
        <v>9.7325555754664421</v>
      </c>
      <c r="H106" s="35"/>
      <c r="I106" s="35"/>
      <c r="J106" s="35"/>
      <c r="K106" s="35"/>
      <c r="L106" s="35"/>
      <c r="M106" s="35"/>
      <c r="N106" s="104"/>
      <c r="O106" s="29"/>
      <c r="P106" s="29"/>
      <c r="Q106" s="29"/>
      <c r="R106" s="29"/>
      <c r="S106" s="104"/>
      <c r="T106" s="104"/>
      <c r="U106" s="104"/>
      <c r="V106" s="104"/>
      <c r="W106" s="104"/>
      <c r="X106" s="104"/>
      <c r="Y106" s="104"/>
      <c r="Z106" s="104"/>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4"/>
      <c r="BL106" s="224"/>
    </row>
    <row r="107" spans="1:64" hidden="1" outlineLevel="1">
      <c r="A107" s="9"/>
      <c r="B107" s="9"/>
      <c r="C107" s="44"/>
      <c r="D107" s="271" t="str">
        <f>Asset4</f>
        <v>Public lighting</v>
      </c>
      <c r="E107" s="9"/>
      <c r="F107" s="9"/>
      <c r="G107" s="207">
        <f>'Actual RAB roll forward'!G569</f>
        <v>0</v>
      </c>
      <c r="H107" s="35"/>
      <c r="I107" s="35"/>
      <c r="J107" s="35"/>
      <c r="K107" s="35"/>
      <c r="L107" s="35"/>
      <c r="M107" s="35"/>
      <c r="N107" s="104"/>
      <c r="O107" s="29"/>
      <c r="P107" s="29"/>
      <c r="Q107" s="29"/>
      <c r="R107" s="29"/>
      <c r="S107" s="104"/>
      <c r="T107" s="104"/>
      <c r="U107" s="104"/>
      <c r="V107" s="104"/>
      <c r="W107" s="104"/>
      <c r="X107" s="104"/>
      <c r="Y107" s="104"/>
      <c r="Z107" s="104"/>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4"/>
      <c r="BL107" s="224"/>
    </row>
    <row r="108" spans="1:64" hidden="1" outlineLevel="1">
      <c r="A108" s="9"/>
      <c r="B108" s="9"/>
      <c r="C108" s="44"/>
      <c r="D108" s="271" t="str">
        <f>Asset5</f>
        <v>SCADA/Network control</v>
      </c>
      <c r="E108" s="9"/>
      <c r="F108" s="9"/>
      <c r="G108" s="207">
        <f>'Actual RAB roll forward'!G570</f>
        <v>2.4654834392613107</v>
      </c>
      <c r="H108" s="35"/>
      <c r="I108" s="35"/>
      <c r="J108" s="35"/>
      <c r="K108" s="35"/>
      <c r="L108" s="35"/>
      <c r="M108" s="35"/>
      <c r="N108" s="104"/>
      <c r="O108" s="29"/>
      <c r="P108" s="29"/>
      <c r="Q108" s="29"/>
      <c r="R108" s="29"/>
      <c r="S108" s="104"/>
      <c r="T108" s="104"/>
      <c r="U108" s="104"/>
      <c r="V108" s="104"/>
      <c r="W108" s="104"/>
      <c r="X108" s="104"/>
      <c r="Y108" s="104"/>
      <c r="Z108" s="104"/>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4"/>
      <c r="BL108" s="224"/>
    </row>
    <row r="109" spans="1:64" hidden="1" outlineLevel="1">
      <c r="A109" s="9"/>
      <c r="B109" s="9"/>
      <c r="C109" s="44"/>
      <c r="D109" s="271" t="str">
        <f>Asset6</f>
        <v>Non-network general assets - IT</v>
      </c>
      <c r="E109" s="9"/>
      <c r="F109" s="9"/>
      <c r="G109" s="207">
        <f>'Actual RAB roll forward'!G571</f>
        <v>5.9967896688978106</v>
      </c>
      <c r="H109" s="35"/>
      <c r="I109" s="35"/>
      <c r="J109" s="35"/>
      <c r="K109" s="35"/>
      <c r="L109" s="35"/>
      <c r="M109" s="35"/>
      <c r="N109" s="104"/>
      <c r="O109" s="29"/>
      <c r="P109" s="29"/>
      <c r="Q109" s="29"/>
      <c r="R109" s="29"/>
      <c r="S109" s="104"/>
      <c r="T109" s="104"/>
      <c r="U109" s="104"/>
      <c r="V109" s="104"/>
      <c r="W109" s="104"/>
      <c r="X109" s="104"/>
      <c r="Y109" s="104"/>
      <c r="Z109" s="104"/>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4"/>
      <c r="BL109" s="224"/>
    </row>
    <row r="110" spans="1:64" hidden="1" outlineLevel="1">
      <c r="A110" s="9"/>
      <c r="B110" s="9"/>
      <c r="C110" s="44"/>
      <c r="D110" s="271" t="str">
        <f>Asset7</f>
        <v>Non-network general assets - Other</v>
      </c>
      <c r="E110" s="9"/>
      <c r="F110" s="9"/>
      <c r="G110" s="207">
        <f>'Actual RAB roll forward'!G572</f>
        <v>2.7761422800197848</v>
      </c>
      <c r="H110" s="35"/>
      <c r="I110" s="35"/>
      <c r="J110" s="35"/>
      <c r="K110" s="35"/>
      <c r="L110" s="35"/>
      <c r="M110" s="35"/>
      <c r="N110" s="104"/>
      <c r="O110" s="29"/>
      <c r="P110" s="29"/>
      <c r="Q110" s="29"/>
      <c r="R110" s="29"/>
      <c r="S110" s="104"/>
      <c r="T110" s="104"/>
      <c r="U110" s="104"/>
      <c r="V110" s="104"/>
      <c r="W110" s="104"/>
      <c r="X110" s="104"/>
      <c r="Y110" s="104"/>
      <c r="Z110" s="104"/>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4"/>
      <c r="BL110" s="224"/>
    </row>
    <row r="111" spans="1:64" hidden="1" outlineLevel="1">
      <c r="A111" s="9"/>
      <c r="B111" s="9"/>
      <c r="C111" s="44"/>
      <c r="D111" s="271" t="str">
        <f>Asset8</f>
        <v>Equity Raising Costs</v>
      </c>
      <c r="E111" s="9"/>
      <c r="F111" s="9"/>
      <c r="G111" s="207">
        <f>'Actual RAB roll forward'!G573</f>
        <v>0</v>
      </c>
      <c r="H111" s="35"/>
      <c r="I111" s="35"/>
      <c r="J111" s="35"/>
      <c r="K111" s="35"/>
      <c r="L111" s="35"/>
      <c r="M111" s="35"/>
      <c r="N111" s="104"/>
      <c r="O111" s="29"/>
      <c r="P111" s="29"/>
      <c r="Q111" s="29"/>
      <c r="R111" s="29"/>
      <c r="S111" s="104"/>
      <c r="T111" s="104"/>
      <c r="U111" s="104"/>
      <c r="V111" s="104"/>
      <c r="W111" s="104"/>
      <c r="X111" s="104"/>
      <c r="Y111" s="104"/>
      <c r="Z111" s="104"/>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4"/>
      <c r="BL111" s="224"/>
    </row>
    <row r="112" spans="1:64" hidden="1" outlineLevel="1">
      <c r="A112" s="9"/>
      <c r="B112" s="9"/>
      <c r="C112" s="44"/>
      <c r="D112" s="271">
        <f>Asset9</f>
        <v>0</v>
      </c>
      <c r="E112" s="9"/>
      <c r="F112" s="9"/>
      <c r="G112" s="207">
        <f>'Actual RAB roll forward'!G574</f>
        <v>0</v>
      </c>
      <c r="H112" s="35"/>
      <c r="I112" s="35"/>
      <c r="J112" s="35"/>
      <c r="K112" s="35"/>
      <c r="L112" s="35"/>
      <c r="M112" s="35"/>
      <c r="N112" s="104"/>
      <c r="O112" s="29"/>
      <c r="P112" s="29"/>
      <c r="Q112" s="29"/>
      <c r="R112" s="29"/>
      <c r="S112" s="104"/>
      <c r="T112" s="104"/>
      <c r="U112" s="104"/>
      <c r="V112" s="104"/>
      <c r="W112" s="104"/>
      <c r="X112" s="104"/>
      <c r="Y112" s="104"/>
      <c r="Z112" s="104"/>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4"/>
      <c r="BL112" s="224"/>
    </row>
    <row r="113" spans="1:64" hidden="1" outlineLevel="1">
      <c r="A113" s="9"/>
      <c r="B113" s="9"/>
      <c r="C113" s="44"/>
      <c r="D113" s="271">
        <f>Asset10</f>
        <v>0</v>
      </c>
      <c r="E113" s="9"/>
      <c r="F113" s="9"/>
      <c r="G113" s="207">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4"/>
      <c r="BL113" s="224"/>
    </row>
    <row r="114" spans="1:64" hidden="1" outlineLevel="1">
      <c r="A114" s="9"/>
      <c r="B114" s="9"/>
      <c r="C114" s="44"/>
      <c r="D114" s="271">
        <f>Asset11</f>
        <v>0</v>
      </c>
      <c r="E114" s="9"/>
      <c r="F114" s="9"/>
      <c r="G114" s="207">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4"/>
      <c r="BL114" s="224"/>
    </row>
    <row r="115" spans="1:64" hidden="1" outlineLevel="1">
      <c r="A115" s="9"/>
      <c r="B115" s="9"/>
      <c r="C115" s="44"/>
      <c r="D115" s="271">
        <f>Asset12</f>
        <v>0</v>
      </c>
      <c r="E115" s="9"/>
      <c r="F115" s="9"/>
      <c r="G115" s="207">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4"/>
      <c r="BL115" s="224"/>
    </row>
    <row r="116" spans="1:64" hidden="1" outlineLevel="1">
      <c r="A116" s="9"/>
      <c r="B116" s="9"/>
      <c r="C116" s="44"/>
      <c r="D116" s="271">
        <f>Asset13</f>
        <v>0</v>
      </c>
      <c r="E116" s="9"/>
      <c r="F116" s="9"/>
      <c r="G116" s="207">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4"/>
      <c r="BL116" s="224"/>
    </row>
    <row r="117" spans="1:64" hidden="1" outlineLevel="1">
      <c r="A117" s="9"/>
      <c r="B117" s="9"/>
      <c r="C117" s="44"/>
      <c r="D117" s="271">
        <f>Asset14</f>
        <v>0</v>
      </c>
      <c r="E117" s="9"/>
      <c r="F117" s="9"/>
      <c r="G117" s="207">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4"/>
      <c r="BL117" s="224"/>
    </row>
    <row r="118" spans="1:64" hidden="1" outlineLevel="1">
      <c r="A118" s="9"/>
      <c r="B118" s="9"/>
      <c r="C118" s="44"/>
      <c r="D118" s="271">
        <f>Asset15</f>
        <v>0</v>
      </c>
      <c r="E118" s="9"/>
      <c r="F118" s="9"/>
      <c r="G118" s="207">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4"/>
      <c r="BL118" s="224"/>
    </row>
    <row r="119" spans="1:64" hidden="1" outlineLevel="1">
      <c r="A119" s="9"/>
      <c r="B119" s="9"/>
      <c r="C119" s="44"/>
      <c r="D119" s="271">
        <f>Asset16</f>
        <v>0</v>
      </c>
      <c r="E119" s="9"/>
      <c r="F119" s="9"/>
      <c r="G119" s="207">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4"/>
      <c r="BL119" s="224"/>
    </row>
    <row r="120" spans="1:64" hidden="1" outlineLevel="1">
      <c r="A120" s="9"/>
      <c r="B120" s="9"/>
      <c r="C120" s="44"/>
      <c r="D120" s="271">
        <f>Asset17</f>
        <v>0</v>
      </c>
      <c r="E120" s="9"/>
      <c r="F120" s="9"/>
      <c r="G120" s="207">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4"/>
      <c r="BL120" s="224"/>
    </row>
    <row r="121" spans="1:64" hidden="1" outlineLevel="1">
      <c r="A121" s="9"/>
      <c r="B121" s="9"/>
      <c r="C121" s="44"/>
      <c r="D121" s="271">
        <f>Asset18</f>
        <v>0</v>
      </c>
      <c r="E121" s="9"/>
      <c r="F121" s="9"/>
      <c r="G121" s="207">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4"/>
      <c r="BL121" s="224"/>
    </row>
    <row r="122" spans="1:64" hidden="1" outlineLevel="1">
      <c r="A122" s="9"/>
      <c r="B122" s="9"/>
      <c r="C122" s="44"/>
      <c r="D122" s="271">
        <f>Asset19</f>
        <v>0</v>
      </c>
      <c r="E122" s="9"/>
      <c r="F122" s="9"/>
      <c r="G122" s="207">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4"/>
      <c r="BL122" s="224"/>
    </row>
    <row r="123" spans="1:64" hidden="1" outlineLevel="1">
      <c r="A123" s="9"/>
      <c r="B123" s="9"/>
      <c r="C123" s="44"/>
      <c r="D123" s="271">
        <f>Asset20</f>
        <v>0</v>
      </c>
      <c r="E123" s="9"/>
      <c r="F123" s="9"/>
      <c r="G123" s="207">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4"/>
      <c r="BL123" s="224"/>
    </row>
    <row r="124" spans="1:64" hidden="1" outlineLevel="1">
      <c r="A124" s="9"/>
      <c r="B124" s="9"/>
      <c r="C124" s="44"/>
      <c r="D124" s="271">
        <f>Asset21</f>
        <v>0</v>
      </c>
      <c r="E124" s="9"/>
      <c r="F124" s="9"/>
      <c r="G124" s="207">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4"/>
      <c r="BL124" s="224"/>
    </row>
    <row r="125" spans="1:64" hidden="1" outlineLevel="1">
      <c r="A125" s="9"/>
      <c r="B125" s="9"/>
      <c r="C125" s="44"/>
      <c r="D125" s="271">
        <f>Asset22</f>
        <v>0</v>
      </c>
      <c r="E125" s="9"/>
      <c r="F125" s="9"/>
      <c r="G125" s="207">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4"/>
      <c r="BL125" s="224"/>
    </row>
    <row r="126" spans="1:64" hidden="1" outlineLevel="1">
      <c r="A126" s="9"/>
      <c r="B126" s="9"/>
      <c r="C126" s="44"/>
      <c r="D126" s="271">
        <f>Asset23</f>
        <v>0</v>
      </c>
      <c r="E126" s="9"/>
      <c r="F126" s="9"/>
      <c r="G126" s="207">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4"/>
      <c r="BL126" s="224"/>
    </row>
    <row r="127" spans="1:64" hidden="1" outlineLevel="1">
      <c r="A127" s="9"/>
      <c r="B127" s="9"/>
      <c r="C127" s="44"/>
      <c r="D127" s="271">
        <f>Asset24</f>
        <v>0</v>
      </c>
      <c r="E127" s="9"/>
      <c r="F127" s="9"/>
      <c r="G127" s="207">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4"/>
      <c r="BL127" s="224"/>
    </row>
    <row r="128" spans="1:64" hidden="1" outlineLevel="1">
      <c r="A128" s="9"/>
      <c r="B128" s="9"/>
      <c r="C128" s="44"/>
      <c r="D128" s="271">
        <f>Asset25</f>
        <v>0</v>
      </c>
      <c r="E128" s="9"/>
      <c r="F128" s="9"/>
      <c r="G128" s="207">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4"/>
      <c r="BL128" s="224"/>
    </row>
    <row r="129" spans="1:64" hidden="1" outlineLevel="1">
      <c r="A129" s="9"/>
      <c r="B129" s="9"/>
      <c r="C129" s="44"/>
      <c r="D129" s="271">
        <f>Asset26</f>
        <v>0</v>
      </c>
      <c r="E129" s="9"/>
      <c r="F129" s="9"/>
      <c r="G129" s="207">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4"/>
      <c r="BL129" s="224"/>
    </row>
    <row r="130" spans="1:64" hidden="1" outlineLevel="1">
      <c r="A130" s="9"/>
      <c r="B130" s="9"/>
      <c r="C130" s="44"/>
      <c r="D130" s="271">
        <f>Asset27</f>
        <v>0</v>
      </c>
      <c r="E130" s="9"/>
      <c r="F130" s="9"/>
      <c r="G130" s="207">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4"/>
      <c r="BL130" s="224"/>
    </row>
    <row r="131" spans="1:64" hidden="1" outlineLevel="1">
      <c r="A131" s="9"/>
      <c r="B131" s="9"/>
      <c r="C131" s="44"/>
      <c r="D131" s="271">
        <f>Asset28</f>
        <v>0</v>
      </c>
      <c r="E131" s="9"/>
      <c r="F131" s="9"/>
      <c r="G131" s="207">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4"/>
      <c r="BL131" s="224"/>
    </row>
    <row r="132" spans="1:64" hidden="1" outlineLevel="1">
      <c r="A132" s="9"/>
      <c r="B132" s="9"/>
      <c r="C132" s="44"/>
      <c r="D132" s="271">
        <f>Asset29</f>
        <v>0</v>
      </c>
      <c r="E132" s="9"/>
      <c r="F132" s="9"/>
      <c r="G132" s="207">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4"/>
      <c r="BL132" s="224"/>
    </row>
    <row r="133" spans="1:64" hidden="1" outlineLevel="1">
      <c r="A133" s="9"/>
      <c r="B133" s="9"/>
      <c r="C133" s="44"/>
      <c r="D133" s="271">
        <f>Asset30</f>
        <v>0</v>
      </c>
      <c r="E133" s="9"/>
      <c r="F133" s="9"/>
      <c r="G133" s="207">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31"/>
      <c r="BK133" s="224"/>
      <c r="BL133" s="224"/>
    </row>
    <row r="134" spans="1:64" s="9" customFormat="1" collapsed="1">
      <c r="G134" s="212"/>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row>
    <row r="135" spans="1:64">
      <c r="A135" s="9"/>
      <c r="B135" s="9"/>
      <c r="C135" s="44" t="s">
        <v>38</v>
      </c>
      <c r="D135" s="117"/>
      <c r="E135" s="9"/>
      <c r="F135" s="9"/>
      <c r="G135" s="311">
        <f>SUM(G136:G165)</f>
        <v>15.015729169743596</v>
      </c>
      <c r="H135" s="35"/>
      <c r="I135" s="35"/>
      <c r="J135" s="35"/>
      <c r="K135" s="35"/>
      <c r="L135" s="35"/>
      <c r="M135" s="35"/>
      <c r="N135" s="104"/>
      <c r="O135" s="29"/>
      <c r="P135" s="29"/>
      <c r="Q135" s="29"/>
      <c r="R135" s="29"/>
      <c r="S135" s="104"/>
      <c r="T135" s="104"/>
      <c r="U135" s="104"/>
      <c r="V135" s="104"/>
      <c r="W135" s="104"/>
      <c r="X135" s="104"/>
      <c r="Y135" s="104"/>
      <c r="Z135" s="104"/>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4"/>
      <c r="BL135" s="224"/>
    </row>
    <row r="136" spans="1:64" hidden="1" outlineLevel="1">
      <c r="A136" s="9"/>
      <c r="B136" s="9"/>
      <c r="C136" s="9"/>
      <c r="D136" s="271" t="str">
        <f>Asset1</f>
        <v>Subtransmission</v>
      </c>
      <c r="E136" s="9"/>
      <c r="F136" s="9"/>
      <c r="G136" s="207">
        <f>'Actual RAB roll forward'!G598</f>
        <v>-13.672105942844249</v>
      </c>
      <c r="H136" s="35"/>
      <c r="I136" s="35"/>
      <c r="J136" s="35"/>
      <c r="K136" s="35"/>
      <c r="L136" s="35"/>
      <c r="M136" s="35"/>
      <c r="N136" s="104"/>
      <c r="O136" s="29"/>
      <c r="P136" s="29"/>
      <c r="Q136" s="29"/>
      <c r="R136" s="29"/>
      <c r="S136" s="104"/>
      <c r="T136" s="104"/>
      <c r="U136" s="104"/>
      <c r="V136" s="104"/>
      <c r="W136" s="104"/>
      <c r="X136" s="104"/>
      <c r="Y136" s="104"/>
      <c r="Z136" s="104"/>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4"/>
      <c r="BL136" s="224"/>
    </row>
    <row r="137" spans="1:64" hidden="1" outlineLevel="1">
      <c r="A137" s="9"/>
      <c r="B137" s="9"/>
      <c r="C137" s="44"/>
      <c r="D137" s="271" t="str">
        <f>Asset2</f>
        <v>Distribution system assets</v>
      </c>
      <c r="E137" s="9"/>
      <c r="F137" s="9"/>
      <c r="G137" s="207">
        <f>'Actual RAB roll forward'!G599</f>
        <v>17.363918175697677</v>
      </c>
      <c r="H137" s="35"/>
      <c r="I137" s="35"/>
      <c r="J137" s="35"/>
      <c r="K137" s="35"/>
      <c r="L137" s="35"/>
      <c r="M137" s="35"/>
      <c r="N137" s="104"/>
      <c r="O137" s="29"/>
      <c r="P137" s="29"/>
      <c r="Q137" s="29"/>
      <c r="R137" s="29"/>
      <c r="S137" s="104"/>
      <c r="T137" s="104"/>
      <c r="U137" s="104"/>
      <c r="V137" s="104"/>
      <c r="W137" s="104"/>
      <c r="X137" s="104"/>
      <c r="Y137" s="104"/>
      <c r="Z137" s="104"/>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4"/>
      <c r="BL137" s="224"/>
    </row>
    <row r="138" spans="1:64" hidden="1" outlineLevel="1">
      <c r="A138" s="9"/>
      <c r="B138" s="9"/>
      <c r="C138" s="44"/>
      <c r="D138" s="271" t="str">
        <f>Asset3</f>
        <v>Standard metering</v>
      </c>
      <c r="E138" s="9"/>
      <c r="F138" s="9"/>
      <c r="G138" s="207">
        <f>'Actual RAB roll forward'!G600</f>
        <v>5.2553909454792151</v>
      </c>
      <c r="H138" s="35"/>
      <c r="I138" s="35"/>
      <c r="J138" s="35"/>
      <c r="K138" s="35"/>
      <c r="L138" s="35"/>
      <c r="M138" s="35"/>
      <c r="N138" s="104"/>
      <c r="O138" s="29"/>
      <c r="P138" s="29"/>
      <c r="Q138" s="29"/>
      <c r="R138" s="29"/>
      <c r="S138" s="104"/>
      <c r="T138" s="104"/>
      <c r="U138" s="104"/>
      <c r="V138" s="104"/>
      <c r="W138" s="104"/>
      <c r="X138" s="104"/>
      <c r="Y138" s="104"/>
      <c r="Z138" s="104"/>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4"/>
      <c r="BL138" s="224"/>
    </row>
    <row r="139" spans="1:64" hidden="1" outlineLevel="1">
      <c r="A139" s="9"/>
      <c r="B139" s="9"/>
      <c r="C139" s="44"/>
      <c r="D139" s="271" t="str">
        <f>Asset4</f>
        <v>Public lighting</v>
      </c>
      <c r="E139" s="9"/>
      <c r="F139" s="9"/>
      <c r="G139" s="207">
        <f>'Actual RAB roll forward'!G601</f>
        <v>0</v>
      </c>
      <c r="H139" s="35"/>
      <c r="I139" s="35"/>
      <c r="J139" s="35"/>
      <c r="K139" s="35"/>
      <c r="L139" s="35"/>
      <c r="M139" s="35"/>
      <c r="N139" s="104"/>
      <c r="O139" s="29"/>
      <c r="P139" s="29"/>
      <c r="Q139" s="29"/>
      <c r="R139" s="29"/>
      <c r="S139" s="104"/>
      <c r="T139" s="104"/>
      <c r="U139" s="104"/>
      <c r="V139" s="104"/>
      <c r="W139" s="104"/>
      <c r="X139" s="104"/>
      <c r="Y139" s="104"/>
      <c r="Z139" s="104"/>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4"/>
      <c r="BL139" s="224"/>
    </row>
    <row r="140" spans="1:64" hidden="1" outlineLevel="1">
      <c r="A140" s="9"/>
      <c r="B140" s="9"/>
      <c r="C140" s="44"/>
      <c r="D140" s="271" t="str">
        <f>Asset5</f>
        <v>SCADA/Network control</v>
      </c>
      <c r="E140" s="9"/>
      <c r="F140" s="9"/>
      <c r="G140" s="207">
        <f>'Actual RAB roll forward'!G602</f>
        <v>-0.42581112592047277</v>
      </c>
      <c r="H140" s="35"/>
      <c r="I140" s="35"/>
      <c r="J140" s="35"/>
      <c r="K140" s="35"/>
      <c r="L140" s="35"/>
      <c r="M140" s="35"/>
      <c r="N140" s="104"/>
      <c r="O140" s="29"/>
      <c r="P140" s="29"/>
      <c r="Q140" s="29"/>
      <c r="R140" s="29"/>
      <c r="S140" s="104"/>
      <c r="T140" s="104"/>
      <c r="U140" s="104"/>
      <c r="V140" s="104"/>
      <c r="W140" s="104"/>
      <c r="X140" s="104"/>
      <c r="Y140" s="104"/>
      <c r="Z140" s="104"/>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4"/>
      <c r="BL140" s="224"/>
    </row>
    <row r="141" spans="1:64" hidden="1" outlineLevel="1">
      <c r="A141" s="9"/>
      <c r="B141" s="9"/>
      <c r="C141" s="44"/>
      <c r="D141" s="271" t="str">
        <f>Asset6</f>
        <v>Non-network general assets - IT</v>
      </c>
      <c r="E141" s="9"/>
      <c r="F141" s="9"/>
      <c r="G141" s="207">
        <f>'Actual RAB roll forward'!G603</f>
        <v>4.9952742156455265</v>
      </c>
      <c r="H141" s="35"/>
      <c r="I141" s="35"/>
      <c r="J141" s="35"/>
      <c r="K141" s="35"/>
      <c r="L141" s="35"/>
      <c r="M141" s="35"/>
      <c r="N141" s="104"/>
      <c r="O141" s="29"/>
      <c r="P141" s="29"/>
      <c r="Q141" s="29"/>
      <c r="R141" s="29"/>
      <c r="S141" s="104"/>
      <c r="T141" s="104"/>
      <c r="U141" s="104"/>
      <c r="V141" s="104"/>
      <c r="W141" s="104"/>
      <c r="X141" s="104"/>
      <c r="Y141" s="104"/>
      <c r="Z141" s="104"/>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4"/>
      <c r="BL141" s="224"/>
    </row>
    <row r="142" spans="1:64" hidden="1" outlineLevel="1">
      <c r="A142" s="9"/>
      <c r="B142" s="9"/>
      <c r="C142" s="44"/>
      <c r="D142" s="271" t="str">
        <f>Asset7</f>
        <v>Non-network general assets - Other</v>
      </c>
      <c r="E142" s="9"/>
      <c r="F142" s="9"/>
      <c r="G142" s="207">
        <f>'Actual RAB roll forward'!G604</f>
        <v>1.499062901685899</v>
      </c>
      <c r="H142" s="35"/>
      <c r="I142" s="35"/>
      <c r="J142" s="35"/>
      <c r="K142" s="35"/>
      <c r="L142" s="35"/>
      <c r="M142" s="35"/>
      <c r="N142" s="104"/>
      <c r="O142" s="29"/>
      <c r="P142" s="29"/>
      <c r="Q142" s="29"/>
      <c r="R142" s="29"/>
      <c r="S142" s="104"/>
      <c r="T142" s="104"/>
      <c r="U142" s="104"/>
      <c r="V142" s="104"/>
      <c r="W142" s="104"/>
      <c r="X142" s="104"/>
      <c r="Y142" s="104"/>
      <c r="Z142" s="104"/>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4"/>
      <c r="BL142" s="224"/>
    </row>
    <row r="143" spans="1:64" hidden="1" outlineLevel="1">
      <c r="A143" s="9"/>
      <c r="B143" s="9"/>
      <c r="C143" s="44"/>
      <c r="D143" s="271" t="str">
        <f>Asset8</f>
        <v>Equity Raising Costs</v>
      </c>
      <c r="E143" s="9"/>
      <c r="F143" s="9"/>
      <c r="G143" s="207">
        <f>'Actual RAB roll forward'!G605</f>
        <v>0</v>
      </c>
      <c r="H143" s="35"/>
      <c r="I143" s="35"/>
      <c r="J143" s="35"/>
      <c r="K143" s="35"/>
      <c r="L143" s="35"/>
      <c r="M143" s="35"/>
      <c r="N143" s="104"/>
      <c r="O143" s="29"/>
      <c r="P143" s="29"/>
      <c r="Q143" s="29"/>
      <c r="R143" s="29"/>
      <c r="S143" s="104"/>
      <c r="T143" s="104"/>
      <c r="U143" s="104"/>
      <c r="V143" s="104"/>
      <c r="W143" s="104"/>
      <c r="X143" s="104"/>
      <c r="Y143" s="104"/>
      <c r="Z143" s="104"/>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4"/>
      <c r="BL143" s="224"/>
    </row>
    <row r="144" spans="1:64" hidden="1" outlineLevel="1">
      <c r="A144" s="9"/>
      <c r="B144" s="9"/>
      <c r="C144" s="44"/>
      <c r="D144" s="271">
        <f>Asset9</f>
        <v>0</v>
      </c>
      <c r="E144" s="9"/>
      <c r="F144" s="9"/>
      <c r="G144" s="207">
        <f>'Actual RAB roll forward'!G606</f>
        <v>0</v>
      </c>
      <c r="H144" s="35"/>
      <c r="I144" s="35"/>
      <c r="J144" s="35"/>
      <c r="K144" s="35"/>
      <c r="L144" s="35"/>
      <c r="M144" s="35"/>
      <c r="N144" s="104"/>
      <c r="O144" s="29"/>
      <c r="P144" s="29"/>
      <c r="Q144" s="29"/>
      <c r="R144" s="29"/>
      <c r="S144" s="104"/>
      <c r="T144" s="104"/>
      <c r="U144" s="104"/>
      <c r="V144" s="104"/>
      <c r="W144" s="104"/>
      <c r="X144" s="104"/>
      <c r="Y144" s="104"/>
      <c r="Z144" s="104"/>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4"/>
      <c r="BL144" s="224"/>
    </row>
    <row r="145" spans="1:64" hidden="1" outlineLevel="1">
      <c r="A145" s="9"/>
      <c r="B145" s="9"/>
      <c r="C145" s="44"/>
      <c r="D145" s="271">
        <f>Asset10</f>
        <v>0</v>
      </c>
      <c r="E145" s="9"/>
      <c r="F145" s="9"/>
      <c r="G145" s="207">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4"/>
      <c r="BL145" s="224"/>
    </row>
    <row r="146" spans="1:64" hidden="1" outlineLevel="1">
      <c r="A146" s="9"/>
      <c r="B146" s="9"/>
      <c r="C146" s="44"/>
      <c r="D146" s="271">
        <f>Asset11</f>
        <v>0</v>
      </c>
      <c r="E146" s="9"/>
      <c r="F146" s="9"/>
      <c r="G146" s="207">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4"/>
      <c r="BL146" s="224"/>
    </row>
    <row r="147" spans="1:64" hidden="1" outlineLevel="1">
      <c r="A147" s="9"/>
      <c r="B147" s="9"/>
      <c r="C147" s="44"/>
      <c r="D147" s="271">
        <f>Asset12</f>
        <v>0</v>
      </c>
      <c r="E147" s="9"/>
      <c r="F147" s="9"/>
      <c r="G147" s="207">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4"/>
      <c r="BL147" s="224"/>
    </row>
    <row r="148" spans="1:64" hidden="1" outlineLevel="1">
      <c r="A148" s="9"/>
      <c r="B148" s="9"/>
      <c r="C148" s="44"/>
      <c r="D148" s="271">
        <f>Asset13</f>
        <v>0</v>
      </c>
      <c r="E148" s="9"/>
      <c r="F148" s="9"/>
      <c r="G148" s="207">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4"/>
      <c r="BL148" s="224"/>
    </row>
    <row r="149" spans="1:64" hidden="1" outlineLevel="1">
      <c r="A149" s="9"/>
      <c r="B149" s="9"/>
      <c r="C149" s="44"/>
      <c r="D149" s="271">
        <f>Asset14</f>
        <v>0</v>
      </c>
      <c r="E149" s="9"/>
      <c r="F149" s="9"/>
      <c r="G149" s="207">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4"/>
      <c r="BL149" s="224"/>
    </row>
    <row r="150" spans="1:64" hidden="1" outlineLevel="1">
      <c r="A150" s="9"/>
      <c r="B150" s="9"/>
      <c r="C150" s="44"/>
      <c r="D150" s="271">
        <f>Asset15</f>
        <v>0</v>
      </c>
      <c r="E150" s="9"/>
      <c r="F150" s="9"/>
      <c r="G150" s="207">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4"/>
      <c r="BL150" s="224"/>
    </row>
    <row r="151" spans="1:64" hidden="1" outlineLevel="1">
      <c r="A151" s="9"/>
      <c r="B151" s="9"/>
      <c r="C151" s="44"/>
      <c r="D151" s="271">
        <f>Asset16</f>
        <v>0</v>
      </c>
      <c r="E151" s="9"/>
      <c r="F151" s="9"/>
      <c r="G151" s="207">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4"/>
      <c r="BL151" s="224"/>
    </row>
    <row r="152" spans="1:64" hidden="1" outlineLevel="1">
      <c r="A152" s="9"/>
      <c r="B152" s="9"/>
      <c r="C152" s="44"/>
      <c r="D152" s="271">
        <f>Asset17</f>
        <v>0</v>
      </c>
      <c r="E152" s="9"/>
      <c r="F152" s="9"/>
      <c r="G152" s="207">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4"/>
      <c r="BL152" s="224"/>
    </row>
    <row r="153" spans="1:64" hidden="1" outlineLevel="1">
      <c r="A153" s="9"/>
      <c r="B153" s="9"/>
      <c r="C153" s="44"/>
      <c r="D153" s="271">
        <f>Asset18</f>
        <v>0</v>
      </c>
      <c r="E153" s="9"/>
      <c r="F153" s="9"/>
      <c r="G153" s="207">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4"/>
      <c r="BL153" s="224"/>
    </row>
    <row r="154" spans="1:64" hidden="1" outlineLevel="1">
      <c r="A154" s="9"/>
      <c r="B154" s="9"/>
      <c r="C154" s="44"/>
      <c r="D154" s="271">
        <f>Asset19</f>
        <v>0</v>
      </c>
      <c r="E154" s="9"/>
      <c r="F154" s="9"/>
      <c r="G154" s="207">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4"/>
      <c r="BL154" s="224"/>
    </row>
    <row r="155" spans="1:64" hidden="1" outlineLevel="1">
      <c r="A155" s="9"/>
      <c r="B155" s="9"/>
      <c r="C155" s="44"/>
      <c r="D155" s="271">
        <f>Asset20</f>
        <v>0</v>
      </c>
      <c r="E155" s="9"/>
      <c r="F155" s="9"/>
      <c r="G155" s="207">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4"/>
      <c r="BL155" s="224"/>
    </row>
    <row r="156" spans="1:64" hidden="1" outlineLevel="1">
      <c r="A156" s="9"/>
      <c r="B156" s="9"/>
      <c r="C156" s="44"/>
      <c r="D156" s="271">
        <f>Asset21</f>
        <v>0</v>
      </c>
      <c r="E156" s="9"/>
      <c r="F156" s="9"/>
      <c r="G156" s="207">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4"/>
      <c r="BL156" s="224"/>
    </row>
    <row r="157" spans="1:64" hidden="1" outlineLevel="1">
      <c r="A157" s="9"/>
      <c r="B157" s="9"/>
      <c r="C157" s="44"/>
      <c r="D157" s="271">
        <f>Asset22</f>
        <v>0</v>
      </c>
      <c r="E157" s="9"/>
      <c r="F157" s="9"/>
      <c r="G157" s="207">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4"/>
      <c r="BL157" s="224"/>
    </row>
    <row r="158" spans="1:64" hidden="1" outlineLevel="1">
      <c r="A158" s="9"/>
      <c r="B158" s="9"/>
      <c r="C158" s="44"/>
      <c r="D158" s="271">
        <f>Asset23</f>
        <v>0</v>
      </c>
      <c r="E158" s="9"/>
      <c r="F158" s="9"/>
      <c r="G158" s="207">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4"/>
      <c r="BL158" s="224"/>
    </row>
    <row r="159" spans="1:64" hidden="1" outlineLevel="1">
      <c r="A159" s="9"/>
      <c r="B159" s="9"/>
      <c r="C159" s="44"/>
      <c r="D159" s="271">
        <f>Asset24</f>
        <v>0</v>
      </c>
      <c r="E159" s="9"/>
      <c r="F159" s="9"/>
      <c r="G159" s="207">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4"/>
      <c r="BL159" s="224"/>
    </row>
    <row r="160" spans="1:64" hidden="1" outlineLevel="1">
      <c r="A160" s="9"/>
      <c r="B160" s="9"/>
      <c r="C160" s="44"/>
      <c r="D160" s="271">
        <f>Asset25</f>
        <v>0</v>
      </c>
      <c r="E160" s="9"/>
      <c r="F160" s="9"/>
      <c r="G160" s="207">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4"/>
      <c r="BL160" s="224"/>
    </row>
    <row r="161" spans="1:64" hidden="1" outlineLevel="1">
      <c r="A161" s="9"/>
      <c r="B161" s="9"/>
      <c r="C161" s="44"/>
      <c r="D161" s="271">
        <f>Asset26</f>
        <v>0</v>
      </c>
      <c r="E161" s="9"/>
      <c r="F161" s="9"/>
      <c r="G161" s="207">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4"/>
      <c r="BL161" s="224"/>
    </row>
    <row r="162" spans="1:64" hidden="1" outlineLevel="1">
      <c r="A162" s="9"/>
      <c r="B162" s="9"/>
      <c r="C162" s="44"/>
      <c r="D162" s="271">
        <f>Asset27</f>
        <v>0</v>
      </c>
      <c r="E162" s="9"/>
      <c r="F162" s="9"/>
      <c r="G162" s="207">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4"/>
      <c r="BL162" s="224"/>
    </row>
    <row r="163" spans="1:64" hidden="1" outlineLevel="1">
      <c r="A163" s="9"/>
      <c r="B163" s="9"/>
      <c r="C163" s="44"/>
      <c r="D163" s="271">
        <f>Asset28</f>
        <v>0</v>
      </c>
      <c r="E163" s="9"/>
      <c r="F163" s="9"/>
      <c r="G163" s="207">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4"/>
      <c r="BL163" s="224"/>
    </row>
    <row r="164" spans="1:64" hidden="1" outlineLevel="1">
      <c r="A164" s="9"/>
      <c r="B164" s="9"/>
      <c r="C164" s="44"/>
      <c r="D164" s="271">
        <f>Asset29</f>
        <v>0</v>
      </c>
      <c r="E164" s="9"/>
      <c r="F164" s="9"/>
      <c r="G164" s="207">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4"/>
      <c r="BL164" s="224"/>
    </row>
    <row r="165" spans="1:64" hidden="1" outlineLevel="1">
      <c r="A165" s="9"/>
      <c r="B165" s="9"/>
      <c r="C165" s="44"/>
      <c r="D165" s="271">
        <f>Asset30</f>
        <v>0</v>
      </c>
      <c r="E165" s="9"/>
      <c r="F165" s="9"/>
      <c r="G165" s="207">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4"/>
      <c r="BL165" s="224"/>
    </row>
    <row r="166" spans="1:64" collapsed="1">
      <c r="A166" s="9"/>
      <c r="B166" s="9"/>
      <c r="C166" s="44"/>
      <c r="D166" s="117"/>
      <c r="E166" s="9"/>
      <c r="F166" s="9"/>
      <c r="G166" s="213"/>
      <c r="H166" s="35"/>
      <c r="I166" s="35"/>
      <c r="J166" s="35"/>
      <c r="K166" s="35"/>
      <c r="L166" s="35"/>
      <c r="M166" s="35"/>
      <c r="N166" s="104"/>
      <c r="O166" s="29"/>
      <c r="P166" s="29"/>
      <c r="Q166" s="29"/>
      <c r="R166" s="29"/>
      <c r="S166" s="104"/>
      <c r="T166" s="104"/>
      <c r="U166" s="104"/>
      <c r="V166" s="104"/>
      <c r="W166" s="104"/>
      <c r="X166" s="104"/>
      <c r="Y166" s="104"/>
      <c r="Z166" s="104"/>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4"/>
      <c r="BL166" s="224"/>
    </row>
    <row r="167" spans="1:64">
      <c r="A167" s="9"/>
      <c r="B167" s="9"/>
      <c r="C167" s="44" t="s">
        <v>35</v>
      </c>
      <c r="D167" s="131"/>
      <c r="E167" s="9"/>
      <c r="F167" s="9"/>
      <c r="G167" s="311">
        <f>SUM(G168:G197)</f>
        <v>0</v>
      </c>
      <c r="H167" s="115"/>
      <c r="I167" s="115"/>
      <c r="J167" s="115"/>
      <c r="K167" s="115"/>
      <c r="L167" s="115"/>
      <c r="M167" s="115"/>
      <c r="N167" s="104"/>
      <c r="O167" s="29"/>
      <c r="P167" s="29"/>
      <c r="Q167" s="29"/>
      <c r="R167" s="29"/>
      <c r="S167" s="104"/>
      <c r="T167" s="104"/>
      <c r="U167" s="104"/>
      <c r="V167" s="104"/>
      <c r="W167" s="104"/>
      <c r="X167" s="104"/>
      <c r="Y167" s="104"/>
      <c r="Z167" s="104"/>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4"/>
      <c r="BL167" s="224"/>
    </row>
    <row r="168" spans="1:64" hidden="1" outlineLevel="1">
      <c r="A168" s="9"/>
      <c r="B168" s="9"/>
      <c r="C168" s="44"/>
      <c r="D168" s="271" t="str">
        <f>Asset1</f>
        <v>Subtransmission</v>
      </c>
      <c r="E168" s="9"/>
      <c r="F168" s="9"/>
      <c r="G168" s="207">
        <f>'Actual RAB roll forward'!G630</f>
        <v>0</v>
      </c>
      <c r="H168" s="115"/>
      <c r="I168" s="115"/>
      <c r="J168" s="115"/>
      <c r="K168" s="115"/>
      <c r="L168" s="115"/>
      <c r="M168" s="115"/>
      <c r="N168" s="104"/>
      <c r="O168" s="29"/>
      <c r="P168" s="29"/>
      <c r="Q168" s="29"/>
      <c r="R168" s="29"/>
      <c r="S168" s="104"/>
      <c r="T168" s="104"/>
      <c r="U168" s="104"/>
      <c r="V168" s="104"/>
      <c r="W168" s="104"/>
      <c r="X168" s="104"/>
      <c r="Y168" s="104"/>
      <c r="Z168" s="104"/>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4"/>
      <c r="BL168" s="224"/>
    </row>
    <row r="169" spans="1:64" hidden="1" outlineLevel="1">
      <c r="A169" s="9"/>
      <c r="B169" s="9"/>
      <c r="C169" s="44"/>
      <c r="D169" s="271" t="str">
        <f>Asset2</f>
        <v>Distribution system assets</v>
      </c>
      <c r="E169" s="9"/>
      <c r="F169" s="9"/>
      <c r="G169" s="207">
        <f>'Actual RAB roll forward'!G631</f>
        <v>0</v>
      </c>
      <c r="H169" s="115"/>
      <c r="I169" s="115"/>
      <c r="J169" s="115"/>
      <c r="K169" s="115"/>
      <c r="L169" s="115"/>
      <c r="M169" s="115"/>
      <c r="N169" s="104"/>
      <c r="O169" s="29"/>
      <c r="P169" s="29"/>
      <c r="Q169" s="29"/>
      <c r="R169" s="29"/>
      <c r="S169" s="104"/>
      <c r="T169" s="104"/>
      <c r="U169" s="104"/>
      <c r="V169" s="104"/>
      <c r="W169" s="104"/>
      <c r="X169" s="104"/>
      <c r="Y169" s="104"/>
      <c r="Z169" s="104"/>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4"/>
      <c r="BL169" s="224"/>
    </row>
    <row r="170" spans="1:64" hidden="1" outlineLevel="1">
      <c r="A170" s="9"/>
      <c r="B170" s="9"/>
      <c r="C170" s="44"/>
      <c r="D170" s="271" t="str">
        <f>Asset3</f>
        <v>Standard metering</v>
      </c>
      <c r="E170" s="9"/>
      <c r="F170" s="9"/>
      <c r="G170" s="207">
        <f>'Actual RAB roll forward'!G632</f>
        <v>0</v>
      </c>
      <c r="H170" s="115"/>
      <c r="I170" s="115"/>
      <c r="J170" s="115"/>
      <c r="K170" s="115"/>
      <c r="L170" s="115"/>
      <c r="M170" s="115"/>
      <c r="N170" s="104"/>
      <c r="O170" s="29"/>
      <c r="P170" s="29"/>
      <c r="Q170" s="29"/>
      <c r="R170" s="29"/>
      <c r="S170" s="104"/>
      <c r="T170" s="104"/>
      <c r="U170" s="104"/>
      <c r="V170" s="104"/>
      <c r="W170" s="104"/>
      <c r="X170" s="104"/>
      <c r="Y170" s="104"/>
      <c r="Z170" s="104"/>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4"/>
      <c r="BL170" s="224"/>
    </row>
    <row r="171" spans="1:64" hidden="1" outlineLevel="1">
      <c r="A171" s="9"/>
      <c r="B171" s="9"/>
      <c r="C171" s="44"/>
      <c r="D171" s="271" t="str">
        <f>Asset4</f>
        <v>Public lighting</v>
      </c>
      <c r="E171" s="9"/>
      <c r="F171" s="9"/>
      <c r="G171" s="207">
        <f>'Actual RAB roll forward'!G633</f>
        <v>0</v>
      </c>
      <c r="H171" s="115"/>
      <c r="I171" s="115"/>
      <c r="J171" s="115"/>
      <c r="K171" s="115"/>
      <c r="L171" s="115"/>
      <c r="M171" s="115"/>
      <c r="N171" s="104"/>
      <c r="O171" s="29"/>
      <c r="P171" s="29"/>
      <c r="Q171" s="29"/>
      <c r="R171" s="29"/>
      <c r="S171" s="104"/>
      <c r="T171" s="104"/>
      <c r="U171" s="104"/>
      <c r="V171" s="104"/>
      <c r="W171" s="104"/>
      <c r="X171" s="104"/>
      <c r="Y171" s="104"/>
      <c r="Z171" s="104"/>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4"/>
      <c r="BL171" s="224"/>
    </row>
    <row r="172" spans="1:64" hidden="1" outlineLevel="1">
      <c r="A172" s="9"/>
      <c r="B172" s="9"/>
      <c r="C172" s="44"/>
      <c r="D172" s="271" t="str">
        <f>Asset5</f>
        <v>SCADA/Network control</v>
      </c>
      <c r="E172" s="9"/>
      <c r="F172" s="9"/>
      <c r="G172" s="207">
        <f>'Actual RAB roll forward'!G634</f>
        <v>0</v>
      </c>
      <c r="H172" s="115"/>
      <c r="I172" s="115"/>
      <c r="J172" s="115"/>
      <c r="K172" s="115"/>
      <c r="L172" s="115"/>
      <c r="M172" s="115"/>
      <c r="N172" s="104"/>
      <c r="O172" s="29"/>
      <c r="P172" s="29"/>
      <c r="Q172" s="29"/>
      <c r="R172" s="29"/>
      <c r="S172" s="104"/>
      <c r="T172" s="104"/>
      <c r="U172" s="104"/>
      <c r="V172" s="104"/>
      <c r="W172" s="104"/>
      <c r="X172" s="104"/>
      <c r="Y172" s="104"/>
      <c r="Z172" s="104"/>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4"/>
      <c r="BL172" s="224"/>
    </row>
    <row r="173" spans="1:64" hidden="1" outlineLevel="1">
      <c r="A173" s="9"/>
      <c r="B173" s="9"/>
      <c r="C173" s="44"/>
      <c r="D173" s="271" t="str">
        <f>Asset6</f>
        <v>Non-network general assets - IT</v>
      </c>
      <c r="E173" s="9"/>
      <c r="F173" s="9"/>
      <c r="G173" s="207">
        <f>'Actual RAB roll forward'!G635</f>
        <v>0</v>
      </c>
      <c r="H173" s="115"/>
      <c r="I173" s="115"/>
      <c r="J173" s="115"/>
      <c r="K173" s="115"/>
      <c r="L173" s="115"/>
      <c r="M173" s="115"/>
      <c r="N173" s="104"/>
      <c r="O173" s="29"/>
      <c r="P173" s="29"/>
      <c r="Q173" s="29"/>
      <c r="R173" s="29"/>
      <c r="S173" s="104"/>
      <c r="T173" s="104"/>
      <c r="U173" s="104"/>
      <c r="V173" s="104"/>
      <c r="W173" s="104"/>
      <c r="X173" s="104"/>
      <c r="Y173" s="104"/>
      <c r="Z173" s="104"/>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4"/>
      <c r="BL173" s="224"/>
    </row>
    <row r="174" spans="1:64" hidden="1" outlineLevel="1">
      <c r="A174" s="9"/>
      <c r="B174" s="9"/>
      <c r="C174" s="44"/>
      <c r="D174" s="271" t="str">
        <f>Asset7</f>
        <v>Non-network general assets - Other</v>
      </c>
      <c r="E174" s="9"/>
      <c r="F174" s="9"/>
      <c r="G174" s="207">
        <f>'Actual RAB roll forward'!G636</f>
        <v>0</v>
      </c>
      <c r="H174" s="115"/>
      <c r="I174" s="115"/>
      <c r="J174" s="115"/>
      <c r="K174" s="115"/>
      <c r="L174" s="115"/>
      <c r="M174" s="115"/>
      <c r="N174" s="104"/>
      <c r="O174" s="29"/>
      <c r="P174" s="29"/>
      <c r="Q174" s="29"/>
      <c r="R174" s="29"/>
      <c r="S174" s="104"/>
      <c r="T174" s="104"/>
      <c r="U174" s="104"/>
      <c r="V174" s="104"/>
      <c r="W174" s="104"/>
      <c r="X174" s="104"/>
      <c r="Y174" s="104"/>
      <c r="Z174" s="104"/>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4"/>
      <c r="BL174" s="224"/>
    </row>
    <row r="175" spans="1:64" hidden="1" outlineLevel="1">
      <c r="A175" s="9"/>
      <c r="B175" s="9"/>
      <c r="C175" s="44"/>
      <c r="D175" s="271" t="str">
        <f>Asset8</f>
        <v>Equity Raising Costs</v>
      </c>
      <c r="E175" s="9"/>
      <c r="F175" s="9"/>
      <c r="G175" s="207">
        <f>'Actual RAB roll forward'!G637</f>
        <v>0</v>
      </c>
      <c r="H175" s="115"/>
      <c r="I175" s="115"/>
      <c r="J175" s="115"/>
      <c r="K175" s="115"/>
      <c r="L175" s="115"/>
      <c r="M175" s="115"/>
      <c r="N175" s="104"/>
      <c r="O175" s="29"/>
      <c r="P175" s="29"/>
      <c r="Q175" s="29"/>
      <c r="R175" s="29"/>
      <c r="S175" s="104"/>
      <c r="T175" s="104"/>
      <c r="U175" s="104"/>
      <c r="V175" s="104"/>
      <c r="W175" s="104"/>
      <c r="X175" s="104"/>
      <c r="Y175" s="104"/>
      <c r="Z175" s="104"/>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4"/>
      <c r="BL175" s="224"/>
    </row>
    <row r="176" spans="1:64" hidden="1" outlineLevel="1">
      <c r="A176" s="9"/>
      <c r="B176" s="9"/>
      <c r="C176" s="44"/>
      <c r="D176" s="271">
        <f>Asset9</f>
        <v>0</v>
      </c>
      <c r="E176" s="9"/>
      <c r="F176" s="9"/>
      <c r="G176" s="207">
        <f>'Actual RAB roll forward'!G638</f>
        <v>0</v>
      </c>
      <c r="H176" s="115"/>
      <c r="I176" s="115"/>
      <c r="J176" s="115"/>
      <c r="K176" s="115"/>
      <c r="L176" s="115"/>
      <c r="M176" s="115"/>
      <c r="N176" s="104"/>
      <c r="O176" s="29"/>
      <c r="P176" s="29"/>
      <c r="Q176" s="29"/>
      <c r="R176" s="29"/>
      <c r="S176" s="104"/>
      <c r="T176" s="104"/>
      <c r="U176" s="104"/>
      <c r="V176" s="104"/>
      <c r="W176" s="104"/>
      <c r="X176" s="104"/>
      <c r="Y176" s="104"/>
      <c r="Z176" s="104"/>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4"/>
      <c r="BL176" s="224"/>
    </row>
    <row r="177" spans="1:64" hidden="1" outlineLevel="1">
      <c r="A177" s="9"/>
      <c r="B177" s="9"/>
      <c r="C177" s="44"/>
      <c r="D177" s="271">
        <f>Asset10</f>
        <v>0</v>
      </c>
      <c r="E177" s="9"/>
      <c r="F177" s="9"/>
      <c r="G177" s="207">
        <f>'Actual RAB roll forward'!G639</f>
        <v>0</v>
      </c>
      <c r="H177" s="115"/>
      <c r="I177" s="115"/>
      <c r="J177" s="115"/>
      <c r="K177" s="115"/>
      <c r="L177" s="115"/>
      <c r="M177" s="115"/>
      <c r="N177" s="104"/>
      <c r="O177" s="29"/>
      <c r="P177" s="29"/>
      <c r="Q177" s="29"/>
      <c r="R177" s="29"/>
      <c r="S177" s="104"/>
      <c r="T177" s="104"/>
      <c r="U177" s="104"/>
      <c r="V177" s="104"/>
      <c r="W177" s="104"/>
      <c r="X177" s="104"/>
      <c r="Y177" s="104"/>
      <c r="Z177" s="104"/>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4"/>
      <c r="BL177" s="224"/>
    </row>
    <row r="178" spans="1:64" hidden="1" outlineLevel="1">
      <c r="A178" s="9"/>
      <c r="B178" s="9"/>
      <c r="C178" s="44"/>
      <c r="D178" s="271">
        <f>Asset11</f>
        <v>0</v>
      </c>
      <c r="E178" s="9"/>
      <c r="F178" s="9"/>
      <c r="G178" s="207">
        <f>'Actual RAB roll forward'!G640</f>
        <v>0</v>
      </c>
      <c r="H178" s="115"/>
      <c r="I178" s="115"/>
      <c r="J178" s="115"/>
      <c r="K178" s="115"/>
      <c r="L178" s="115"/>
      <c r="M178" s="115"/>
      <c r="N178" s="104"/>
      <c r="O178" s="29"/>
      <c r="P178" s="29"/>
      <c r="Q178" s="29"/>
      <c r="R178" s="29"/>
      <c r="S178" s="104"/>
      <c r="T178" s="104"/>
      <c r="U178" s="104"/>
      <c r="V178" s="104"/>
      <c r="W178" s="104"/>
      <c r="X178" s="104"/>
      <c r="Y178" s="104"/>
      <c r="Z178" s="104"/>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4"/>
      <c r="BL178" s="224"/>
    </row>
    <row r="179" spans="1:64" hidden="1" outlineLevel="1">
      <c r="A179" s="9"/>
      <c r="B179" s="9"/>
      <c r="C179" s="44"/>
      <c r="D179" s="271">
        <f>Asset12</f>
        <v>0</v>
      </c>
      <c r="E179" s="9"/>
      <c r="F179" s="9"/>
      <c r="G179" s="207">
        <f>'Actual RAB roll forward'!G641</f>
        <v>0</v>
      </c>
      <c r="H179" s="115"/>
      <c r="I179" s="115"/>
      <c r="J179" s="115"/>
      <c r="K179" s="115"/>
      <c r="L179" s="115"/>
      <c r="M179" s="115"/>
      <c r="N179" s="104"/>
      <c r="O179" s="29"/>
      <c r="P179" s="29"/>
      <c r="Q179" s="29"/>
      <c r="R179" s="29"/>
      <c r="S179" s="104"/>
      <c r="T179" s="104"/>
      <c r="U179" s="104"/>
      <c r="V179" s="104"/>
      <c r="W179" s="104"/>
      <c r="X179" s="104"/>
      <c r="Y179" s="104"/>
      <c r="Z179" s="104"/>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4"/>
      <c r="BL179" s="224"/>
    </row>
    <row r="180" spans="1:64" hidden="1" outlineLevel="1">
      <c r="A180" s="9"/>
      <c r="B180" s="9"/>
      <c r="C180" s="44"/>
      <c r="D180" s="271">
        <f>Asset13</f>
        <v>0</v>
      </c>
      <c r="E180" s="9"/>
      <c r="F180" s="9"/>
      <c r="G180" s="207">
        <f>'Actual RAB roll forward'!G642</f>
        <v>0</v>
      </c>
      <c r="H180" s="115"/>
      <c r="I180" s="115"/>
      <c r="J180" s="115"/>
      <c r="K180" s="115"/>
      <c r="L180" s="115"/>
      <c r="M180" s="115"/>
      <c r="N180" s="104"/>
      <c r="O180" s="29"/>
      <c r="P180" s="29"/>
      <c r="Q180" s="29"/>
      <c r="R180" s="29"/>
      <c r="S180" s="104"/>
      <c r="T180" s="104"/>
      <c r="U180" s="104"/>
      <c r="V180" s="104"/>
      <c r="W180" s="104"/>
      <c r="X180" s="104"/>
      <c r="Y180" s="104"/>
      <c r="Z180" s="104"/>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4"/>
      <c r="BL180" s="224"/>
    </row>
    <row r="181" spans="1:64" hidden="1" outlineLevel="1">
      <c r="A181" s="9"/>
      <c r="B181" s="9"/>
      <c r="C181" s="44"/>
      <c r="D181" s="271">
        <f>Asset14</f>
        <v>0</v>
      </c>
      <c r="E181" s="9"/>
      <c r="F181" s="9"/>
      <c r="G181" s="207">
        <f>'Actual RAB roll forward'!G643</f>
        <v>0</v>
      </c>
      <c r="H181" s="115"/>
      <c r="I181" s="115"/>
      <c r="J181" s="115"/>
      <c r="K181" s="115"/>
      <c r="L181" s="115"/>
      <c r="M181" s="115"/>
      <c r="N181" s="104"/>
      <c r="O181" s="29"/>
      <c r="P181" s="29"/>
      <c r="Q181" s="29"/>
      <c r="R181" s="29"/>
      <c r="S181" s="104"/>
      <c r="T181" s="104"/>
      <c r="U181" s="104"/>
      <c r="V181" s="104"/>
      <c r="W181" s="104"/>
      <c r="X181" s="104"/>
      <c r="Y181" s="104"/>
      <c r="Z181" s="104"/>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4"/>
      <c r="BL181" s="224"/>
    </row>
    <row r="182" spans="1:64" hidden="1" outlineLevel="1">
      <c r="A182" s="9"/>
      <c r="B182" s="9"/>
      <c r="C182" s="44"/>
      <c r="D182" s="271">
        <f>Asset15</f>
        <v>0</v>
      </c>
      <c r="E182" s="9"/>
      <c r="F182" s="9"/>
      <c r="G182" s="207">
        <f>'Actual RAB roll forward'!G644</f>
        <v>0</v>
      </c>
      <c r="H182" s="115"/>
      <c r="I182" s="115"/>
      <c r="J182" s="115"/>
      <c r="K182" s="115"/>
      <c r="L182" s="115"/>
      <c r="M182" s="115"/>
      <c r="N182" s="104"/>
      <c r="O182" s="29"/>
      <c r="P182" s="29"/>
      <c r="Q182" s="29"/>
      <c r="R182" s="29"/>
      <c r="S182" s="104"/>
      <c r="T182" s="104"/>
      <c r="U182" s="104"/>
      <c r="V182" s="104"/>
      <c r="W182" s="104"/>
      <c r="X182" s="104"/>
      <c r="Y182" s="104"/>
      <c r="Z182" s="104"/>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4"/>
      <c r="BL182" s="224"/>
    </row>
    <row r="183" spans="1:64" hidden="1" outlineLevel="1">
      <c r="A183" s="9"/>
      <c r="B183" s="9"/>
      <c r="C183" s="44"/>
      <c r="D183" s="271">
        <f>Asset16</f>
        <v>0</v>
      </c>
      <c r="E183" s="9"/>
      <c r="F183" s="9"/>
      <c r="G183" s="207">
        <f>'Actual RAB roll forward'!G645</f>
        <v>0</v>
      </c>
      <c r="H183" s="115"/>
      <c r="I183" s="115"/>
      <c r="J183" s="115"/>
      <c r="K183" s="115"/>
      <c r="L183" s="115"/>
      <c r="M183" s="115"/>
      <c r="N183" s="104"/>
      <c r="O183" s="29"/>
      <c r="P183" s="29"/>
      <c r="Q183" s="29"/>
      <c r="R183" s="29"/>
      <c r="S183" s="104"/>
      <c r="T183" s="104"/>
      <c r="U183" s="104"/>
      <c r="V183" s="104"/>
      <c r="W183" s="104"/>
      <c r="X183" s="104"/>
      <c r="Y183" s="104"/>
      <c r="Z183" s="104"/>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4"/>
      <c r="BL183" s="224"/>
    </row>
    <row r="184" spans="1:64" hidden="1" outlineLevel="1">
      <c r="A184" s="9"/>
      <c r="B184" s="9"/>
      <c r="C184" s="44"/>
      <c r="D184" s="271">
        <f>Asset17</f>
        <v>0</v>
      </c>
      <c r="E184" s="9"/>
      <c r="F184" s="9"/>
      <c r="G184" s="207">
        <f>'Actual RAB roll forward'!G646</f>
        <v>0</v>
      </c>
      <c r="H184" s="115"/>
      <c r="I184" s="115"/>
      <c r="J184" s="115"/>
      <c r="K184" s="115"/>
      <c r="L184" s="115"/>
      <c r="M184" s="115"/>
      <c r="N184" s="104"/>
      <c r="O184" s="29"/>
      <c r="P184" s="29"/>
      <c r="Q184" s="29"/>
      <c r="R184" s="29"/>
      <c r="S184" s="104"/>
      <c r="T184" s="104"/>
      <c r="U184" s="104"/>
      <c r="V184" s="104"/>
      <c r="W184" s="104"/>
      <c r="X184" s="104"/>
      <c r="Y184" s="104"/>
      <c r="Z184" s="104"/>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4"/>
      <c r="BL184" s="224"/>
    </row>
    <row r="185" spans="1:64" hidden="1" outlineLevel="1">
      <c r="A185" s="9"/>
      <c r="B185" s="9"/>
      <c r="C185" s="44"/>
      <c r="D185" s="271">
        <f>Asset18</f>
        <v>0</v>
      </c>
      <c r="E185" s="9"/>
      <c r="F185" s="9"/>
      <c r="G185" s="207">
        <f>'Actual RAB roll forward'!G647</f>
        <v>0</v>
      </c>
      <c r="H185" s="115"/>
      <c r="I185" s="115"/>
      <c r="J185" s="115"/>
      <c r="K185" s="115"/>
      <c r="L185" s="115"/>
      <c r="M185" s="115"/>
      <c r="N185" s="104"/>
      <c r="O185" s="29"/>
      <c r="P185" s="29"/>
      <c r="Q185" s="29"/>
      <c r="R185" s="29"/>
      <c r="S185" s="104"/>
      <c r="T185" s="104"/>
      <c r="U185" s="104"/>
      <c r="V185" s="104"/>
      <c r="W185" s="104"/>
      <c r="X185" s="104"/>
      <c r="Y185" s="104"/>
      <c r="Z185" s="104"/>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4"/>
      <c r="BL185" s="224"/>
    </row>
    <row r="186" spans="1:64" hidden="1" outlineLevel="1">
      <c r="A186" s="9"/>
      <c r="B186" s="9"/>
      <c r="C186" s="44"/>
      <c r="D186" s="271">
        <f>Asset19</f>
        <v>0</v>
      </c>
      <c r="E186" s="9"/>
      <c r="F186" s="9"/>
      <c r="G186" s="207">
        <f>'Actual RAB roll forward'!G648</f>
        <v>0</v>
      </c>
      <c r="H186" s="115"/>
      <c r="I186" s="115"/>
      <c r="J186" s="115"/>
      <c r="K186" s="115"/>
      <c r="L186" s="115"/>
      <c r="M186" s="115"/>
      <c r="N186" s="104"/>
      <c r="O186" s="29"/>
      <c r="P186" s="29"/>
      <c r="Q186" s="29"/>
      <c r="R186" s="29"/>
      <c r="S186" s="104"/>
      <c r="T186" s="104"/>
      <c r="U186" s="104"/>
      <c r="V186" s="104"/>
      <c r="W186" s="104"/>
      <c r="X186" s="104"/>
      <c r="Y186" s="104"/>
      <c r="Z186" s="104"/>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4"/>
      <c r="BL186" s="224"/>
    </row>
    <row r="187" spans="1:64" hidden="1" outlineLevel="1">
      <c r="A187" s="9"/>
      <c r="B187" s="9"/>
      <c r="C187" s="44"/>
      <c r="D187" s="271">
        <f>Asset20</f>
        <v>0</v>
      </c>
      <c r="E187" s="9"/>
      <c r="F187" s="9"/>
      <c r="G187" s="207">
        <f>'Actual RAB roll forward'!G649</f>
        <v>0</v>
      </c>
      <c r="H187" s="115"/>
      <c r="I187" s="115"/>
      <c r="J187" s="115"/>
      <c r="K187" s="115"/>
      <c r="L187" s="115"/>
      <c r="M187" s="115"/>
      <c r="N187" s="104"/>
      <c r="O187" s="29"/>
      <c r="P187" s="29"/>
      <c r="Q187" s="29"/>
      <c r="R187" s="29"/>
      <c r="S187" s="104"/>
      <c r="T187" s="104"/>
      <c r="U187" s="104"/>
      <c r="V187" s="104"/>
      <c r="W187" s="104"/>
      <c r="X187" s="104"/>
      <c r="Y187" s="104"/>
      <c r="Z187" s="104"/>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4"/>
      <c r="BL187" s="224"/>
    </row>
    <row r="188" spans="1:64" hidden="1" outlineLevel="1">
      <c r="A188" s="9"/>
      <c r="B188" s="9"/>
      <c r="C188" s="44"/>
      <c r="D188" s="271">
        <f>Asset21</f>
        <v>0</v>
      </c>
      <c r="E188" s="9"/>
      <c r="F188" s="9"/>
      <c r="G188" s="207">
        <f>'Actual RAB roll forward'!G650</f>
        <v>0</v>
      </c>
      <c r="H188" s="115"/>
      <c r="I188" s="115"/>
      <c r="J188" s="115"/>
      <c r="K188" s="115"/>
      <c r="L188" s="115"/>
      <c r="M188" s="115"/>
      <c r="N188" s="104"/>
      <c r="O188" s="29"/>
      <c r="P188" s="29"/>
      <c r="Q188" s="29"/>
      <c r="R188" s="29"/>
      <c r="S188" s="104"/>
      <c r="T188" s="104"/>
      <c r="U188" s="104"/>
      <c r="V188" s="104"/>
      <c r="W188" s="104"/>
      <c r="X188" s="104"/>
      <c r="Y188" s="104"/>
      <c r="Z188" s="104"/>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4"/>
      <c r="BL188" s="224"/>
    </row>
    <row r="189" spans="1:64" hidden="1" outlineLevel="1">
      <c r="A189" s="9"/>
      <c r="B189" s="9"/>
      <c r="C189" s="44"/>
      <c r="D189" s="271">
        <f>Asset22</f>
        <v>0</v>
      </c>
      <c r="E189" s="9"/>
      <c r="F189" s="9"/>
      <c r="G189" s="207">
        <f>'Actual RAB roll forward'!G651</f>
        <v>0</v>
      </c>
      <c r="H189" s="115"/>
      <c r="I189" s="115"/>
      <c r="J189" s="115"/>
      <c r="K189" s="115"/>
      <c r="L189" s="115"/>
      <c r="M189" s="115"/>
      <c r="N189" s="104"/>
      <c r="O189" s="29"/>
      <c r="P189" s="29"/>
      <c r="Q189" s="29"/>
      <c r="R189" s="29"/>
      <c r="S189" s="104"/>
      <c r="T189" s="104"/>
      <c r="U189" s="104"/>
      <c r="V189" s="104"/>
      <c r="W189" s="104"/>
      <c r="X189" s="104"/>
      <c r="Y189" s="104"/>
      <c r="Z189" s="104"/>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4"/>
      <c r="BL189" s="224"/>
    </row>
    <row r="190" spans="1:64" hidden="1" outlineLevel="1">
      <c r="A190" s="9"/>
      <c r="B190" s="9"/>
      <c r="C190" s="44"/>
      <c r="D190" s="271">
        <f>Asset23</f>
        <v>0</v>
      </c>
      <c r="E190" s="9"/>
      <c r="F190" s="9"/>
      <c r="G190" s="207">
        <f>'Actual RAB roll forward'!G652</f>
        <v>0</v>
      </c>
      <c r="H190" s="115"/>
      <c r="I190" s="115"/>
      <c r="J190" s="115"/>
      <c r="K190" s="115"/>
      <c r="L190" s="115"/>
      <c r="M190" s="115"/>
      <c r="N190" s="104"/>
      <c r="O190" s="29"/>
      <c r="P190" s="29"/>
      <c r="Q190" s="29"/>
      <c r="R190" s="29"/>
      <c r="S190" s="104"/>
      <c r="T190" s="104"/>
      <c r="U190" s="104"/>
      <c r="V190" s="104"/>
      <c r="W190" s="104"/>
      <c r="X190" s="104"/>
      <c r="Y190" s="104"/>
      <c r="Z190" s="104"/>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4"/>
      <c r="BL190" s="224"/>
    </row>
    <row r="191" spans="1:64" hidden="1" outlineLevel="1">
      <c r="A191" s="9"/>
      <c r="B191" s="9"/>
      <c r="C191" s="44"/>
      <c r="D191" s="271">
        <f>Asset24</f>
        <v>0</v>
      </c>
      <c r="E191" s="9"/>
      <c r="F191" s="9"/>
      <c r="G191" s="207">
        <f>'Actual RAB roll forward'!G653</f>
        <v>0</v>
      </c>
      <c r="H191" s="115"/>
      <c r="I191" s="115"/>
      <c r="J191" s="115"/>
      <c r="K191" s="115"/>
      <c r="L191" s="115"/>
      <c r="M191" s="115"/>
      <c r="N191" s="104"/>
      <c r="O191" s="29"/>
      <c r="P191" s="29"/>
      <c r="Q191" s="29"/>
      <c r="R191" s="29"/>
      <c r="S191" s="104"/>
      <c r="T191" s="104"/>
      <c r="U191" s="104"/>
      <c r="V191" s="104"/>
      <c r="W191" s="104"/>
      <c r="X191" s="104"/>
      <c r="Y191" s="104"/>
      <c r="Z191" s="104"/>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4"/>
      <c r="BL191" s="224"/>
    </row>
    <row r="192" spans="1:64" hidden="1" outlineLevel="1">
      <c r="A192" s="9"/>
      <c r="B192" s="9"/>
      <c r="C192" s="44"/>
      <c r="D192" s="271">
        <f>Asset25</f>
        <v>0</v>
      </c>
      <c r="E192" s="9"/>
      <c r="F192" s="9"/>
      <c r="G192" s="207">
        <f>'Actual RAB roll forward'!G654</f>
        <v>0</v>
      </c>
      <c r="H192" s="115"/>
      <c r="I192" s="115"/>
      <c r="J192" s="115"/>
      <c r="K192" s="115"/>
      <c r="L192" s="115"/>
      <c r="M192" s="115"/>
      <c r="N192" s="104"/>
      <c r="O192" s="29"/>
      <c r="P192" s="29"/>
      <c r="Q192" s="29"/>
      <c r="R192" s="29"/>
      <c r="S192" s="104"/>
      <c r="T192" s="104"/>
      <c r="U192" s="104"/>
      <c r="V192" s="104"/>
      <c r="W192" s="104"/>
      <c r="X192" s="104"/>
      <c r="Y192" s="104"/>
      <c r="Z192" s="104"/>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4"/>
      <c r="BL192" s="224"/>
    </row>
    <row r="193" spans="1:64" hidden="1" outlineLevel="1">
      <c r="A193" s="9"/>
      <c r="B193" s="9"/>
      <c r="C193" s="44"/>
      <c r="D193" s="271">
        <f>Asset26</f>
        <v>0</v>
      </c>
      <c r="E193" s="9"/>
      <c r="F193" s="9"/>
      <c r="G193" s="207">
        <f>'Actual RAB roll forward'!G655</f>
        <v>0</v>
      </c>
      <c r="H193" s="115"/>
      <c r="I193" s="115"/>
      <c r="J193" s="115"/>
      <c r="K193" s="115"/>
      <c r="L193" s="115"/>
      <c r="M193" s="115"/>
      <c r="N193" s="104"/>
      <c r="O193" s="29"/>
      <c r="P193" s="29"/>
      <c r="Q193" s="29"/>
      <c r="R193" s="29"/>
      <c r="S193" s="104"/>
      <c r="T193" s="104"/>
      <c r="U193" s="104"/>
      <c r="V193" s="104"/>
      <c r="W193" s="104"/>
      <c r="X193" s="104"/>
      <c r="Y193" s="104"/>
      <c r="Z193" s="104"/>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4"/>
      <c r="BL193" s="224"/>
    </row>
    <row r="194" spans="1:64" hidden="1" outlineLevel="1">
      <c r="A194" s="9"/>
      <c r="B194" s="9"/>
      <c r="C194" s="44"/>
      <c r="D194" s="271">
        <f>Asset27</f>
        <v>0</v>
      </c>
      <c r="E194" s="9"/>
      <c r="F194" s="9"/>
      <c r="G194" s="207">
        <f>'Actual RAB roll forward'!G656</f>
        <v>0</v>
      </c>
      <c r="H194" s="115"/>
      <c r="I194" s="115"/>
      <c r="J194" s="115"/>
      <c r="K194" s="115"/>
      <c r="L194" s="115"/>
      <c r="M194" s="115"/>
      <c r="N194" s="104"/>
      <c r="O194" s="29"/>
      <c r="P194" s="29"/>
      <c r="Q194" s="29"/>
      <c r="R194" s="29"/>
      <c r="S194" s="104"/>
      <c r="T194" s="104"/>
      <c r="U194" s="104"/>
      <c r="V194" s="104"/>
      <c r="W194" s="104"/>
      <c r="X194" s="104"/>
      <c r="Y194" s="104"/>
      <c r="Z194" s="104"/>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4"/>
      <c r="BL194" s="224"/>
    </row>
    <row r="195" spans="1:64" hidden="1" outlineLevel="1">
      <c r="A195" s="9"/>
      <c r="B195" s="9"/>
      <c r="C195" s="44"/>
      <c r="D195" s="271">
        <f>Asset28</f>
        <v>0</v>
      </c>
      <c r="E195" s="9"/>
      <c r="F195" s="9"/>
      <c r="G195" s="207">
        <f>'Actual RAB roll forward'!G657</f>
        <v>0</v>
      </c>
      <c r="H195" s="115"/>
      <c r="I195" s="115"/>
      <c r="J195" s="115"/>
      <c r="K195" s="115"/>
      <c r="L195" s="115"/>
      <c r="M195" s="115"/>
      <c r="N195" s="104"/>
      <c r="O195" s="29"/>
      <c r="P195" s="29"/>
      <c r="Q195" s="29"/>
      <c r="R195" s="29"/>
      <c r="S195" s="104"/>
      <c r="T195" s="104"/>
      <c r="U195" s="104"/>
      <c r="V195" s="104"/>
      <c r="W195" s="104"/>
      <c r="X195" s="104"/>
      <c r="Y195" s="104"/>
      <c r="Z195" s="104"/>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4"/>
      <c r="BL195" s="224"/>
    </row>
    <row r="196" spans="1:64" hidden="1" outlineLevel="1">
      <c r="A196" s="9"/>
      <c r="B196" s="9"/>
      <c r="C196" s="44"/>
      <c r="D196" s="271">
        <f>Asset29</f>
        <v>0</v>
      </c>
      <c r="E196" s="9"/>
      <c r="F196" s="9"/>
      <c r="G196" s="207">
        <f>'Actual RAB roll forward'!G658</f>
        <v>0</v>
      </c>
      <c r="H196" s="115"/>
      <c r="I196" s="115"/>
      <c r="J196" s="115"/>
      <c r="K196" s="115"/>
      <c r="L196" s="115"/>
      <c r="M196" s="115"/>
      <c r="N196" s="104"/>
      <c r="O196" s="29"/>
      <c r="P196" s="29"/>
      <c r="Q196" s="29"/>
      <c r="R196" s="29"/>
      <c r="S196" s="104"/>
      <c r="T196" s="104"/>
      <c r="U196" s="104"/>
      <c r="V196" s="104"/>
      <c r="W196" s="104"/>
      <c r="X196" s="104"/>
      <c r="Y196" s="104"/>
      <c r="Z196" s="104"/>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4"/>
      <c r="BL196" s="224"/>
    </row>
    <row r="197" spans="1:64" hidden="1" outlineLevel="1">
      <c r="A197" s="9"/>
      <c r="B197" s="9"/>
      <c r="C197" s="44"/>
      <c r="D197" s="271">
        <f>Asset30</f>
        <v>0</v>
      </c>
      <c r="E197" s="9"/>
      <c r="F197" s="9"/>
      <c r="G197" s="207">
        <f>'Actual RAB roll forward'!G659</f>
        <v>0</v>
      </c>
      <c r="H197" s="115"/>
      <c r="I197" s="115"/>
      <c r="J197" s="115"/>
      <c r="K197" s="115"/>
      <c r="L197" s="115"/>
      <c r="M197" s="115"/>
      <c r="N197" s="104"/>
      <c r="O197" s="29"/>
      <c r="P197" s="29"/>
      <c r="Q197" s="29"/>
      <c r="R197" s="29"/>
      <c r="S197" s="104"/>
      <c r="T197" s="104"/>
      <c r="U197" s="104"/>
      <c r="V197" s="104"/>
      <c r="W197" s="104"/>
      <c r="X197" s="104"/>
      <c r="Y197" s="104"/>
      <c r="Z197" s="104"/>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4"/>
      <c r="BL197" s="224"/>
    </row>
    <row r="198" spans="1:64" collapsed="1">
      <c r="A198" s="9"/>
      <c r="B198" s="9"/>
      <c r="C198" s="44"/>
      <c r="D198" s="131"/>
      <c r="E198" s="9"/>
      <c r="F198" s="9"/>
      <c r="G198" s="143"/>
      <c r="H198" s="115"/>
      <c r="I198" s="115"/>
      <c r="J198" s="115"/>
      <c r="K198" s="115"/>
      <c r="L198" s="115"/>
      <c r="M198" s="115"/>
      <c r="N198" s="104"/>
      <c r="O198" s="29"/>
      <c r="P198" s="29"/>
      <c r="Q198" s="29"/>
      <c r="R198" s="29"/>
      <c r="S198" s="104"/>
      <c r="T198" s="104"/>
      <c r="U198" s="104"/>
      <c r="V198" s="104"/>
      <c r="W198" s="104"/>
      <c r="X198" s="104"/>
      <c r="Y198" s="104"/>
      <c r="Z198" s="104"/>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4"/>
      <c r="BL198" s="224"/>
    </row>
    <row r="199" spans="1:64">
      <c r="A199" s="9"/>
      <c r="B199" s="9"/>
      <c r="C199" s="472" t="s">
        <v>103</v>
      </c>
      <c r="D199" s="473"/>
      <c r="E199" s="474"/>
      <c r="F199" s="474"/>
      <c r="G199" s="475">
        <f>SUM(G200:G219)</f>
        <v>0</v>
      </c>
      <c r="H199" s="115"/>
      <c r="I199" s="115"/>
      <c r="J199" s="115"/>
      <c r="K199" s="115"/>
      <c r="L199" s="115"/>
      <c r="M199" s="115"/>
      <c r="N199" s="104"/>
      <c r="O199" s="29"/>
      <c r="P199" s="29"/>
      <c r="Q199" s="29"/>
      <c r="R199" s="29"/>
      <c r="S199" s="104"/>
      <c r="T199" s="104"/>
      <c r="U199" s="104"/>
      <c r="V199" s="104"/>
      <c r="W199" s="104"/>
      <c r="X199" s="104"/>
      <c r="Y199" s="104"/>
      <c r="Z199" s="104"/>
      <c r="AA199" s="104"/>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4"/>
      <c r="BL199" s="224"/>
    </row>
    <row r="200" spans="1:64" hidden="1" outlineLevel="1">
      <c r="A200" s="9"/>
      <c r="B200" s="9"/>
      <c r="C200" s="44"/>
      <c r="D200" s="131" t="str">
        <f>Asset1</f>
        <v>Subtransmission</v>
      </c>
      <c r="E200" s="9"/>
      <c r="F200" s="9"/>
      <c r="G200" s="207">
        <f>Input!N7</f>
        <v>0</v>
      </c>
      <c r="H200" s="115"/>
      <c r="I200" s="115"/>
      <c r="J200" s="115"/>
      <c r="K200" s="115"/>
      <c r="L200" s="115"/>
      <c r="M200" s="115"/>
      <c r="N200" s="104"/>
      <c r="O200" s="29"/>
      <c r="P200" s="29"/>
      <c r="Q200" s="29"/>
      <c r="R200" s="29"/>
      <c r="S200" s="104"/>
      <c r="T200" s="104"/>
      <c r="U200" s="104"/>
      <c r="V200" s="104"/>
      <c r="W200" s="104"/>
      <c r="X200" s="104"/>
      <c r="Y200" s="104"/>
      <c r="Z200" s="104"/>
      <c r="AA200" s="104"/>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4"/>
      <c r="BL200" s="224"/>
    </row>
    <row r="201" spans="1:64" hidden="1" outlineLevel="1">
      <c r="A201" s="9"/>
      <c r="B201" s="9"/>
      <c r="C201" s="44"/>
      <c r="D201" s="131" t="str">
        <f>Asset2</f>
        <v>Distribution system assets</v>
      </c>
      <c r="E201" s="9"/>
      <c r="F201" s="9"/>
      <c r="G201" s="207">
        <f>Input!N8</f>
        <v>0</v>
      </c>
      <c r="H201" s="115"/>
      <c r="I201" s="115"/>
      <c r="J201" s="115"/>
      <c r="K201" s="115"/>
      <c r="L201" s="115"/>
      <c r="M201" s="115"/>
      <c r="N201" s="104"/>
      <c r="O201" s="29"/>
      <c r="P201" s="29"/>
      <c r="Q201" s="29"/>
      <c r="R201" s="29"/>
      <c r="S201" s="104"/>
      <c r="T201" s="104"/>
      <c r="U201" s="104"/>
      <c r="V201" s="104"/>
      <c r="W201" s="104"/>
      <c r="X201" s="104"/>
      <c r="Y201" s="104"/>
      <c r="Z201" s="104"/>
      <c r="AA201" s="104"/>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4"/>
      <c r="BL201" s="224"/>
    </row>
    <row r="202" spans="1:64" hidden="1" outlineLevel="1">
      <c r="A202" s="9"/>
      <c r="B202" s="9"/>
      <c r="C202" s="44"/>
      <c r="D202" s="131" t="str">
        <f>Asset3</f>
        <v>Standard metering</v>
      </c>
      <c r="E202" s="9"/>
      <c r="F202" s="9"/>
      <c r="G202" s="207">
        <f>Input!N9</f>
        <v>0</v>
      </c>
      <c r="H202" s="115"/>
      <c r="I202" s="115"/>
      <c r="J202" s="115"/>
      <c r="K202" s="115"/>
      <c r="L202" s="115"/>
      <c r="M202" s="115"/>
      <c r="N202" s="104"/>
      <c r="O202" s="29"/>
      <c r="P202" s="29"/>
      <c r="Q202" s="29"/>
      <c r="R202" s="29"/>
      <c r="S202" s="104"/>
      <c r="T202" s="104"/>
      <c r="U202" s="104"/>
      <c r="V202" s="104"/>
      <c r="W202" s="104"/>
      <c r="X202" s="104"/>
      <c r="Y202" s="104"/>
      <c r="Z202" s="104"/>
      <c r="AA202" s="104"/>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4"/>
      <c r="BL202" s="224"/>
    </row>
    <row r="203" spans="1:64" hidden="1" outlineLevel="1">
      <c r="A203" s="9"/>
      <c r="B203" s="9"/>
      <c r="C203" s="44"/>
      <c r="D203" s="131" t="str">
        <f>Asset4</f>
        <v>Public lighting</v>
      </c>
      <c r="E203" s="9"/>
      <c r="F203" s="9"/>
      <c r="G203" s="207">
        <f>Input!N10</f>
        <v>0</v>
      </c>
      <c r="H203" s="115"/>
      <c r="I203" s="115"/>
      <c r="J203" s="115"/>
      <c r="K203" s="115"/>
      <c r="L203" s="115"/>
      <c r="M203" s="115"/>
      <c r="N203" s="104"/>
      <c r="O203" s="29"/>
      <c r="P203" s="29"/>
      <c r="Q203" s="29"/>
      <c r="R203" s="29"/>
      <c r="S203" s="104"/>
      <c r="T203" s="104"/>
      <c r="U203" s="104"/>
      <c r="V203" s="104"/>
      <c r="W203" s="104"/>
      <c r="X203" s="104"/>
      <c r="Y203" s="104"/>
      <c r="Z203" s="104"/>
      <c r="AA203" s="104"/>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4"/>
      <c r="BL203" s="224"/>
    </row>
    <row r="204" spans="1:64" hidden="1" outlineLevel="1">
      <c r="A204" s="9"/>
      <c r="B204" s="9"/>
      <c r="C204" s="44"/>
      <c r="D204" s="131" t="str">
        <f>Asset5</f>
        <v>SCADA/Network control</v>
      </c>
      <c r="E204" s="9"/>
      <c r="F204" s="9"/>
      <c r="G204" s="207">
        <f>Input!N11</f>
        <v>0</v>
      </c>
      <c r="H204" s="115"/>
      <c r="I204" s="115"/>
      <c r="J204" s="115"/>
      <c r="K204" s="115"/>
      <c r="L204" s="115"/>
      <c r="M204" s="115"/>
      <c r="N204" s="104"/>
      <c r="O204" s="29"/>
      <c r="P204" s="29"/>
      <c r="Q204" s="29"/>
      <c r="R204" s="29"/>
      <c r="S204" s="104"/>
      <c r="T204" s="104"/>
      <c r="U204" s="104"/>
      <c r="V204" s="104"/>
      <c r="W204" s="104"/>
      <c r="X204" s="104"/>
      <c r="Y204" s="104"/>
      <c r="Z204" s="104"/>
      <c r="AA204" s="104"/>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4"/>
      <c r="BL204" s="224"/>
    </row>
    <row r="205" spans="1:64" hidden="1" outlineLevel="1">
      <c r="A205" s="9"/>
      <c r="B205" s="9"/>
      <c r="C205" s="44"/>
      <c r="D205" s="131" t="str">
        <f>Asset6</f>
        <v>Non-network general assets - IT</v>
      </c>
      <c r="E205" s="9"/>
      <c r="F205" s="9"/>
      <c r="G205" s="207">
        <f>Input!N12</f>
        <v>0</v>
      </c>
      <c r="H205" s="115"/>
      <c r="I205" s="115"/>
      <c r="J205" s="115"/>
      <c r="K205" s="115"/>
      <c r="L205" s="115"/>
      <c r="M205" s="115"/>
      <c r="N205" s="104"/>
      <c r="O205" s="29"/>
      <c r="P205" s="29"/>
      <c r="Q205" s="29"/>
      <c r="R205" s="29"/>
      <c r="S205" s="104"/>
      <c r="T205" s="104"/>
      <c r="U205" s="104"/>
      <c r="V205" s="104"/>
      <c r="W205" s="104"/>
      <c r="X205" s="104"/>
      <c r="Y205" s="104"/>
      <c r="Z205" s="104"/>
      <c r="AA205" s="104"/>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4"/>
      <c r="BL205" s="224"/>
    </row>
    <row r="206" spans="1:64" hidden="1" outlineLevel="1">
      <c r="A206" s="9"/>
      <c r="B206" s="9"/>
      <c r="C206" s="44"/>
      <c r="D206" s="131" t="str">
        <f>Asset7</f>
        <v>Non-network general assets - Other</v>
      </c>
      <c r="E206" s="9"/>
      <c r="F206" s="9"/>
      <c r="G206" s="207">
        <f>Input!N13</f>
        <v>0</v>
      </c>
      <c r="H206" s="115"/>
      <c r="I206" s="115"/>
      <c r="J206" s="115"/>
      <c r="K206" s="115"/>
      <c r="L206" s="115"/>
      <c r="M206" s="115"/>
      <c r="N206" s="104"/>
      <c r="O206" s="29"/>
      <c r="P206" s="29"/>
      <c r="Q206" s="29"/>
      <c r="R206" s="29"/>
      <c r="S206" s="104"/>
      <c r="T206" s="104"/>
      <c r="U206" s="104"/>
      <c r="V206" s="104"/>
      <c r="W206" s="104"/>
      <c r="X206" s="104"/>
      <c r="Y206" s="104"/>
      <c r="Z206" s="104"/>
      <c r="AA206" s="104"/>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4"/>
      <c r="BL206" s="224"/>
    </row>
    <row r="207" spans="1:64" hidden="1" outlineLevel="1">
      <c r="A207" s="9"/>
      <c r="B207" s="9"/>
      <c r="C207" s="44"/>
      <c r="D207" s="131" t="str">
        <f>Asset8</f>
        <v>Equity Raising Costs</v>
      </c>
      <c r="E207" s="9"/>
      <c r="F207" s="9"/>
      <c r="G207" s="207">
        <f>Input!N14</f>
        <v>0</v>
      </c>
      <c r="H207" s="115"/>
      <c r="I207" s="115"/>
      <c r="J207" s="115"/>
      <c r="K207" s="115"/>
      <c r="L207" s="115"/>
      <c r="M207" s="115"/>
      <c r="N207" s="104"/>
      <c r="O207" s="29"/>
      <c r="P207" s="29"/>
      <c r="Q207" s="29"/>
      <c r="R207" s="29"/>
      <c r="S207" s="104"/>
      <c r="T207" s="104"/>
      <c r="U207" s="104"/>
      <c r="V207" s="104"/>
      <c r="W207" s="104"/>
      <c r="X207" s="104"/>
      <c r="Y207" s="104"/>
      <c r="Z207" s="104"/>
      <c r="AA207" s="104"/>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4"/>
      <c r="BL207" s="224"/>
    </row>
    <row r="208" spans="1:64" hidden="1" outlineLevel="1">
      <c r="A208" s="9"/>
      <c r="B208" s="9"/>
      <c r="C208" s="44"/>
      <c r="D208" s="131">
        <f>Asset9</f>
        <v>0</v>
      </c>
      <c r="E208" s="9"/>
      <c r="F208" s="9"/>
      <c r="G208" s="207">
        <f>Input!N15</f>
        <v>0</v>
      </c>
      <c r="H208" s="115"/>
      <c r="I208" s="115"/>
      <c r="J208" s="115"/>
      <c r="K208" s="115"/>
      <c r="L208" s="115"/>
      <c r="M208" s="115"/>
      <c r="N208" s="104"/>
      <c r="O208" s="29"/>
      <c r="P208" s="29"/>
      <c r="Q208" s="29"/>
      <c r="R208" s="29"/>
      <c r="S208" s="104"/>
      <c r="T208" s="104"/>
      <c r="U208" s="104"/>
      <c r="V208" s="104"/>
      <c r="W208" s="104"/>
      <c r="X208" s="104"/>
      <c r="Y208" s="104"/>
      <c r="Z208" s="104"/>
      <c r="AA208" s="104"/>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4"/>
      <c r="BL208" s="224"/>
    </row>
    <row r="209" spans="1:64" hidden="1" outlineLevel="1">
      <c r="A209" s="9"/>
      <c r="B209" s="9"/>
      <c r="C209" s="44"/>
      <c r="D209" s="131">
        <f>Asset10</f>
        <v>0</v>
      </c>
      <c r="E209" s="9"/>
      <c r="F209" s="9"/>
      <c r="G209" s="207">
        <f>Input!N16</f>
        <v>0</v>
      </c>
      <c r="H209" s="115"/>
      <c r="I209" s="115"/>
      <c r="J209" s="115"/>
      <c r="K209" s="115"/>
      <c r="L209" s="115"/>
      <c r="M209" s="115"/>
      <c r="N209" s="104"/>
      <c r="O209" s="29"/>
      <c r="P209" s="29"/>
      <c r="Q209" s="29"/>
      <c r="R209" s="29"/>
      <c r="S209" s="104"/>
      <c r="T209" s="104"/>
      <c r="U209" s="104"/>
      <c r="V209" s="104"/>
      <c r="W209" s="104"/>
      <c r="X209" s="104"/>
      <c r="Y209" s="104"/>
      <c r="Z209" s="104"/>
      <c r="AA209" s="104"/>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4"/>
      <c r="BL209" s="224"/>
    </row>
    <row r="210" spans="1:64" hidden="1" outlineLevel="1">
      <c r="A210" s="9"/>
      <c r="B210" s="9"/>
      <c r="C210" s="44"/>
      <c r="D210" s="131">
        <f>Asset11</f>
        <v>0</v>
      </c>
      <c r="E210" s="9"/>
      <c r="F210" s="9"/>
      <c r="G210" s="207">
        <f>Input!N17</f>
        <v>0</v>
      </c>
      <c r="H210" s="115"/>
      <c r="I210" s="115"/>
      <c r="J210" s="115"/>
      <c r="K210" s="115"/>
      <c r="L210" s="115"/>
      <c r="M210" s="115"/>
      <c r="N210" s="104"/>
      <c r="O210" s="29"/>
      <c r="P210" s="29"/>
      <c r="Q210" s="29"/>
      <c r="R210" s="29"/>
      <c r="S210" s="104"/>
      <c r="T210" s="104"/>
      <c r="U210" s="104"/>
      <c r="V210" s="104"/>
      <c r="W210" s="104"/>
      <c r="X210" s="104"/>
      <c r="Y210" s="104"/>
      <c r="Z210" s="104"/>
      <c r="AA210" s="104"/>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4"/>
      <c r="BL210" s="224"/>
    </row>
    <row r="211" spans="1:64" hidden="1" outlineLevel="1">
      <c r="A211" s="9"/>
      <c r="B211" s="9"/>
      <c r="C211" s="44"/>
      <c r="D211" s="131">
        <f>Asset12</f>
        <v>0</v>
      </c>
      <c r="E211" s="9"/>
      <c r="F211" s="9"/>
      <c r="G211" s="207">
        <f>Input!N18</f>
        <v>0</v>
      </c>
      <c r="H211" s="115"/>
      <c r="I211" s="115"/>
      <c r="J211" s="115"/>
      <c r="K211" s="115"/>
      <c r="L211" s="115"/>
      <c r="M211" s="115"/>
      <c r="N211" s="104"/>
      <c r="O211" s="29"/>
      <c r="P211" s="29"/>
      <c r="Q211" s="29"/>
      <c r="R211" s="29"/>
      <c r="S211" s="104"/>
      <c r="T211" s="104"/>
      <c r="U211" s="104"/>
      <c r="V211" s="104"/>
      <c r="W211" s="104"/>
      <c r="X211" s="104"/>
      <c r="Y211" s="104"/>
      <c r="Z211" s="104"/>
      <c r="AA211" s="104"/>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4"/>
      <c r="BL211" s="224"/>
    </row>
    <row r="212" spans="1:64" hidden="1" outlineLevel="1">
      <c r="A212" s="9"/>
      <c r="B212" s="9"/>
      <c r="C212" s="44"/>
      <c r="D212" s="131">
        <f>Asset13</f>
        <v>0</v>
      </c>
      <c r="E212" s="9"/>
      <c r="F212" s="9"/>
      <c r="G212" s="207">
        <f>Input!N19</f>
        <v>0</v>
      </c>
      <c r="H212" s="115"/>
      <c r="I212" s="115"/>
      <c r="J212" s="115"/>
      <c r="K212" s="115"/>
      <c r="L212" s="115"/>
      <c r="M212" s="115"/>
      <c r="N212" s="104"/>
      <c r="O212" s="29"/>
      <c r="P212" s="29"/>
      <c r="Q212" s="29"/>
      <c r="R212" s="29"/>
      <c r="S212" s="104"/>
      <c r="T212" s="104"/>
      <c r="U212" s="104"/>
      <c r="V212" s="104"/>
      <c r="W212" s="104"/>
      <c r="X212" s="104"/>
      <c r="Y212" s="104"/>
      <c r="Z212" s="104"/>
      <c r="AA212" s="104"/>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4"/>
      <c r="BL212" s="224"/>
    </row>
    <row r="213" spans="1:64" hidden="1" outlineLevel="1">
      <c r="A213" s="9"/>
      <c r="B213" s="9"/>
      <c r="C213" s="44"/>
      <c r="D213" s="131">
        <f>Asset14</f>
        <v>0</v>
      </c>
      <c r="E213" s="9"/>
      <c r="F213" s="9"/>
      <c r="G213" s="207">
        <f>Input!N20</f>
        <v>0</v>
      </c>
      <c r="H213" s="115"/>
      <c r="I213" s="115"/>
      <c r="J213" s="115"/>
      <c r="K213" s="115"/>
      <c r="L213" s="115"/>
      <c r="M213" s="115"/>
      <c r="N213" s="104"/>
      <c r="O213" s="29"/>
      <c r="P213" s="29"/>
      <c r="Q213" s="29"/>
      <c r="R213" s="29"/>
      <c r="S213" s="104"/>
      <c r="T213" s="104"/>
      <c r="U213" s="104"/>
      <c r="V213" s="104"/>
      <c r="W213" s="104"/>
      <c r="X213" s="104"/>
      <c r="Y213" s="104"/>
      <c r="Z213" s="104"/>
      <c r="AA213" s="104"/>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4"/>
      <c r="BL213" s="224"/>
    </row>
    <row r="214" spans="1:64" hidden="1" outlineLevel="1">
      <c r="A214" s="9"/>
      <c r="B214" s="9"/>
      <c r="C214" s="44"/>
      <c r="D214" s="131">
        <f>Asset15</f>
        <v>0</v>
      </c>
      <c r="E214" s="9"/>
      <c r="F214" s="9"/>
      <c r="G214" s="207">
        <f>Input!N21</f>
        <v>0</v>
      </c>
      <c r="H214" s="115"/>
      <c r="I214" s="115"/>
      <c r="J214" s="115"/>
      <c r="K214" s="115"/>
      <c r="L214" s="115"/>
      <c r="M214" s="115"/>
      <c r="N214" s="104"/>
      <c r="O214" s="29"/>
      <c r="P214" s="29"/>
      <c r="Q214" s="29"/>
      <c r="R214" s="29"/>
      <c r="S214" s="104"/>
      <c r="T214" s="104"/>
      <c r="U214" s="104"/>
      <c r="V214" s="104"/>
      <c r="W214" s="104"/>
      <c r="X214" s="104"/>
      <c r="Y214" s="104"/>
      <c r="Z214" s="104"/>
      <c r="AA214" s="104"/>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4"/>
      <c r="BL214" s="224"/>
    </row>
    <row r="215" spans="1:64" hidden="1" outlineLevel="1">
      <c r="A215" s="9"/>
      <c r="B215" s="9"/>
      <c r="C215" s="44"/>
      <c r="D215" s="131">
        <f>Asset16</f>
        <v>0</v>
      </c>
      <c r="E215" s="9"/>
      <c r="F215" s="9"/>
      <c r="G215" s="207">
        <f>Input!N22</f>
        <v>0</v>
      </c>
      <c r="H215" s="115"/>
      <c r="I215" s="115"/>
      <c r="J215" s="115"/>
      <c r="K215" s="115"/>
      <c r="L215" s="115"/>
      <c r="M215" s="115"/>
      <c r="N215" s="104"/>
      <c r="O215" s="29"/>
      <c r="P215" s="29"/>
      <c r="Q215" s="29"/>
      <c r="R215" s="29"/>
      <c r="S215" s="104"/>
      <c r="T215" s="104"/>
      <c r="U215" s="104"/>
      <c r="V215" s="104"/>
      <c r="W215" s="104"/>
      <c r="X215" s="104"/>
      <c r="Y215" s="104"/>
      <c r="Z215" s="104"/>
      <c r="AA215" s="104"/>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4"/>
      <c r="BL215" s="224"/>
    </row>
    <row r="216" spans="1:64" hidden="1" outlineLevel="1">
      <c r="A216" s="9"/>
      <c r="B216" s="9"/>
      <c r="C216" s="44"/>
      <c r="D216" s="131">
        <f>Asset17</f>
        <v>0</v>
      </c>
      <c r="E216" s="9"/>
      <c r="F216" s="9"/>
      <c r="G216" s="207">
        <f>Input!N23</f>
        <v>0</v>
      </c>
      <c r="H216" s="115"/>
      <c r="I216" s="115"/>
      <c r="J216" s="115"/>
      <c r="K216" s="115"/>
      <c r="L216" s="115"/>
      <c r="M216" s="115"/>
      <c r="N216" s="104"/>
      <c r="O216" s="29"/>
      <c r="P216" s="29"/>
      <c r="Q216" s="29"/>
      <c r="R216" s="29"/>
      <c r="S216" s="104"/>
      <c r="T216" s="104"/>
      <c r="U216" s="104"/>
      <c r="V216" s="104"/>
      <c r="W216" s="104"/>
      <c r="X216" s="104"/>
      <c r="Y216" s="104"/>
      <c r="Z216" s="104"/>
      <c r="AA216" s="104"/>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4"/>
      <c r="BL216" s="224"/>
    </row>
    <row r="217" spans="1:64" hidden="1" outlineLevel="1">
      <c r="A217" s="9"/>
      <c r="B217" s="9"/>
      <c r="C217" s="44"/>
      <c r="D217" s="131">
        <f>Asset18</f>
        <v>0</v>
      </c>
      <c r="E217" s="9"/>
      <c r="F217" s="9"/>
      <c r="G217" s="207">
        <f>Input!N24</f>
        <v>0</v>
      </c>
      <c r="H217" s="115"/>
      <c r="I217" s="115"/>
      <c r="J217" s="115"/>
      <c r="K217" s="115"/>
      <c r="L217" s="115"/>
      <c r="M217" s="115"/>
      <c r="N217" s="104"/>
      <c r="O217" s="29"/>
      <c r="P217" s="29"/>
      <c r="Q217" s="29"/>
      <c r="R217" s="29"/>
      <c r="S217" s="104"/>
      <c r="T217" s="104"/>
      <c r="U217" s="104"/>
      <c r="V217" s="104"/>
      <c r="W217" s="104"/>
      <c r="X217" s="104"/>
      <c r="Y217" s="104"/>
      <c r="Z217" s="104"/>
      <c r="AA217" s="104"/>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4"/>
      <c r="BL217" s="224"/>
    </row>
    <row r="218" spans="1:64" hidden="1" outlineLevel="1">
      <c r="A218" s="9"/>
      <c r="B218" s="9"/>
      <c r="C218" s="44"/>
      <c r="D218" s="131">
        <f>Asset19</f>
        <v>0</v>
      </c>
      <c r="E218" s="9"/>
      <c r="F218" s="9"/>
      <c r="G218" s="207">
        <f>Input!N25</f>
        <v>0</v>
      </c>
      <c r="H218" s="115"/>
      <c r="I218" s="115"/>
      <c r="J218" s="115"/>
      <c r="K218" s="115"/>
      <c r="L218" s="115"/>
      <c r="M218" s="115"/>
      <c r="N218" s="104"/>
      <c r="O218" s="29"/>
      <c r="P218" s="29"/>
      <c r="Q218" s="29"/>
      <c r="R218" s="29"/>
      <c r="S218" s="104"/>
      <c r="T218" s="104"/>
      <c r="U218" s="104"/>
      <c r="V218" s="104"/>
      <c r="W218" s="104"/>
      <c r="X218" s="104"/>
      <c r="Y218" s="104"/>
      <c r="Z218" s="104"/>
      <c r="AA218" s="104"/>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4"/>
      <c r="BL218" s="224"/>
    </row>
    <row r="219" spans="1:64" hidden="1" outlineLevel="1">
      <c r="A219" s="9"/>
      <c r="B219" s="9"/>
      <c r="C219" s="44"/>
      <c r="D219" s="131">
        <f>Asset20</f>
        <v>0</v>
      </c>
      <c r="E219" s="9"/>
      <c r="F219" s="9"/>
      <c r="G219" s="207">
        <f>Input!N26</f>
        <v>0</v>
      </c>
      <c r="H219" s="115"/>
      <c r="I219" s="115"/>
      <c r="J219" s="115"/>
      <c r="K219" s="115"/>
      <c r="L219" s="115"/>
      <c r="M219" s="115"/>
      <c r="N219" s="104"/>
      <c r="O219" s="29"/>
      <c r="P219" s="29"/>
      <c r="Q219" s="29"/>
      <c r="R219" s="29"/>
      <c r="S219" s="104"/>
      <c r="T219" s="104"/>
      <c r="U219" s="104"/>
      <c r="V219" s="104"/>
      <c r="W219" s="104"/>
      <c r="X219" s="104"/>
      <c r="Y219" s="104"/>
      <c r="Z219" s="104"/>
      <c r="AA219" s="104"/>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4"/>
      <c r="BL219" s="224"/>
    </row>
    <row r="220" spans="1:64" hidden="1" outlineLevel="1">
      <c r="A220" s="9"/>
      <c r="B220" s="9"/>
      <c r="C220" s="44"/>
      <c r="D220" s="131">
        <f>Asset21</f>
        <v>0</v>
      </c>
      <c r="E220" s="9"/>
      <c r="F220" s="9"/>
      <c r="G220" s="207">
        <f>Input!N27</f>
        <v>0</v>
      </c>
      <c r="H220" s="115"/>
      <c r="I220" s="115"/>
      <c r="J220" s="115"/>
      <c r="K220" s="115"/>
      <c r="L220" s="115"/>
      <c r="M220" s="115"/>
      <c r="N220" s="104"/>
      <c r="O220" s="29"/>
      <c r="P220" s="29"/>
      <c r="Q220" s="29"/>
      <c r="R220" s="29"/>
      <c r="S220" s="104"/>
      <c r="T220" s="104"/>
      <c r="U220" s="104"/>
      <c r="V220" s="104"/>
      <c r="W220" s="104"/>
      <c r="X220" s="104"/>
      <c r="Y220" s="104"/>
      <c r="Z220" s="104"/>
      <c r="AA220" s="104"/>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4"/>
      <c r="BL220" s="224"/>
    </row>
    <row r="221" spans="1:64" hidden="1" outlineLevel="1">
      <c r="A221" s="9"/>
      <c r="B221" s="9"/>
      <c r="C221" s="44"/>
      <c r="D221" s="131">
        <f>Asset22</f>
        <v>0</v>
      </c>
      <c r="E221" s="9"/>
      <c r="F221" s="9"/>
      <c r="G221" s="207">
        <f>Input!N28</f>
        <v>0</v>
      </c>
      <c r="H221" s="115"/>
      <c r="I221" s="115"/>
      <c r="J221" s="115"/>
      <c r="K221" s="115"/>
      <c r="L221" s="115"/>
      <c r="M221" s="115"/>
      <c r="N221" s="104"/>
      <c r="O221" s="29"/>
      <c r="P221" s="29"/>
      <c r="Q221" s="29"/>
      <c r="R221" s="29"/>
      <c r="S221" s="104"/>
      <c r="T221" s="104"/>
      <c r="U221" s="104"/>
      <c r="V221" s="104"/>
      <c r="W221" s="104"/>
      <c r="X221" s="104"/>
      <c r="Y221" s="104"/>
      <c r="Z221" s="104"/>
      <c r="AA221" s="104"/>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4"/>
      <c r="BL221" s="224"/>
    </row>
    <row r="222" spans="1:64" hidden="1" outlineLevel="1">
      <c r="A222" s="9"/>
      <c r="B222" s="9"/>
      <c r="C222" s="44"/>
      <c r="D222" s="131">
        <f>Asset23</f>
        <v>0</v>
      </c>
      <c r="E222" s="9"/>
      <c r="F222" s="9"/>
      <c r="G222" s="207">
        <f>Input!N29</f>
        <v>0</v>
      </c>
      <c r="H222" s="115"/>
      <c r="I222" s="115"/>
      <c r="J222" s="115"/>
      <c r="K222" s="115"/>
      <c r="L222" s="115"/>
      <c r="M222" s="115"/>
      <c r="N222" s="104"/>
      <c r="O222" s="29"/>
      <c r="P222" s="29"/>
      <c r="Q222" s="29"/>
      <c r="R222" s="29"/>
      <c r="S222" s="104"/>
      <c r="T222" s="104"/>
      <c r="U222" s="104"/>
      <c r="V222" s="104"/>
      <c r="W222" s="104"/>
      <c r="X222" s="104"/>
      <c r="Y222" s="104"/>
      <c r="Z222" s="104"/>
      <c r="AA222" s="104"/>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4"/>
      <c r="BL222" s="224"/>
    </row>
    <row r="223" spans="1:64" hidden="1" outlineLevel="1">
      <c r="A223" s="9"/>
      <c r="B223" s="9"/>
      <c r="C223" s="44"/>
      <c r="D223" s="131">
        <f>Asset24</f>
        <v>0</v>
      </c>
      <c r="E223" s="9"/>
      <c r="F223" s="9"/>
      <c r="G223" s="207">
        <f>Input!N30</f>
        <v>0</v>
      </c>
      <c r="H223" s="115"/>
      <c r="I223" s="115"/>
      <c r="J223" s="115"/>
      <c r="K223" s="115"/>
      <c r="L223" s="115"/>
      <c r="M223" s="115"/>
      <c r="N223" s="104"/>
      <c r="O223" s="29"/>
      <c r="P223" s="29"/>
      <c r="Q223" s="29"/>
      <c r="R223" s="29"/>
      <c r="S223" s="104"/>
      <c r="T223" s="104"/>
      <c r="U223" s="104"/>
      <c r="V223" s="104"/>
      <c r="W223" s="104"/>
      <c r="X223" s="104"/>
      <c r="Y223" s="104"/>
      <c r="Z223" s="104"/>
      <c r="AA223" s="104"/>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4"/>
      <c r="BL223" s="224"/>
    </row>
    <row r="224" spans="1:64" hidden="1" outlineLevel="1">
      <c r="A224" s="9"/>
      <c r="B224" s="9"/>
      <c r="C224" s="44"/>
      <c r="D224" s="131">
        <f>Asset25</f>
        <v>0</v>
      </c>
      <c r="E224" s="9"/>
      <c r="F224" s="9"/>
      <c r="G224" s="207">
        <f>Input!N31</f>
        <v>0</v>
      </c>
      <c r="H224" s="115"/>
      <c r="I224" s="115"/>
      <c r="J224" s="115"/>
      <c r="K224" s="115"/>
      <c r="L224" s="115"/>
      <c r="M224" s="115"/>
      <c r="N224" s="104"/>
      <c r="O224" s="29"/>
      <c r="P224" s="29"/>
      <c r="Q224" s="29"/>
      <c r="R224" s="29"/>
      <c r="S224" s="104"/>
      <c r="T224" s="104"/>
      <c r="U224" s="104"/>
      <c r="V224" s="104"/>
      <c r="W224" s="104"/>
      <c r="X224" s="104"/>
      <c r="Y224" s="104"/>
      <c r="Z224" s="104"/>
      <c r="AA224" s="104"/>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4"/>
      <c r="BL224" s="224"/>
    </row>
    <row r="225" spans="1:64" hidden="1" outlineLevel="1">
      <c r="A225" s="9"/>
      <c r="B225" s="9"/>
      <c r="C225" s="44"/>
      <c r="D225" s="131">
        <f>Asset26</f>
        <v>0</v>
      </c>
      <c r="E225" s="9"/>
      <c r="F225" s="9"/>
      <c r="G225" s="207">
        <f>Input!N32</f>
        <v>0</v>
      </c>
      <c r="H225" s="115"/>
      <c r="I225" s="115"/>
      <c r="J225" s="115"/>
      <c r="K225" s="115"/>
      <c r="L225" s="115"/>
      <c r="M225" s="115"/>
      <c r="N225" s="104"/>
      <c r="O225" s="29"/>
      <c r="P225" s="29"/>
      <c r="Q225" s="29"/>
      <c r="R225" s="29"/>
      <c r="S225" s="104"/>
      <c r="T225" s="104"/>
      <c r="U225" s="104"/>
      <c r="V225" s="104"/>
      <c r="W225" s="104"/>
      <c r="X225" s="104"/>
      <c r="Y225" s="104"/>
      <c r="Z225" s="104"/>
      <c r="AA225" s="104"/>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4"/>
      <c r="BL225" s="224"/>
    </row>
    <row r="226" spans="1:64" hidden="1" outlineLevel="1">
      <c r="A226" s="9"/>
      <c r="B226" s="9"/>
      <c r="C226" s="44"/>
      <c r="D226" s="131">
        <f>Asset27</f>
        <v>0</v>
      </c>
      <c r="E226" s="9"/>
      <c r="F226" s="9"/>
      <c r="G226" s="207">
        <f>Input!N33</f>
        <v>0</v>
      </c>
      <c r="H226" s="115"/>
      <c r="I226" s="115"/>
      <c r="J226" s="115"/>
      <c r="K226" s="115"/>
      <c r="L226" s="115"/>
      <c r="M226" s="115"/>
      <c r="N226" s="104"/>
      <c r="O226" s="29"/>
      <c r="P226" s="29"/>
      <c r="Q226" s="29"/>
      <c r="R226" s="29"/>
      <c r="S226" s="104"/>
      <c r="T226" s="104"/>
      <c r="U226" s="104"/>
      <c r="V226" s="104"/>
      <c r="W226" s="104"/>
      <c r="X226" s="104"/>
      <c r="Y226" s="104"/>
      <c r="Z226" s="104"/>
      <c r="AA226" s="104"/>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4"/>
      <c r="BL226" s="224"/>
    </row>
    <row r="227" spans="1:64" hidden="1" outlineLevel="1">
      <c r="A227" s="9"/>
      <c r="B227" s="9"/>
      <c r="C227" s="44"/>
      <c r="D227" s="131">
        <f>Asset28</f>
        <v>0</v>
      </c>
      <c r="E227" s="9"/>
      <c r="F227" s="9"/>
      <c r="G227" s="207">
        <f>Input!N34</f>
        <v>0</v>
      </c>
      <c r="H227" s="115"/>
      <c r="I227" s="115"/>
      <c r="J227" s="115"/>
      <c r="K227" s="115"/>
      <c r="L227" s="115"/>
      <c r="M227" s="115"/>
      <c r="N227" s="104"/>
      <c r="O227" s="29"/>
      <c r="P227" s="29"/>
      <c r="Q227" s="29"/>
      <c r="R227" s="29"/>
      <c r="S227" s="104"/>
      <c r="T227" s="104"/>
      <c r="U227" s="104"/>
      <c r="V227" s="104"/>
      <c r="W227" s="104"/>
      <c r="X227" s="104"/>
      <c r="Y227" s="104"/>
      <c r="Z227" s="104"/>
      <c r="AA227" s="104"/>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4"/>
      <c r="BL227" s="224"/>
    </row>
    <row r="228" spans="1:64" hidden="1" outlineLevel="1">
      <c r="A228" s="9"/>
      <c r="B228" s="9"/>
      <c r="C228" s="44"/>
      <c r="D228" s="131">
        <f>Asset29</f>
        <v>0</v>
      </c>
      <c r="E228" s="9"/>
      <c r="F228" s="9"/>
      <c r="G228" s="207">
        <f>Input!N35</f>
        <v>0</v>
      </c>
      <c r="H228" s="115"/>
      <c r="I228" s="115"/>
      <c r="J228" s="115"/>
      <c r="K228" s="115"/>
      <c r="L228" s="115"/>
      <c r="M228" s="115"/>
      <c r="N228" s="104"/>
      <c r="O228" s="29"/>
      <c r="P228" s="29"/>
      <c r="Q228" s="29"/>
      <c r="R228" s="29"/>
      <c r="S228" s="104"/>
      <c r="T228" s="104"/>
      <c r="U228" s="104"/>
      <c r="V228" s="104"/>
      <c r="W228" s="104"/>
      <c r="X228" s="104"/>
      <c r="Y228" s="104"/>
      <c r="Z228" s="104"/>
      <c r="AA228" s="104"/>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4"/>
      <c r="BL228" s="224"/>
    </row>
    <row r="229" spans="1:64" hidden="1" outlineLevel="1">
      <c r="A229" s="9"/>
      <c r="B229" s="9"/>
      <c r="C229" s="44"/>
      <c r="D229" s="131">
        <f>Asset30</f>
        <v>0</v>
      </c>
      <c r="E229" s="9"/>
      <c r="F229" s="9"/>
      <c r="G229" s="207">
        <f>Input!N36</f>
        <v>0</v>
      </c>
      <c r="H229" s="115"/>
      <c r="I229" s="115"/>
      <c r="J229" s="115"/>
      <c r="K229" s="115"/>
      <c r="L229" s="115"/>
      <c r="M229" s="115"/>
      <c r="N229" s="104"/>
      <c r="O229" s="29"/>
      <c r="P229" s="29"/>
      <c r="Q229" s="29"/>
      <c r="R229" s="29"/>
      <c r="S229" s="104"/>
      <c r="T229" s="104"/>
      <c r="U229" s="104"/>
      <c r="V229" s="104"/>
      <c r="W229" s="104"/>
      <c r="X229" s="104"/>
      <c r="Y229" s="104"/>
      <c r="Z229" s="104"/>
      <c r="AA229" s="104"/>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4"/>
      <c r="BL229" s="224"/>
    </row>
    <row r="230" spans="1:64" collapsed="1">
      <c r="A230" s="9"/>
      <c r="B230" s="9"/>
      <c r="C230" s="44"/>
      <c r="D230" s="131"/>
      <c r="E230" s="9"/>
      <c r="F230" s="9"/>
      <c r="G230" s="143"/>
      <c r="H230" s="115"/>
      <c r="I230" s="115"/>
      <c r="J230" s="115"/>
      <c r="K230" s="115"/>
      <c r="L230" s="115"/>
      <c r="M230" s="115"/>
      <c r="N230" s="104"/>
      <c r="O230" s="29"/>
      <c r="P230" s="29"/>
      <c r="Q230" s="29"/>
      <c r="R230" s="29"/>
      <c r="S230" s="104"/>
      <c r="T230" s="104"/>
      <c r="U230" s="104"/>
      <c r="V230" s="104"/>
      <c r="W230" s="104"/>
      <c r="X230" s="104"/>
      <c r="Y230" s="104"/>
      <c r="Z230" s="104"/>
      <c r="AA230" s="104"/>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31"/>
      <c r="BK230" s="224"/>
      <c r="BL230" s="224"/>
    </row>
    <row r="231" spans="1:64">
      <c r="A231" s="78"/>
      <c r="B231" s="78"/>
      <c r="C231" s="85" t="s">
        <v>65</v>
      </c>
      <c r="D231" s="250"/>
      <c r="E231" s="78"/>
      <c r="F231" s="78"/>
      <c r="G231" s="185"/>
      <c r="H231" s="187"/>
      <c r="I231" s="187"/>
      <c r="J231" s="187"/>
      <c r="K231" s="187"/>
      <c r="L231" s="187"/>
      <c r="M231" s="187"/>
      <c r="N231" s="251"/>
      <c r="O231" s="251"/>
      <c r="P231" s="251"/>
      <c r="Q231" s="251"/>
      <c r="R231" s="251"/>
      <c r="S231" s="104"/>
      <c r="T231" s="104"/>
      <c r="U231" s="104"/>
      <c r="V231" s="104"/>
      <c r="W231" s="104"/>
      <c r="X231" s="104"/>
      <c r="Y231" s="104"/>
      <c r="Z231" s="104"/>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31"/>
      <c r="BK231" s="224"/>
      <c r="BL231" s="224"/>
    </row>
    <row r="232" spans="1:64">
      <c r="A232" s="12"/>
      <c r="B232" s="12"/>
      <c r="C232" s="17"/>
      <c r="D232" s="131"/>
      <c r="E232" s="12"/>
      <c r="F232" s="12"/>
      <c r="G232" s="156"/>
      <c r="H232" s="157"/>
      <c r="I232" s="157"/>
      <c r="J232" s="157"/>
      <c r="K232" s="157"/>
      <c r="L232" s="157"/>
      <c r="M232" s="157"/>
      <c r="N232" s="104"/>
      <c r="O232" s="104"/>
      <c r="P232" s="104"/>
      <c r="Q232" s="104"/>
      <c r="R232" s="104"/>
      <c r="S232" s="104"/>
      <c r="T232" s="104"/>
      <c r="U232" s="104"/>
      <c r="V232" s="104"/>
      <c r="W232" s="104"/>
      <c r="X232" s="104"/>
      <c r="Y232" s="104"/>
      <c r="Z232" s="104"/>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31"/>
      <c r="BK232" s="224"/>
      <c r="BL232" s="224"/>
    </row>
    <row r="233" spans="1:64">
      <c r="A233" s="12"/>
      <c r="B233" s="12"/>
      <c r="C233" s="94" t="s">
        <v>64</v>
      </c>
      <c r="D233" s="252"/>
      <c r="E233" s="17"/>
      <c r="F233" s="17"/>
      <c r="G233" s="477">
        <f>SUM(G234:G263)</f>
        <v>2093.4385480310939</v>
      </c>
      <c r="H233" s="497">
        <f>SUM(H234:H263)</f>
        <v>2278.2609074570819</v>
      </c>
      <c r="I233" s="497">
        <f t="shared" ref="I233:P233" si="10">SUM(I234:I263)</f>
        <v>2563.010391265866</v>
      </c>
      <c r="J233" s="497">
        <f t="shared" si="10"/>
        <v>2858.9454715868251</v>
      </c>
      <c r="K233" s="497">
        <f t="shared" si="10"/>
        <v>3180.3896560995681</v>
      </c>
      <c r="L233" s="497">
        <f t="shared" si="10"/>
        <v>3473.524989544037</v>
      </c>
      <c r="M233" s="315">
        <f t="shared" si="10"/>
        <v>0</v>
      </c>
      <c r="N233" s="315">
        <f t="shared" si="10"/>
        <v>0</v>
      </c>
      <c r="O233" s="315">
        <f t="shared" si="10"/>
        <v>0</v>
      </c>
      <c r="P233" s="315">
        <f t="shared" si="10"/>
        <v>0</v>
      </c>
      <c r="Q233" s="315">
        <f>SUM(Q234:Q263)</f>
        <v>0</v>
      </c>
      <c r="R233" s="253"/>
      <c r="S233" s="104"/>
      <c r="T233" s="104"/>
      <c r="U233" s="104"/>
      <c r="V233" s="104"/>
      <c r="W233" s="104"/>
      <c r="X233" s="104"/>
      <c r="Y233" s="104"/>
      <c r="Z233" s="104"/>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31"/>
      <c r="BK233" s="224"/>
      <c r="BL233" s="224"/>
    </row>
    <row r="234" spans="1:64" hidden="1" outlineLevel="1">
      <c r="A234" s="9"/>
      <c r="B234" s="12"/>
      <c r="C234" s="44"/>
      <c r="D234" s="271" t="str">
        <f>Asset1</f>
        <v>Subtransmission</v>
      </c>
      <c r="E234" s="12"/>
      <c r="F234" s="12"/>
      <c r="G234" s="204">
        <f t="shared" ref="G234:G253" si="11">G8+G40+G72+G104+G136+G168+G200</f>
        <v>201.86232986351726</v>
      </c>
      <c r="H234" s="157">
        <f t="shared" ref="H234:L243" si="12">H8+H40+H72</f>
        <v>223.75378048883468</v>
      </c>
      <c r="I234" s="157">
        <f t="shared" si="12"/>
        <v>270.18518567823617</v>
      </c>
      <c r="J234" s="157">
        <f t="shared" si="12"/>
        <v>333.22360899693331</v>
      </c>
      <c r="K234" s="157">
        <f t="shared" si="12"/>
        <v>395.67376420819033</v>
      </c>
      <c r="L234" s="157">
        <f t="shared" si="12"/>
        <v>458.13873531134919</v>
      </c>
      <c r="M234" s="157">
        <f>IF(COUNT($H234:L234)&gt;=Input!$Y$7,0, M8+M40+M72)</f>
        <v>0</v>
      </c>
      <c r="N234" s="157">
        <f>IF(COUNT($H234:M234)&gt;=Input!$Y$7,0, N8+N40+N72)</f>
        <v>0</v>
      </c>
      <c r="O234" s="157">
        <f>IF(COUNT($H234:N234)&gt;=Input!$Y$7,0, O8+O40+O72)</f>
        <v>0</v>
      </c>
      <c r="P234" s="157">
        <f>IF(COUNT($H234:O234)&gt;=Input!$Y$7,0, P8+P40+P72)</f>
        <v>0</v>
      </c>
      <c r="Q234" s="157">
        <f>IF(COUNT($H234:P234)&gt;=Input!$Y$7,0, Q8+Q40+Q72)</f>
        <v>0</v>
      </c>
      <c r="R234" s="104"/>
      <c r="S234" s="104"/>
      <c r="T234" s="104"/>
      <c r="U234" s="104"/>
      <c r="V234" s="104"/>
      <c r="W234" s="104"/>
      <c r="X234" s="104"/>
      <c r="Y234" s="104"/>
      <c r="Z234" s="104"/>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31"/>
      <c r="BK234" s="224"/>
      <c r="BL234" s="224"/>
    </row>
    <row r="235" spans="1:64" hidden="1" outlineLevel="1">
      <c r="A235" s="9"/>
      <c r="B235" s="12"/>
      <c r="C235" s="44"/>
      <c r="D235" s="271" t="str">
        <f>Asset2</f>
        <v>Distribution system assets</v>
      </c>
      <c r="E235" s="12"/>
      <c r="F235" s="12"/>
      <c r="G235" s="204">
        <f t="shared" si="11"/>
        <v>1751.8018003116877</v>
      </c>
      <c r="H235" s="157">
        <f t="shared" si="12"/>
        <v>1932.3104445268239</v>
      </c>
      <c r="I235" s="157">
        <f t="shared" si="12"/>
        <v>2147.2896410684702</v>
      </c>
      <c r="J235" s="157">
        <f t="shared" si="12"/>
        <v>2368.6596044689627</v>
      </c>
      <c r="K235" s="157">
        <f t="shared" si="12"/>
        <v>2633.8659916484798</v>
      </c>
      <c r="L235" s="157">
        <f t="shared" si="12"/>
        <v>2880.4832228481646</v>
      </c>
      <c r="M235" s="157">
        <f>IF(COUNT($H235:L235)&gt;=Input!$Y$7,0, M9+M41+M73)</f>
        <v>0</v>
      </c>
      <c r="N235" s="157">
        <f>IF(COUNT($H235:M235)&gt;=Input!$Y$7,0, N9+N41+N73)</f>
        <v>0</v>
      </c>
      <c r="O235" s="157">
        <f>IF(COUNT($H235:N235)&gt;=Input!$Y$7,0, O9+O41+O73)</f>
        <v>0</v>
      </c>
      <c r="P235" s="157">
        <f>IF(COUNT($H235:O235)&gt;=Input!$Y$7,0, P9+P41+P73)</f>
        <v>0</v>
      </c>
      <c r="Q235" s="157">
        <f>IF(COUNT($H235:P235)&gt;=Input!$Y$7,0, Q9+Q41+Q73)</f>
        <v>0</v>
      </c>
      <c r="R235" s="104"/>
      <c r="S235" s="104"/>
      <c r="T235" s="104"/>
      <c r="U235" s="104"/>
      <c r="V235" s="104"/>
      <c r="W235" s="104"/>
      <c r="X235" s="104"/>
      <c r="Y235" s="104"/>
      <c r="Z235" s="104"/>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31"/>
      <c r="BK235" s="224"/>
      <c r="BL235" s="224"/>
    </row>
    <row r="236" spans="1:64" hidden="1" outlineLevel="1">
      <c r="A236" s="9"/>
      <c r="B236" s="12"/>
      <c r="C236" s="44"/>
      <c r="D236" s="271" t="str">
        <f>Asset3</f>
        <v>Standard metering</v>
      </c>
      <c r="E236" s="12"/>
      <c r="F236" s="12"/>
      <c r="G236" s="204">
        <f t="shared" si="11"/>
        <v>15.790380770985777</v>
      </c>
      <c r="H236" s="157">
        <f t="shared" si="12"/>
        <v>0</v>
      </c>
      <c r="I236" s="157">
        <f t="shared" si="12"/>
        <v>-1.7763568394002505E-15</v>
      </c>
      <c r="J236" s="157">
        <f t="shared" si="12"/>
        <v>-1.7763568394002505E-15</v>
      </c>
      <c r="K236" s="157">
        <f t="shared" si="12"/>
        <v>-1.7763568394002505E-15</v>
      </c>
      <c r="L236" s="157">
        <f t="shared" si="12"/>
        <v>-1.7763568394002505E-15</v>
      </c>
      <c r="M236" s="157">
        <f>IF(COUNT($H236:L236)&gt;=Input!$Y$7,0, M10+M42+M74)</f>
        <v>0</v>
      </c>
      <c r="N236" s="157">
        <f>IF(COUNT($H236:M236)&gt;=Input!$Y$7,0, N10+N42+N74)</f>
        <v>0</v>
      </c>
      <c r="O236" s="157">
        <f>IF(COUNT($H236:N236)&gt;=Input!$Y$7,0, O10+O42+O74)</f>
        <v>0</v>
      </c>
      <c r="P236" s="157">
        <f>IF(COUNT($H236:O236)&gt;=Input!$Y$7,0, P10+P42+P74)</f>
        <v>0</v>
      </c>
      <c r="Q236" s="157">
        <f>IF(COUNT($H236:P236)&gt;=Input!$Y$7,0, Q10+Q42+Q74)</f>
        <v>0</v>
      </c>
      <c r="R236" s="104"/>
      <c r="S236" s="104"/>
      <c r="T236" s="104"/>
      <c r="U236" s="104"/>
      <c r="V236" s="104"/>
      <c r="W236" s="104"/>
      <c r="X236" s="104"/>
      <c r="Y236" s="104"/>
      <c r="Z236" s="104"/>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31"/>
      <c r="BK236" s="224"/>
      <c r="BL236" s="224"/>
    </row>
    <row r="237" spans="1:64" hidden="1" outlineLevel="1">
      <c r="A237" s="9"/>
      <c r="B237" s="12"/>
      <c r="C237" s="44"/>
      <c r="D237" s="271" t="str">
        <f>Asset4</f>
        <v>Public lighting</v>
      </c>
      <c r="E237" s="12"/>
      <c r="F237" s="12"/>
      <c r="G237" s="204">
        <f t="shared" si="11"/>
        <v>0.38897486718899543</v>
      </c>
      <c r="H237" s="157">
        <f t="shared" si="12"/>
        <v>0</v>
      </c>
      <c r="I237" s="157">
        <f t="shared" si="12"/>
        <v>0</v>
      </c>
      <c r="J237" s="157">
        <f t="shared" si="12"/>
        <v>0</v>
      </c>
      <c r="K237" s="157">
        <f t="shared" si="12"/>
        <v>0</v>
      </c>
      <c r="L237" s="157">
        <f t="shared" si="12"/>
        <v>0</v>
      </c>
      <c r="M237" s="157">
        <f>IF(COUNT($H237:L237)&gt;=Input!$Y$7,0, M11+M43+M75)</f>
        <v>0</v>
      </c>
      <c r="N237" s="157">
        <f>IF(COUNT($H237:M237)&gt;=Input!$Y$7,0, N11+N43+N75)</f>
        <v>0</v>
      </c>
      <c r="O237" s="157">
        <f>IF(COUNT($H237:N237)&gt;=Input!$Y$7,0, O11+O43+O75)</f>
        <v>0</v>
      </c>
      <c r="P237" s="157">
        <f>IF(COUNT($H237:O237)&gt;=Input!$Y$7,0, P11+P43+P75)</f>
        <v>0</v>
      </c>
      <c r="Q237" s="157">
        <f>IF(COUNT($H237:P237)&gt;=Input!$Y$7,0, Q11+Q43+Q75)</f>
        <v>0</v>
      </c>
      <c r="R237" s="104"/>
      <c r="S237" s="104"/>
      <c r="T237" s="104"/>
      <c r="U237" s="104"/>
      <c r="V237" s="104"/>
      <c r="W237" s="104"/>
      <c r="X237" s="104"/>
      <c r="Y237" s="104"/>
      <c r="Z237" s="104"/>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31"/>
      <c r="BK237" s="224"/>
      <c r="BL237" s="224"/>
    </row>
    <row r="238" spans="1:64" hidden="1" outlineLevel="1">
      <c r="A238" s="9"/>
      <c r="B238" s="12"/>
      <c r="C238" s="44"/>
      <c r="D238" s="271" t="str">
        <f>Asset5</f>
        <v>SCADA/Network control</v>
      </c>
      <c r="E238" s="12"/>
      <c r="F238" s="12"/>
      <c r="G238" s="204">
        <f t="shared" si="11"/>
        <v>1.6653345369377348E-15</v>
      </c>
      <c r="H238" s="157">
        <f t="shared" si="12"/>
        <v>1.3307440827500225</v>
      </c>
      <c r="I238" s="157">
        <f t="shared" si="12"/>
        <v>7.3256044531991531</v>
      </c>
      <c r="J238" s="157">
        <f t="shared" si="12"/>
        <v>7.9328362090936526</v>
      </c>
      <c r="K238" s="157">
        <f t="shared" si="12"/>
        <v>6.8785496287485728</v>
      </c>
      <c r="L238" s="157">
        <f t="shared" si="12"/>
        <v>7.8869050481230296</v>
      </c>
      <c r="M238" s="157">
        <f>IF(COUNT($H238:L238)&gt;=Input!$Y$7,0, M12+M44+M76)</f>
        <v>0</v>
      </c>
      <c r="N238" s="157">
        <f>IF(COUNT($H238:M238)&gt;=Input!$Y$7,0, N12+N44+N76)</f>
        <v>0</v>
      </c>
      <c r="O238" s="157">
        <f>IF(COUNT($H238:N238)&gt;=Input!$Y$7,0, O12+O44+O76)</f>
        <v>0</v>
      </c>
      <c r="P238" s="157">
        <f>IF(COUNT($H238:O238)&gt;=Input!$Y$7,0, P12+P44+P76)</f>
        <v>0</v>
      </c>
      <c r="Q238" s="157">
        <f>IF(COUNT($H238:P238)&gt;=Input!$Y$7,0, Q12+Q44+Q76)</f>
        <v>0</v>
      </c>
      <c r="R238" s="104"/>
      <c r="S238" s="104"/>
      <c r="T238" s="104"/>
      <c r="U238" s="104"/>
      <c r="V238" s="104"/>
      <c r="W238" s="104"/>
      <c r="X238" s="104"/>
      <c r="Y238" s="104"/>
      <c r="Z238" s="104"/>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31"/>
      <c r="BK238" s="224"/>
      <c r="BL238" s="224"/>
    </row>
    <row r="239" spans="1:64" hidden="1" outlineLevel="1">
      <c r="A239" s="9"/>
      <c r="B239" s="12"/>
      <c r="C239" s="44"/>
      <c r="D239" s="271" t="str">
        <f>Asset6</f>
        <v>Non-network general assets - IT</v>
      </c>
      <c r="E239" s="12"/>
      <c r="F239" s="12"/>
      <c r="G239" s="204">
        <f t="shared" si="11"/>
        <v>89.319417816228679</v>
      </c>
      <c r="H239" s="157">
        <f t="shared" si="12"/>
        <v>114.15739811789442</v>
      </c>
      <c r="I239" s="157">
        <f t="shared" si="12"/>
        <v>128.48028010642349</v>
      </c>
      <c r="J239" s="157">
        <f t="shared" si="12"/>
        <v>135.38391359049615</v>
      </c>
      <c r="K239" s="157">
        <f t="shared" si="12"/>
        <v>128.44507791683236</v>
      </c>
      <c r="L239" s="157">
        <f t="shared" si="12"/>
        <v>112.75206846112252</v>
      </c>
      <c r="M239" s="157">
        <f>IF(COUNT($H239:L239)&gt;=Input!$Y$7,0, M13+M45+M77)</f>
        <v>0</v>
      </c>
      <c r="N239" s="157">
        <f>IF(COUNT($H239:M239)&gt;=Input!$Y$7,0, N13+N45+N77)</f>
        <v>0</v>
      </c>
      <c r="O239" s="157">
        <f>IF(COUNT($H239:N239)&gt;=Input!$Y$7,0, O13+O45+O77)</f>
        <v>0</v>
      </c>
      <c r="P239" s="157">
        <f>IF(COUNT($H239:O239)&gt;=Input!$Y$7,0, P13+P45+P77)</f>
        <v>0</v>
      </c>
      <c r="Q239" s="157">
        <f>IF(COUNT($H239:P239)&gt;=Input!$Y$7,0, Q13+Q45+Q77)</f>
        <v>0</v>
      </c>
      <c r="R239" s="104"/>
      <c r="S239" s="104"/>
      <c r="T239" s="104"/>
      <c r="U239" s="104"/>
      <c r="V239" s="104"/>
      <c r="W239" s="104"/>
      <c r="X239" s="104"/>
      <c r="Y239" s="104"/>
      <c r="Z239" s="104"/>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31"/>
      <c r="BK239" s="224"/>
      <c r="BL239" s="224"/>
    </row>
    <row r="240" spans="1:64" hidden="1" outlineLevel="1">
      <c r="A240" s="9"/>
      <c r="B240" s="12"/>
      <c r="C240" s="44"/>
      <c r="D240" s="271" t="str">
        <f>Asset7</f>
        <v>Non-network general assets - Other</v>
      </c>
      <c r="E240" s="12"/>
      <c r="F240" s="12"/>
      <c r="G240" s="204">
        <f t="shared" si="11"/>
        <v>34.275644401485252</v>
      </c>
      <c r="H240" s="157">
        <f t="shared" si="12"/>
        <v>5.1531960739867984</v>
      </c>
      <c r="I240" s="157">
        <f t="shared" si="12"/>
        <v>8.1542335939644737</v>
      </c>
      <c r="J240" s="157">
        <f t="shared" si="12"/>
        <v>12.17382864237941</v>
      </c>
      <c r="K240" s="157">
        <f t="shared" si="12"/>
        <v>13.956729909764542</v>
      </c>
      <c r="L240" s="157">
        <f t="shared" si="12"/>
        <v>12.695230467373385</v>
      </c>
      <c r="M240" s="157">
        <f>IF(COUNT($H240:L240)&gt;=Input!$Y$7,0, M14+M46+M78)</f>
        <v>0</v>
      </c>
      <c r="N240" s="157">
        <f>IF(COUNT($H240:M240)&gt;=Input!$Y$7,0, N14+N46+N78)</f>
        <v>0</v>
      </c>
      <c r="O240" s="157">
        <f>IF(COUNT($H240:N240)&gt;=Input!$Y$7,0, O14+O46+O78)</f>
        <v>0</v>
      </c>
      <c r="P240" s="157">
        <f>IF(COUNT($H240:O240)&gt;=Input!$Y$7,0, P14+P46+P78)</f>
        <v>0</v>
      </c>
      <c r="Q240" s="157">
        <f>IF(COUNT($H240:P240)&gt;=Input!$Y$7,0, Q14+Q46+Q78)</f>
        <v>0</v>
      </c>
      <c r="R240" s="104"/>
      <c r="S240" s="104"/>
      <c r="T240" s="104"/>
      <c r="U240" s="104"/>
      <c r="V240" s="104"/>
      <c r="W240" s="104"/>
      <c r="X240" s="104"/>
      <c r="Y240" s="104"/>
      <c r="Z240" s="104"/>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31"/>
      <c r="BK240" s="224"/>
      <c r="BL240" s="224"/>
    </row>
    <row r="241" spans="1:64" hidden="1" outlineLevel="1">
      <c r="A241" s="9"/>
      <c r="B241" s="12"/>
      <c r="C241" s="44"/>
      <c r="D241" s="271" t="str">
        <f>Asset8</f>
        <v>Equity Raising Costs</v>
      </c>
      <c r="E241" s="12"/>
      <c r="F241" s="12"/>
      <c r="G241" s="204">
        <f t="shared" si="11"/>
        <v>0</v>
      </c>
      <c r="H241" s="157">
        <f t="shared" si="12"/>
        <v>1.5553441667922454</v>
      </c>
      <c r="I241" s="157">
        <f t="shared" si="12"/>
        <v>1.5754463655724007</v>
      </c>
      <c r="J241" s="157">
        <f t="shared" si="12"/>
        <v>1.5716796789597247</v>
      </c>
      <c r="K241" s="157">
        <f t="shared" si="12"/>
        <v>1.5695427875524555</v>
      </c>
      <c r="L241" s="157">
        <f t="shared" si="12"/>
        <v>1.5688274079042255</v>
      </c>
      <c r="M241" s="157">
        <f>IF(COUNT($H241:L241)&gt;=Input!$Y$7,0, M15+M47+M79)</f>
        <v>0</v>
      </c>
      <c r="N241" s="157">
        <f>IF(COUNT($H241:M241)&gt;=Input!$Y$7,0, N15+N47+N79)</f>
        <v>0</v>
      </c>
      <c r="O241" s="157">
        <f>IF(COUNT($H241:N241)&gt;=Input!$Y$7,0, O15+O47+O79)</f>
        <v>0</v>
      </c>
      <c r="P241" s="157">
        <f>IF(COUNT($H241:O241)&gt;=Input!$Y$7,0, P15+P47+P79)</f>
        <v>0</v>
      </c>
      <c r="Q241" s="157">
        <f>IF(COUNT($H241:P241)&gt;=Input!$Y$7,0, Q15+Q47+Q79)</f>
        <v>0</v>
      </c>
      <c r="R241" s="104"/>
      <c r="S241" s="104"/>
      <c r="T241" s="104"/>
      <c r="U241" s="104"/>
      <c r="V241" s="104"/>
      <c r="W241" s="104"/>
      <c r="X241" s="104"/>
      <c r="Y241" s="104"/>
      <c r="Z241" s="104"/>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31"/>
      <c r="BK241" s="224"/>
      <c r="BL241" s="224"/>
    </row>
    <row r="242" spans="1:64" hidden="1" outlineLevel="1">
      <c r="A242" s="9"/>
      <c r="B242" s="12"/>
      <c r="C242" s="44"/>
      <c r="D242" s="271">
        <f>Asset9</f>
        <v>0</v>
      </c>
      <c r="E242" s="12"/>
      <c r="F242" s="12"/>
      <c r="G242" s="204">
        <f t="shared" si="11"/>
        <v>0</v>
      </c>
      <c r="H242" s="157">
        <f t="shared" si="12"/>
        <v>0</v>
      </c>
      <c r="I242" s="157">
        <f t="shared" si="12"/>
        <v>0</v>
      </c>
      <c r="J242" s="157">
        <f t="shared" si="12"/>
        <v>0</v>
      </c>
      <c r="K242" s="157">
        <f t="shared" si="12"/>
        <v>0</v>
      </c>
      <c r="L242" s="157">
        <f t="shared" si="12"/>
        <v>0</v>
      </c>
      <c r="M242" s="157">
        <f>IF(COUNT($H242:L242)&gt;=Input!$Y$7,0, M16+M48+M80)</f>
        <v>0</v>
      </c>
      <c r="N242" s="157">
        <f>IF(COUNT($H242:M242)&gt;=Input!$Y$7,0, N16+N48+N80)</f>
        <v>0</v>
      </c>
      <c r="O242" s="157">
        <f>IF(COUNT($H242:N242)&gt;=Input!$Y$7,0, O16+O48+O80)</f>
        <v>0</v>
      </c>
      <c r="P242" s="157">
        <f>IF(COUNT($H242:O242)&gt;=Input!$Y$7,0, P16+P48+P80)</f>
        <v>0</v>
      </c>
      <c r="Q242" s="157">
        <f>IF(COUNT($H242:P242)&gt;=Input!$Y$7,0, Q16+Q48+Q80)</f>
        <v>0</v>
      </c>
      <c r="R242" s="104"/>
      <c r="S242" s="104"/>
      <c r="T242" s="104"/>
      <c r="U242" s="104"/>
      <c r="V242" s="104"/>
      <c r="W242" s="104"/>
      <c r="X242" s="104"/>
      <c r="Y242" s="104"/>
      <c r="Z242" s="104"/>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31"/>
      <c r="BK242" s="224"/>
      <c r="BL242" s="224"/>
    </row>
    <row r="243" spans="1:64" hidden="1" outlineLevel="1">
      <c r="A243" s="9"/>
      <c r="B243" s="12"/>
      <c r="C243" s="44"/>
      <c r="D243" s="271">
        <f>Asset10</f>
        <v>0</v>
      </c>
      <c r="E243" s="12"/>
      <c r="F243" s="12"/>
      <c r="G243" s="204">
        <f t="shared" si="11"/>
        <v>0</v>
      </c>
      <c r="H243" s="157">
        <f t="shared" si="12"/>
        <v>0</v>
      </c>
      <c r="I243" s="157">
        <f t="shared" si="12"/>
        <v>0</v>
      </c>
      <c r="J243" s="157">
        <f t="shared" si="12"/>
        <v>0</v>
      </c>
      <c r="K243" s="157">
        <f t="shared" si="12"/>
        <v>0</v>
      </c>
      <c r="L243" s="157">
        <f t="shared" si="12"/>
        <v>0</v>
      </c>
      <c r="M243" s="157">
        <f>IF(COUNT($H243:L243)&gt;=Input!$Y$7,0, M17+M49+M81)</f>
        <v>0</v>
      </c>
      <c r="N243" s="157">
        <f>IF(COUNT($H243:M243)&gt;=Input!$Y$7,0, N17+N49+N81)</f>
        <v>0</v>
      </c>
      <c r="O243" s="157">
        <f>IF(COUNT($H243:N243)&gt;=Input!$Y$7,0, O17+O49+O81)</f>
        <v>0</v>
      </c>
      <c r="P243" s="157">
        <f>IF(COUNT($H243:O243)&gt;=Input!$Y$7,0, P17+P49+P81)</f>
        <v>0</v>
      </c>
      <c r="Q243" s="157">
        <f>IF(COUNT($H243:P243)&gt;=Input!$Y$7,0, Q17+Q49+Q81)</f>
        <v>0</v>
      </c>
      <c r="R243" s="104"/>
      <c r="S243" s="104"/>
      <c r="T243" s="104"/>
      <c r="U243" s="104"/>
      <c r="V243" s="104"/>
      <c r="W243" s="104"/>
      <c r="X243" s="104"/>
      <c r="Y243" s="104"/>
      <c r="Z243" s="104"/>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31"/>
      <c r="BK243" s="224"/>
      <c r="BL243" s="224"/>
    </row>
    <row r="244" spans="1:64" hidden="1" outlineLevel="1">
      <c r="A244" s="9"/>
      <c r="B244" s="12"/>
      <c r="C244" s="44"/>
      <c r="D244" s="271">
        <f>Asset11</f>
        <v>0</v>
      </c>
      <c r="E244" s="12"/>
      <c r="F244" s="12"/>
      <c r="G244" s="204">
        <f t="shared" si="11"/>
        <v>0</v>
      </c>
      <c r="H244" s="157">
        <f t="shared" ref="H244:L253" si="13">H18+H50+H82</f>
        <v>0</v>
      </c>
      <c r="I244" s="157">
        <f t="shared" si="13"/>
        <v>0</v>
      </c>
      <c r="J244" s="157">
        <f t="shared" si="13"/>
        <v>0</v>
      </c>
      <c r="K244" s="157">
        <f t="shared" si="13"/>
        <v>0</v>
      </c>
      <c r="L244" s="157">
        <f t="shared" si="13"/>
        <v>0</v>
      </c>
      <c r="M244" s="157">
        <f>IF(COUNT($H244:L244)&gt;=Input!$Y$7,0, M18+M50+M82)</f>
        <v>0</v>
      </c>
      <c r="N244" s="157">
        <f>IF(COUNT($H244:M244)&gt;=Input!$Y$7,0, N18+N50+N82)</f>
        <v>0</v>
      </c>
      <c r="O244" s="157">
        <f>IF(COUNT($H244:N244)&gt;=Input!$Y$7,0, O18+O50+O82)</f>
        <v>0</v>
      </c>
      <c r="P244" s="157">
        <f>IF(COUNT($H244:O244)&gt;=Input!$Y$7,0, P18+P50+P82)</f>
        <v>0</v>
      </c>
      <c r="Q244" s="157">
        <f>IF(COUNT($H244:P244)&gt;=Input!$Y$7,0, Q18+Q50+Q82)</f>
        <v>0</v>
      </c>
      <c r="R244" s="104"/>
      <c r="S244" s="104"/>
      <c r="T244" s="104"/>
      <c r="U244" s="104"/>
      <c r="V244" s="104"/>
      <c r="W244" s="104"/>
      <c r="X244" s="104"/>
      <c r="Y244" s="104"/>
      <c r="Z244" s="104"/>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31"/>
      <c r="BK244" s="224"/>
      <c r="BL244" s="224"/>
    </row>
    <row r="245" spans="1:64" hidden="1" outlineLevel="1">
      <c r="A245" s="9"/>
      <c r="B245" s="12"/>
      <c r="C245" s="44"/>
      <c r="D245" s="271">
        <f>Asset12</f>
        <v>0</v>
      </c>
      <c r="E245" s="12"/>
      <c r="F245" s="12"/>
      <c r="G245" s="204">
        <f t="shared" si="11"/>
        <v>0</v>
      </c>
      <c r="H245" s="157">
        <f t="shared" si="13"/>
        <v>0</v>
      </c>
      <c r="I245" s="157">
        <f t="shared" si="13"/>
        <v>0</v>
      </c>
      <c r="J245" s="157">
        <f t="shared" si="13"/>
        <v>0</v>
      </c>
      <c r="K245" s="157">
        <f t="shared" si="13"/>
        <v>0</v>
      </c>
      <c r="L245" s="157">
        <f t="shared" si="13"/>
        <v>0</v>
      </c>
      <c r="M245" s="157">
        <f>IF(COUNT($H245:L245)&gt;=Input!$Y$7,0, M19+M51+M83)</f>
        <v>0</v>
      </c>
      <c r="N245" s="157">
        <f>IF(COUNT($H245:M245)&gt;=Input!$Y$7,0, N19+N51+N83)</f>
        <v>0</v>
      </c>
      <c r="O245" s="157">
        <f>IF(COUNT($H245:N245)&gt;=Input!$Y$7,0, O19+O51+O83)</f>
        <v>0</v>
      </c>
      <c r="P245" s="157">
        <f>IF(COUNT($H245:O245)&gt;=Input!$Y$7,0, P19+P51+P83)</f>
        <v>0</v>
      </c>
      <c r="Q245" s="157">
        <f>IF(COUNT($H245:P245)&gt;=Input!$Y$7,0, Q19+Q51+Q83)</f>
        <v>0</v>
      </c>
      <c r="R245" s="104"/>
      <c r="S245" s="104"/>
      <c r="T245" s="104"/>
      <c r="U245" s="104"/>
      <c r="V245" s="104"/>
      <c r="W245" s="104"/>
      <c r="X245" s="104"/>
      <c r="Y245" s="104"/>
      <c r="Z245" s="104"/>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31"/>
      <c r="BK245" s="224"/>
      <c r="BL245" s="224"/>
    </row>
    <row r="246" spans="1:64" hidden="1" outlineLevel="1">
      <c r="A246" s="9"/>
      <c r="B246" s="12"/>
      <c r="C246" s="44"/>
      <c r="D246" s="271">
        <f>Asset13</f>
        <v>0</v>
      </c>
      <c r="E246" s="12"/>
      <c r="F246" s="12"/>
      <c r="G246" s="204">
        <f t="shared" si="11"/>
        <v>0</v>
      </c>
      <c r="H246" s="157">
        <f t="shared" si="13"/>
        <v>0</v>
      </c>
      <c r="I246" s="157">
        <f t="shared" si="13"/>
        <v>0</v>
      </c>
      <c r="J246" s="157">
        <f t="shared" si="13"/>
        <v>0</v>
      </c>
      <c r="K246" s="157">
        <f t="shared" si="13"/>
        <v>0</v>
      </c>
      <c r="L246" s="157">
        <f t="shared" si="13"/>
        <v>0</v>
      </c>
      <c r="M246" s="157">
        <f>IF(COUNT($H246:L246)&gt;=Input!$Y$7,0, M20+M52+M84)</f>
        <v>0</v>
      </c>
      <c r="N246" s="157">
        <f>IF(COUNT($H246:M246)&gt;=Input!$Y$7,0, N20+N52+N84)</f>
        <v>0</v>
      </c>
      <c r="O246" s="157">
        <f>IF(COUNT($H246:N246)&gt;=Input!$Y$7,0, O20+O52+O84)</f>
        <v>0</v>
      </c>
      <c r="P246" s="157">
        <f>IF(COUNT($H246:O246)&gt;=Input!$Y$7,0, P20+P52+P84)</f>
        <v>0</v>
      </c>
      <c r="Q246" s="157">
        <f>IF(COUNT($H246:P246)&gt;=Input!$Y$7,0, Q20+Q52+Q84)</f>
        <v>0</v>
      </c>
      <c r="R246" s="104"/>
      <c r="S246" s="104"/>
      <c r="T246" s="104"/>
      <c r="U246" s="104"/>
      <c r="V246" s="104"/>
      <c r="W246" s="104"/>
      <c r="X246" s="104"/>
      <c r="Y246" s="104"/>
      <c r="Z246" s="104"/>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31"/>
      <c r="BK246" s="224"/>
      <c r="BL246" s="224"/>
    </row>
    <row r="247" spans="1:64" hidden="1" outlineLevel="1">
      <c r="A247" s="9"/>
      <c r="B247" s="12"/>
      <c r="C247" s="44"/>
      <c r="D247" s="271">
        <f>Asset14</f>
        <v>0</v>
      </c>
      <c r="E247" s="12"/>
      <c r="F247" s="12"/>
      <c r="G247" s="204">
        <f t="shared" si="11"/>
        <v>0</v>
      </c>
      <c r="H247" s="157">
        <f t="shared" si="13"/>
        <v>0</v>
      </c>
      <c r="I247" s="157">
        <f t="shared" si="13"/>
        <v>0</v>
      </c>
      <c r="J247" s="157">
        <f t="shared" si="13"/>
        <v>0</v>
      </c>
      <c r="K247" s="157">
        <f t="shared" si="13"/>
        <v>0</v>
      </c>
      <c r="L247" s="157">
        <f t="shared" si="13"/>
        <v>0</v>
      </c>
      <c r="M247" s="157">
        <f>IF(COUNT($H247:L247)&gt;=Input!$Y$7,0, M21+M53+M85)</f>
        <v>0</v>
      </c>
      <c r="N247" s="157">
        <f>IF(COUNT($H247:M247)&gt;=Input!$Y$7,0, N21+N53+N85)</f>
        <v>0</v>
      </c>
      <c r="O247" s="157">
        <f>IF(COUNT($H247:N247)&gt;=Input!$Y$7,0, O21+O53+O85)</f>
        <v>0</v>
      </c>
      <c r="P247" s="157">
        <f>IF(COUNT($H247:O247)&gt;=Input!$Y$7,0, P21+P53+P85)</f>
        <v>0</v>
      </c>
      <c r="Q247" s="157">
        <f>IF(COUNT($H247:P247)&gt;=Input!$Y$7,0, Q21+Q53+Q85)</f>
        <v>0</v>
      </c>
      <c r="R247" s="104"/>
      <c r="S247" s="104"/>
      <c r="T247" s="104"/>
      <c r="U247" s="104"/>
      <c r="V247" s="104"/>
      <c r="W247" s="104"/>
      <c r="X247" s="104"/>
      <c r="Y247" s="104"/>
      <c r="Z247" s="104"/>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31"/>
      <c r="BK247" s="224"/>
      <c r="BL247" s="224"/>
    </row>
    <row r="248" spans="1:64" hidden="1" outlineLevel="1">
      <c r="A248" s="9"/>
      <c r="B248" s="12"/>
      <c r="C248" s="44"/>
      <c r="D248" s="271">
        <f>Asset15</f>
        <v>0</v>
      </c>
      <c r="E248" s="12"/>
      <c r="F248" s="12"/>
      <c r="G248" s="204">
        <f t="shared" si="11"/>
        <v>0</v>
      </c>
      <c r="H248" s="157">
        <f t="shared" si="13"/>
        <v>0</v>
      </c>
      <c r="I248" s="157">
        <f t="shared" si="13"/>
        <v>0</v>
      </c>
      <c r="J248" s="157">
        <f t="shared" si="13"/>
        <v>0</v>
      </c>
      <c r="K248" s="157">
        <f t="shared" si="13"/>
        <v>0</v>
      </c>
      <c r="L248" s="157">
        <f t="shared" si="13"/>
        <v>0</v>
      </c>
      <c r="M248" s="157">
        <f>IF(COUNT($H248:L248)&gt;=Input!$Y$7,0, M22+M54+M86)</f>
        <v>0</v>
      </c>
      <c r="N248" s="157">
        <f>IF(COUNT($H248:M248)&gt;=Input!$Y$7,0, N22+N54+N86)</f>
        <v>0</v>
      </c>
      <c r="O248" s="157">
        <f>IF(COUNT($H248:N248)&gt;=Input!$Y$7,0, O22+O54+O86)</f>
        <v>0</v>
      </c>
      <c r="P248" s="157">
        <f>IF(COUNT($H248:O248)&gt;=Input!$Y$7,0, P22+P54+P86)</f>
        <v>0</v>
      </c>
      <c r="Q248" s="157">
        <f>IF(COUNT($H248:P248)&gt;=Input!$Y$7,0, Q22+Q54+Q86)</f>
        <v>0</v>
      </c>
      <c r="R248" s="104"/>
      <c r="S248" s="104"/>
      <c r="T248" s="104"/>
      <c r="U248" s="104"/>
      <c r="V248" s="104"/>
      <c r="W248" s="104"/>
      <c r="X248" s="104"/>
      <c r="Y248" s="104"/>
      <c r="Z248" s="104"/>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24"/>
      <c r="BL248" s="224"/>
    </row>
    <row r="249" spans="1:64" hidden="1" outlineLevel="1">
      <c r="A249" s="9"/>
      <c r="B249" s="12"/>
      <c r="C249" s="44"/>
      <c r="D249" s="271">
        <f>Asset16</f>
        <v>0</v>
      </c>
      <c r="E249" s="12"/>
      <c r="F249" s="12"/>
      <c r="G249" s="204">
        <f t="shared" si="11"/>
        <v>0</v>
      </c>
      <c r="H249" s="157">
        <f t="shared" si="13"/>
        <v>0</v>
      </c>
      <c r="I249" s="157">
        <f t="shared" si="13"/>
        <v>0</v>
      </c>
      <c r="J249" s="157">
        <f t="shared" si="13"/>
        <v>0</v>
      </c>
      <c r="K249" s="157">
        <f t="shared" si="13"/>
        <v>0</v>
      </c>
      <c r="L249" s="157">
        <f t="shared" si="13"/>
        <v>0</v>
      </c>
      <c r="M249" s="157">
        <f>IF(COUNT($H249:L249)&gt;=Input!$Y$7,0, M23+M55+M87)</f>
        <v>0</v>
      </c>
      <c r="N249" s="157">
        <f>IF(COUNT($H249:M249)&gt;=Input!$Y$7,0, N23+N55+N87)</f>
        <v>0</v>
      </c>
      <c r="O249" s="157">
        <f>IF(COUNT($H249:N249)&gt;=Input!$Y$7,0, O23+O55+O87)</f>
        <v>0</v>
      </c>
      <c r="P249" s="157">
        <f>IF(COUNT($H249:O249)&gt;=Input!$Y$7,0, P23+P55+P87)</f>
        <v>0</v>
      </c>
      <c r="Q249" s="157">
        <f>IF(COUNT($H249:P249)&gt;=Input!$Y$7,0, Q23+Q55+Q87)</f>
        <v>0</v>
      </c>
      <c r="R249" s="104"/>
      <c r="S249" s="104"/>
      <c r="T249" s="104"/>
      <c r="U249" s="104"/>
      <c r="V249" s="104"/>
      <c r="W249" s="104"/>
      <c r="X249" s="104"/>
      <c r="Y249" s="104"/>
      <c r="Z249" s="104"/>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24"/>
      <c r="BL249" s="224"/>
    </row>
    <row r="250" spans="1:64" hidden="1" outlineLevel="1">
      <c r="A250" s="9"/>
      <c r="B250" s="12"/>
      <c r="C250" s="44"/>
      <c r="D250" s="271">
        <f>Asset17</f>
        <v>0</v>
      </c>
      <c r="E250" s="12"/>
      <c r="F250" s="12"/>
      <c r="G250" s="204">
        <f t="shared" si="11"/>
        <v>0</v>
      </c>
      <c r="H250" s="157">
        <f t="shared" si="13"/>
        <v>0</v>
      </c>
      <c r="I250" s="157">
        <f t="shared" si="13"/>
        <v>0</v>
      </c>
      <c r="J250" s="157">
        <f t="shared" si="13"/>
        <v>0</v>
      </c>
      <c r="K250" s="157">
        <f t="shared" si="13"/>
        <v>0</v>
      </c>
      <c r="L250" s="157">
        <f t="shared" si="13"/>
        <v>0</v>
      </c>
      <c r="M250" s="157">
        <f>IF(COUNT($H250:L250)&gt;=Input!$Y$7,0, M24+M56+M88)</f>
        <v>0</v>
      </c>
      <c r="N250" s="157">
        <f>IF(COUNT($H250:M250)&gt;=Input!$Y$7,0, N24+N56+N88)</f>
        <v>0</v>
      </c>
      <c r="O250" s="157">
        <f>IF(COUNT($H250:N250)&gt;=Input!$Y$7,0, O24+O56+O88)</f>
        <v>0</v>
      </c>
      <c r="P250" s="157">
        <f>IF(COUNT($H250:O250)&gt;=Input!$Y$7,0, P24+P56+P88)</f>
        <v>0</v>
      </c>
      <c r="Q250" s="157">
        <f>IF(COUNT($H250:P250)&gt;=Input!$Y$7,0, Q24+Q56+Q88)</f>
        <v>0</v>
      </c>
      <c r="R250" s="104"/>
      <c r="S250" s="104"/>
      <c r="T250" s="104"/>
      <c r="U250" s="104"/>
      <c r="V250" s="104"/>
      <c r="W250" s="104"/>
      <c r="X250" s="104"/>
      <c r="Y250" s="104"/>
      <c r="Z250" s="104"/>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31"/>
      <c r="BK250" s="224"/>
      <c r="BL250" s="224"/>
    </row>
    <row r="251" spans="1:64" hidden="1" outlineLevel="1">
      <c r="A251" s="9"/>
      <c r="B251" s="12"/>
      <c r="C251" s="44"/>
      <c r="D251" s="271">
        <f>Asset18</f>
        <v>0</v>
      </c>
      <c r="E251" s="12"/>
      <c r="F251" s="12"/>
      <c r="G251" s="204">
        <f t="shared" si="11"/>
        <v>0</v>
      </c>
      <c r="H251" s="157">
        <f t="shared" si="13"/>
        <v>0</v>
      </c>
      <c r="I251" s="157">
        <f t="shared" si="13"/>
        <v>0</v>
      </c>
      <c r="J251" s="157">
        <f t="shared" si="13"/>
        <v>0</v>
      </c>
      <c r="K251" s="157">
        <f t="shared" si="13"/>
        <v>0</v>
      </c>
      <c r="L251" s="157">
        <f t="shared" si="13"/>
        <v>0</v>
      </c>
      <c r="M251" s="157">
        <f>IF(COUNT($H251:L251)&gt;=Input!$Y$7,0, M25+M57+M89)</f>
        <v>0</v>
      </c>
      <c r="N251" s="157">
        <f>IF(COUNT($H251:M251)&gt;=Input!$Y$7,0, N25+N57+N89)</f>
        <v>0</v>
      </c>
      <c r="O251" s="157">
        <f>IF(COUNT($H251:N251)&gt;=Input!$Y$7,0, O25+O57+O89)</f>
        <v>0</v>
      </c>
      <c r="P251" s="157">
        <f>IF(COUNT($H251:O251)&gt;=Input!$Y$7,0, P25+P57+P89)</f>
        <v>0</v>
      </c>
      <c r="Q251" s="157">
        <f>IF(COUNT($H251:P251)&gt;=Input!$Y$7,0, Q25+Q57+Q89)</f>
        <v>0</v>
      </c>
      <c r="R251" s="104"/>
      <c r="S251" s="104"/>
      <c r="T251" s="104"/>
      <c r="U251" s="104"/>
      <c r="V251" s="104"/>
      <c r="W251" s="104"/>
      <c r="X251" s="104"/>
      <c r="Y251" s="104"/>
      <c r="Z251" s="104"/>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31"/>
      <c r="BK251" s="224"/>
      <c r="BL251" s="224"/>
    </row>
    <row r="252" spans="1:64" hidden="1" outlineLevel="1">
      <c r="A252" s="9"/>
      <c r="B252" s="12"/>
      <c r="C252" s="44"/>
      <c r="D252" s="271">
        <f>Asset19</f>
        <v>0</v>
      </c>
      <c r="E252" s="12"/>
      <c r="F252" s="12"/>
      <c r="G252" s="204">
        <f t="shared" si="11"/>
        <v>0</v>
      </c>
      <c r="H252" s="157">
        <f t="shared" si="13"/>
        <v>0</v>
      </c>
      <c r="I252" s="157">
        <f t="shared" si="13"/>
        <v>0</v>
      </c>
      <c r="J252" s="157">
        <f t="shared" si="13"/>
        <v>0</v>
      </c>
      <c r="K252" s="157">
        <f t="shared" si="13"/>
        <v>0</v>
      </c>
      <c r="L252" s="157">
        <f t="shared" si="13"/>
        <v>0</v>
      </c>
      <c r="M252" s="157">
        <f>IF(COUNT($H252:L252)&gt;=Input!$Y$7,0, M26+M58+M90)</f>
        <v>0</v>
      </c>
      <c r="N252" s="157">
        <f>IF(COUNT($H252:M252)&gt;=Input!$Y$7,0, N26+N58+N90)</f>
        <v>0</v>
      </c>
      <c r="O252" s="157">
        <f>IF(COUNT($H252:N252)&gt;=Input!$Y$7,0, O26+O58+O90)</f>
        <v>0</v>
      </c>
      <c r="P252" s="157">
        <f>IF(COUNT($H252:O252)&gt;=Input!$Y$7,0, P26+P58+P90)</f>
        <v>0</v>
      </c>
      <c r="Q252" s="157">
        <f>IF(COUNT($H252:P252)&gt;=Input!$Y$7,0, Q26+Q58+Q90)</f>
        <v>0</v>
      </c>
      <c r="R252" s="104"/>
      <c r="S252" s="104"/>
      <c r="T252" s="104"/>
      <c r="U252" s="104"/>
      <c r="V252" s="104"/>
      <c r="W252" s="104"/>
      <c r="X252" s="104"/>
      <c r="Y252" s="104"/>
      <c r="Z252" s="104"/>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31"/>
      <c r="BK252" s="224"/>
      <c r="BL252" s="224"/>
    </row>
    <row r="253" spans="1:64" hidden="1" outlineLevel="1">
      <c r="A253" s="9"/>
      <c r="B253" s="12"/>
      <c r="C253" s="44"/>
      <c r="D253" s="271">
        <f>Asset20</f>
        <v>0</v>
      </c>
      <c r="E253" s="12"/>
      <c r="F253" s="12"/>
      <c r="G253" s="204">
        <f t="shared" si="11"/>
        <v>0</v>
      </c>
      <c r="H253" s="157">
        <f t="shared" si="13"/>
        <v>0</v>
      </c>
      <c r="I253" s="157">
        <f t="shared" si="13"/>
        <v>0</v>
      </c>
      <c r="J253" s="157">
        <f t="shared" si="13"/>
        <v>0</v>
      </c>
      <c r="K253" s="157">
        <f t="shared" si="13"/>
        <v>0</v>
      </c>
      <c r="L253" s="157">
        <f t="shared" si="13"/>
        <v>0</v>
      </c>
      <c r="M253" s="157">
        <f>IF(COUNT($H253:L253)&gt;=Input!$Y$7,0, M27+M59+M91)</f>
        <v>0</v>
      </c>
      <c r="N253" s="157">
        <f>IF(COUNT($H253:M253)&gt;=Input!$Y$7,0, N27+N59+N91)</f>
        <v>0</v>
      </c>
      <c r="O253" s="157">
        <f>IF(COUNT($H253:N253)&gt;=Input!$Y$7,0, O27+O59+O91)</f>
        <v>0</v>
      </c>
      <c r="P253" s="157">
        <f>IF(COUNT($H253:O253)&gt;=Input!$Y$7,0, P27+P59+P91)</f>
        <v>0</v>
      </c>
      <c r="Q253" s="157">
        <f>IF(COUNT($H253:P253)&gt;=Input!$Y$7,0, Q27+Q59+Q91)</f>
        <v>0</v>
      </c>
      <c r="R253" s="104"/>
      <c r="S253" s="104"/>
      <c r="T253" s="104"/>
      <c r="U253" s="104"/>
      <c r="V253" s="104"/>
      <c r="W253" s="104"/>
      <c r="X253" s="104"/>
      <c r="Y253" s="104"/>
      <c r="Z253" s="104"/>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24"/>
      <c r="BL253" s="224"/>
    </row>
    <row r="254" spans="1:64" hidden="1" outlineLevel="1">
      <c r="A254" s="9"/>
      <c r="B254" s="12"/>
      <c r="C254" s="44"/>
      <c r="D254" s="271">
        <f>Asset21</f>
        <v>0</v>
      </c>
      <c r="E254" s="12"/>
      <c r="F254" s="12"/>
      <c r="G254" s="204">
        <f t="shared" ref="G254:G263" si="14">G28+G60+G92+G124+G156+G188+G220</f>
        <v>0</v>
      </c>
      <c r="H254" s="157">
        <f t="shared" ref="H254:L263" si="15">H28+H60+H92</f>
        <v>0</v>
      </c>
      <c r="I254" s="157">
        <f t="shared" si="15"/>
        <v>0</v>
      </c>
      <c r="J254" s="157">
        <f t="shared" si="15"/>
        <v>0</v>
      </c>
      <c r="K254" s="157">
        <f t="shared" si="15"/>
        <v>0</v>
      </c>
      <c r="L254" s="157">
        <f t="shared" si="15"/>
        <v>0</v>
      </c>
      <c r="M254" s="157">
        <f>IF(COUNT($H254:L254)&gt;=Input!$Y$7,0, M28+M60+M92)</f>
        <v>0</v>
      </c>
      <c r="N254" s="157">
        <f>IF(COUNT($H254:M254)&gt;=Input!$Y$7,0, N28+N60+N92)</f>
        <v>0</v>
      </c>
      <c r="O254" s="157">
        <f>IF(COUNT($H254:N254)&gt;=Input!$Y$7,0, O28+O60+O92)</f>
        <v>0</v>
      </c>
      <c r="P254" s="157">
        <f>IF(COUNT($H254:O254)&gt;=Input!$Y$7,0, P28+P60+P92)</f>
        <v>0</v>
      </c>
      <c r="Q254" s="157">
        <f>IF(COUNT($H254:P254)&gt;=Input!$Y$7,0, Q28+Q60+Q92)</f>
        <v>0</v>
      </c>
      <c r="R254" s="104"/>
      <c r="S254" s="104"/>
      <c r="T254" s="104"/>
      <c r="U254" s="104"/>
      <c r="V254" s="104"/>
      <c r="W254" s="104"/>
      <c r="X254" s="104"/>
      <c r="Y254" s="104"/>
      <c r="Z254" s="104"/>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31"/>
      <c r="BK254" s="224"/>
      <c r="BL254" s="224"/>
    </row>
    <row r="255" spans="1:64" hidden="1" outlineLevel="1">
      <c r="A255" s="9"/>
      <c r="B255" s="12"/>
      <c r="C255" s="44"/>
      <c r="D255" s="271">
        <f>Asset22</f>
        <v>0</v>
      </c>
      <c r="E255" s="12"/>
      <c r="F255" s="12"/>
      <c r="G255" s="204">
        <f t="shared" si="14"/>
        <v>0</v>
      </c>
      <c r="H255" s="157">
        <f t="shared" si="15"/>
        <v>0</v>
      </c>
      <c r="I255" s="157">
        <f t="shared" si="15"/>
        <v>0</v>
      </c>
      <c r="J255" s="157">
        <f t="shared" si="15"/>
        <v>0</v>
      </c>
      <c r="K255" s="157">
        <f t="shared" si="15"/>
        <v>0</v>
      </c>
      <c r="L255" s="157">
        <f t="shared" si="15"/>
        <v>0</v>
      </c>
      <c r="M255" s="157">
        <f>IF(COUNT($H255:L255)&gt;=Input!$Y$7,0, M29+M61+M93)</f>
        <v>0</v>
      </c>
      <c r="N255" s="157">
        <f>IF(COUNT($H255:M255)&gt;=Input!$Y$7,0, N29+N61+N93)</f>
        <v>0</v>
      </c>
      <c r="O255" s="157">
        <f>IF(COUNT($H255:N255)&gt;=Input!$Y$7,0, O29+O61+O93)</f>
        <v>0</v>
      </c>
      <c r="P255" s="157">
        <f>IF(COUNT($H255:O255)&gt;=Input!$Y$7,0, P29+P61+P93)</f>
        <v>0</v>
      </c>
      <c r="Q255" s="157">
        <f>IF(COUNT($H255:P255)&gt;=Input!$Y$7,0, Q29+Q61+Q93)</f>
        <v>0</v>
      </c>
      <c r="R255" s="104"/>
      <c r="S255" s="104"/>
      <c r="T255" s="104"/>
      <c r="U255" s="104"/>
      <c r="V255" s="104"/>
      <c r="W255" s="104"/>
      <c r="X255" s="104"/>
      <c r="Y255" s="104"/>
      <c r="Z255" s="104"/>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31"/>
      <c r="BK255" s="224"/>
      <c r="BL255" s="224"/>
    </row>
    <row r="256" spans="1:64" hidden="1" outlineLevel="1">
      <c r="A256" s="9"/>
      <c r="B256" s="12"/>
      <c r="C256" s="44"/>
      <c r="D256" s="271">
        <f>Asset23</f>
        <v>0</v>
      </c>
      <c r="E256" s="12"/>
      <c r="F256" s="12"/>
      <c r="G256" s="204">
        <f t="shared" si="14"/>
        <v>0</v>
      </c>
      <c r="H256" s="157">
        <f t="shared" si="15"/>
        <v>0</v>
      </c>
      <c r="I256" s="157">
        <f t="shared" si="15"/>
        <v>0</v>
      </c>
      <c r="J256" s="157">
        <f t="shared" si="15"/>
        <v>0</v>
      </c>
      <c r="K256" s="157">
        <f t="shared" si="15"/>
        <v>0</v>
      </c>
      <c r="L256" s="157">
        <f t="shared" si="15"/>
        <v>0</v>
      </c>
      <c r="M256" s="157">
        <f>IF(COUNT($H256:L256)&gt;=Input!$Y$7,0, M30+M62+M94)</f>
        <v>0</v>
      </c>
      <c r="N256" s="157">
        <f>IF(COUNT($H256:M256)&gt;=Input!$Y$7,0, N30+N62+N94)</f>
        <v>0</v>
      </c>
      <c r="O256" s="157">
        <f>IF(COUNT($H256:N256)&gt;=Input!$Y$7,0, O30+O62+O94)</f>
        <v>0</v>
      </c>
      <c r="P256" s="157">
        <f>IF(COUNT($H256:O256)&gt;=Input!$Y$7,0, P30+P62+P94)</f>
        <v>0</v>
      </c>
      <c r="Q256" s="157">
        <f>IF(COUNT($H256:P256)&gt;=Input!$Y$7,0, Q30+Q62+Q94)</f>
        <v>0</v>
      </c>
      <c r="R256" s="104"/>
      <c r="S256" s="104"/>
      <c r="T256" s="104"/>
      <c r="U256" s="104"/>
      <c r="V256" s="104"/>
      <c r="W256" s="104"/>
      <c r="X256" s="104"/>
      <c r="Y256" s="104"/>
      <c r="Z256" s="104"/>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31"/>
      <c r="BK256" s="224"/>
      <c r="BL256" s="224"/>
    </row>
    <row r="257" spans="1:64" hidden="1" outlineLevel="1">
      <c r="A257" s="9"/>
      <c r="B257" s="12"/>
      <c r="C257" s="44"/>
      <c r="D257" s="271">
        <f>Asset24</f>
        <v>0</v>
      </c>
      <c r="E257" s="12"/>
      <c r="F257" s="12"/>
      <c r="G257" s="204">
        <f t="shared" si="14"/>
        <v>0</v>
      </c>
      <c r="H257" s="157">
        <f t="shared" si="15"/>
        <v>0</v>
      </c>
      <c r="I257" s="157">
        <f t="shared" si="15"/>
        <v>0</v>
      </c>
      <c r="J257" s="157">
        <f t="shared" si="15"/>
        <v>0</v>
      </c>
      <c r="K257" s="157">
        <f t="shared" si="15"/>
        <v>0</v>
      </c>
      <c r="L257" s="157">
        <f t="shared" si="15"/>
        <v>0</v>
      </c>
      <c r="M257" s="157">
        <f>IF(COUNT($H257:L257)&gt;=Input!$Y$7,0, M31+M63+M95)</f>
        <v>0</v>
      </c>
      <c r="N257" s="157">
        <f>IF(COUNT($H257:M257)&gt;=Input!$Y$7,0, N31+N63+N95)</f>
        <v>0</v>
      </c>
      <c r="O257" s="157">
        <f>IF(COUNT($H257:N257)&gt;=Input!$Y$7,0, O31+O63+O95)</f>
        <v>0</v>
      </c>
      <c r="P257" s="157">
        <f>IF(COUNT($H257:O257)&gt;=Input!$Y$7,0, P31+P63+P95)</f>
        <v>0</v>
      </c>
      <c r="Q257" s="157">
        <f>IF(COUNT($H257:P257)&gt;=Input!$Y$7,0, Q31+Q63+Q95)</f>
        <v>0</v>
      </c>
      <c r="R257" s="104"/>
      <c r="S257" s="104"/>
      <c r="T257" s="104"/>
      <c r="U257" s="104"/>
      <c r="V257" s="104"/>
      <c r="W257" s="104"/>
      <c r="X257" s="104"/>
      <c r="Y257" s="104"/>
      <c r="Z257" s="104"/>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31"/>
      <c r="BK257" s="224"/>
      <c r="BL257" s="224"/>
    </row>
    <row r="258" spans="1:64" hidden="1" outlineLevel="1">
      <c r="A258" s="9"/>
      <c r="B258" s="12"/>
      <c r="C258" s="44"/>
      <c r="D258" s="271">
        <f>Asset25</f>
        <v>0</v>
      </c>
      <c r="E258" s="12"/>
      <c r="F258" s="12"/>
      <c r="G258" s="204">
        <f t="shared" si="14"/>
        <v>0</v>
      </c>
      <c r="H258" s="157">
        <f t="shared" si="15"/>
        <v>0</v>
      </c>
      <c r="I258" s="157">
        <f t="shared" si="15"/>
        <v>0</v>
      </c>
      <c r="J258" s="157">
        <f t="shared" si="15"/>
        <v>0</v>
      </c>
      <c r="K258" s="157">
        <f t="shared" si="15"/>
        <v>0</v>
      </c>
      <c r="L258" s="157">
        <f t="shared" si="15"/>
        <v>0</v>
      </c>
      <c r="M258" s="157">
        <f>IF(COUNT($H258:L258)&gt;=Input!$Y$7,0, M32+M64+M96)</f>
        <v>0</v>
      </c>
      <c r="N258" s="157">
        <f>IF(COUNT($H258:M258)&gt;=Input!$Y$7,0, N32+N64+N96)</f>
        <v>0</v>
      </c>
      <c r="O258" s="157">
        <f>IF(COUNT($H258:N258)&gt;=Input!$Y$7,0, O32+O64+O96)</f>
        <v>0</v>
      </c>
      <c r="P258" s="157">
        <f>IF(COUNT($H258:O258)&gt;=Input!$Y$7,0, P32+P64+P96)</f>
        <v>0</v>
      </c>
      <c r="Q258" s="157">
        <f>IF(COUNT($H258:P258)&gt;=Input!$Y$7,0, Q32+Q64+Q96)</f>
        <v>0</v>
      </c>
      <c r="R258" s="104"/>
      <c r="S258" s="104"/>
      <c r="T258" s="104"/>
      <c r="U258" s="104"/>
      <c r="V258" s="104"/>
      <c r="W258" s="104"/>
      <c r="X258" s="104"/>
      <c r="Y258" s="104"/>
      <c r="Z258" s="104"/>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31"/>
      <c r="BK258" s="224"/>
      <c r="BL258" s="224"/>
    </row>
    <row r="259" spans="1:64" hidden="1" outlineLevel="1">
      <c r="A259" s="9"/>
      <c r="B259" s="12"/>
      <c r="C259" s="44"/>
      <c r="D259" s="271">
        <f>Asset26</f>
        <v>0</v>
      </c>
      <c r="E259" s="12"/>
      <c r="F259" s="12"/>
      <c r="G259" s="204">
        <f t="shared" si="14"/>
        <v>0</v>
      </c>
      <c r="H259" s="157">
        <f t="shared" si="15"/>
        <v>0</v>
      </c>
      <c r="I259" s="157">
        <f t="shared" si="15"/>
        <v>0</v>
      </c>
      <c r="J259" s="157">
        <f t="shared" si="15"/>
        <v>0</v>
      </c>
      <c r="K259" s="157">
        <f t="shared" si="15"/>
        <v>0</v>
      </c>
      <c r="L259" s="157">
        <f t="shared" si="15"/>
        <v>0</v>
      </c>
      <c r="M259" s="157">
        <f>IF(COUNT($H259:L259)&gt;=Input!$Y$7,0, M33+M65+M97)</f>
        <v>0</v>
      </c>
      <c r="N259" s="157">
        <f>IF(COUNT($H259:M259)&gt;=Input!$Y$7,0, N33+N65+N97)</f>
        <v>0</v>
      </c>
      <c r="O259" s="157">
        <f>IF(COUNT($H259:N259)&gt;=Input!$Y$7,0, O33+O65+O97)</f>
        <v>0</v>
      </c>
      <c r="P259" s="157">
        <f>IF(COUNT($H259:O259)&gt;=Input!$Y$7,0, P33+P65+P97)</f>
        <v>0</v>
      </c>
      <c r="Q259" s="157">
        <f>IF(COUNT($H259:P259)&gt;=Input!$Y$7,0, Q33+Q65+Q97)</f>
        <v>0</v>
      </c>
      <c r="R259" s="104"/>
      <c r="S259" s="104"/>
      <c r="T259" s="104"/>
      <c r="U259" s="104"/>
      <c r="V259" s="104"/>
      <c r="W259" s="104"/>
      <c r="X259" s="104"/>
      <c r="Y259" s="104"/>
      <c r="Z259" s="104"/>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31"/>
      <c r="BK259" s="224"/>
      <c r="BL259" s="224"/>
    </row>
    <row r="260" spans="1:64" hidden="1" outlineLevel="1">
      <c r="A260" s="9"/>
      <c r="B260" s="12"/>
      <c r="C260" s="44"/>
      <c r="D260" s="271">
        <f>Asset27</f>
        <v>0</v>
      </c>
      <c r="E260" s="12"/>
      <c r="F260" s="12"/>
      <c r="G260" s="204">
        <f t="shared" si="14"/>
        <v>0</v>
      </c>
      <c r="H260" s="157">
        <f t="shared" si="15"/>
        <v>0</v>
      </c>
      <c r="I260" s="157">
        <f t="shared" si="15"/>
        <v>0</v>
      </c>
      <c r="J260" s="157">
        <f t="shared" si="15"/>
        <v>0</v>
      </c>
      <c r="K260" s="157">
        <f t="shared" si="15"/>
        <v>0</v>
      </c>
      <c r="L260" s="157">
        <f t="shared" si="15"/>
        <v>0</v>
      </c>
      <c r="M260" s="157">
        <f>IF(COUNT($H260:L260)&gt;=Input!$Y$7,0, M34+M66+M98)</f>
        <v>0</v>
      </c>
      <c r="N260" s="157">
        <f>IF(COUNT($H260:M260)&gt;=Input!$Y$7,0, N34+N66+N98)</f>
        <v>0</v>
      </c>
      <c r="O260" s="157">
        <f>IF(COUNT($H260:N260)&gt;=Input!$Y$7,0, O34+O66+O98)</f>
        <v>0</v>
      </c>
      <c r="P260" s="157">
        <f>IF(COUNT($H260:O260)&gt;=Input!$Y$7,0, P34+P66+P98)</f>
        <v>0</v>
      </c>
      <c r="Q260" s="157">
        <f>IF(COUNT($H260:P260)&gt;=Input!$Y$7,0, Q34+Q66+Q98)</f>
        <v>0</v>
      </c>
      <c r="R260" s="104"/>
      <c r="S260" s="104"/>
      <c r="T260" s="104"/>
      <c r="U260" s="104"/>
      <c r="V260" s="104"/>
      <c r="W260" s="104"/>
      <c r="X260" s="104"/>
      <c r="Y260" s="104"/>
      <c r="Z260" s="104"/>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24"/>
      <c r="BL260" s="224"/>
    </row>
    <row r="261" spans="1:64" hidden="1" outlineLevel="1">
      <c r="A261" s="9"/>
      <c r="B261" s="12"/>
      <c r="C261" s="44"/>
      <c r="D261" s="271">
        <f>Asset28</f>
        <v>0</v>
      </c>
      <c r="E261" s="12"/>
      <c r="F261" s="12"/>
      <c r="G261" s="204">
        <f t="shared" si="14"/>
        <v>0</v>
      </c>
      <c r="H261" s="157">
        <f t="shared" si="15"/>
        <v>0</v>
      </c>
      <c r="I261" s="157">
        <f t="shared" si="15"/>
        <v>0</v>
      </c>
      <c r="J261" s="157">
        <f t="shared" si="15"/>
        <v>0</v>
      </c>
      <c r="K261" s="157">
        <f t="shared" si="15"/>
        <v>0</v>
      </c>
      <c r="L261" s="157">
        <f t="shared" si="15"/>
        <v>0</v>
      </c>
      <c r="M261" s="157">
        <f>IF(COUNT($H261:L261)&gt;=Input!$Y$7,0, M35+M67+M99)</f>
        <v>0</v>
      </c>
      <c r="N261" s="157">
        <f>IF(COUNT($H261:M261)&gt;=Input!$Y$7,0, N35+N67+N99)</f>
        <v>0</v>
      </c>
      <c r="O261" s="157">
        <f>IF(COUNT($H261:N261)&gt;=Input!$Y$7,0, O35+O67+O99)</f>
        <v>0</v>
      </c>
      <c r="P261" s="157">
        <f>IF(COUNT($H261:O261)&gt;=Input!$Y$7,0, P35+P67+P99)</f>
        <v>0</v>
      </c>
      <c r="Q261" s="157">
        <f>IF(COUNT($H261:P261)&gt;=Input!$Y$7,0, Q35+Q67+Q99)</f>
        <v>0</v>
      </c>
      <c r="R261" s="104"/>
      <c r="S261" s="104"/>
      <c r="T261" s="104"/>
      <c r="U261" s="104"/>
      <c r="V261" s="104"/>
      <c r="W261" s="104"/>
      <c r="X261" s="104"/>
      <c r="Y261" s="104"/>
      <c r="Z261" s="104"/>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31"/>
      <c r="BK261" s="224"/>
      <c r="BL261" s="224"/>
    </row>
    <row r="262" spans="1:64" hidden="1" outlineLevel="1">
      <c r="A262" s="9"/>
      <c r="B262" s="12"/>
      <c r="C262" s="44"/>
      <c r="D262" s="271">
        <f>Asset29</f>
        <v>0</v>
      </c>
      <c r="E262" s="12"/>
      <c r="F262" s="12"/>
      <c r="G262" s="204">
        <f t="shared" si="14"/>
        <v>0</v>
      </c>
      <c r="H262" s="157">
        <f t="shared" si="15"/>
        <v>0</v>
      </c>
      <c r="I262" s="157">
        <f t="shared" si="15"/>
        <v>0</v>
      </c>
      <c r="J262" s="157">
        <f t="shared" si="15"/>
        <v>0</v>
      </c>
      <c r="K262" s="157">
        <f t="shared" si="15"/>
        <v>0</v>
      </c>
      <c r="L262" s="157">
        <f t="shared" si="15"/>
        <v>0</v>
      </c>
      <c r="M262" s="157">
        <f>IF(COUNT($H262:L262)&gt;=Input!$Y$7,0, M36+M68+M100)</f>
        <v>0</v>
      </c>
      <c r="N262" s="157">
        <f>IF(COUNT($H262:M262)&gt;=Input!$Y$7,0, N36+N68+N100)</f>
        <v>0</v>
      </c>
      <c r="O262" s="157">
        <f>IF(COUNT($H262:N262)&gt;=Input!$Y$7,0, O36+O68+O100)</f>
        <v>0</v>
      </c>
      <c r="P262" s="157">
        <f>IF(COUNT($H262:O262)&gt;=Input!$Y$7,0, P36+P68+P100)</f>
        <v>0</v>
      </c>
      <c r="Q262" s="157">
        <f>IF(COUNT($H262:P262)&gt;=Input!$Y$7,0, Q36+Q68+Q100)</f>
        <v>0</v>
      </c>
      <c r="R262" s="104"/>
      <c r="S262" s="104"/>
      <c r="T262" s="104"/>
      <c r="U262" s="104"/>
      <c r="V262" s="104"/>
      <c r="W262" s="104"/>
      <c r="X262" s="104"/>
      <c r="Y262" s="104"/>
      <c r="Z262" s="104"/>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31"/>
      <c r="BK262" s="224"/>
      <c r="BL262" s="224"/>
    </row>
    <row r="263" spans="1:64" hidden="1" outlineLevel="1">
      <c r="A263" s="9"/>
      <c r="B263" s="12"/>
      <c r="C263" s="44"/>
      <c r="D263" s="271">
        <f>Asset30</f>
        <v>0</v>
      </c>
      <c r="E263" s="12"/>
      <c r="F263" s="12"/>
      <c r="G263" s="204">
        <f t="shared" si="14"/>
        <v>0</v>
      </c>
      <c r="H263" s="157">
        <f t="shared" si="15"/>
        <v>0</v>
      </c>
      <c r="I263" s="157">
        <f t="shared" si="15"/>
        <v>0</v>
      </c>
      <c r="J263" s="157">
        <f t="shared" si="15"/>
        <v>0</v>
      </c>
      <c r="K263" s="157">
        <f t="shared" si="15"/>
        <v>0</v>
      </c>
      <c r="L263" s="157">
        <f t="shared" si="15"/>
        <v>0</v>
      </c>
      <c r="M263" s="157">
        <f>IF(COUNT($H263:L263)&gt;=Input!$Y$7,0, M37+M69+M101)</f>
        <v>0</v>
      </c>
      <c r="N263" s="157">
        <f>IF(COUNT($H263:M263)&gt;=Input!$Y$7,0, N37+N69+N101)</f>
        <v>0</v>
      </c>
      <c r="O263" s="157">
        <f>IF(COUNT($H263:N263)&gt;=Input!$Y$7,0, O37+O69+O101)</f>
        <v>0</v>
      </c>
      <c r="P263" s="157">
        <f>IF(COUNT($H263:O263)&gt;=Input!$Y$7,0, P37+P69+P101)</f>
        <v>0</v>
      </c>
      <c r="Q263" s="157">
        <f>IF(COUNT($H263:P263)&gt;=Input!$Y$7,0, Q37+Q69+Q101)</f>
        <v>0</v>
      </c>
      <c r="R263" s="104"/>
      <c r="S263" s="104"/>
      <c r="T263" s="104"/>
      <c r="U263" s="104"/>
      <c r="V263" s="104"/>
      <c r="W263" s="104"/>
      <c r="X263" s="104"/>
      <c r="Y263" s="104"/>
      <c r="Z263" s="104"/>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31"/>
      <c r="BK263" s="224"/>
      <c r="BL263" s="224"/>
    </row>
    <row r="264" spans="1:64" collapsed="1">
      <c r="A264" s="9"/>
      <c r="B264" s="12"/>
      <c r="C264" s="94"/>
      <c r="D264" s="117"/>
      <c r="E264" s="12"/>
      <c r="F264" s="12"/>
      <c r="G264" s="156"/>
      <c r="H264" s="145"/>
      <c r="I264" s="145"/>
      <c r="J264" s="145"/>
      <c r="K264" s="145"/>
      <c r="L264" s="145"/>
      <c r="M264" s="145"/>
      <c r="N264" s="104"/>
      <c r="O264" s="104"/>
      <c r="P264" s="104"/>
      <c r="Q264" s="104"/>
      <c r="R264" s="104"/>
      <c r="S264" s="104"/>
      <c r="T264" s="104"/>
      <c r="U264" s="104"/>
      <c r="V264" s="104"/>
      <c r="W264" s="104"/>
      <c r="X264" s="104"/>
      <c r="Y264" s="104"/>
      <c r="Z264" s="104"/>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4"/>
      <c r="BL264" s="224"/>
    </row>
    <row r="265" spans="1:64" s="9" customFormat="1">
      <c r="B265" s="12"/>
      <c r="C265" s="94" t="s">
        <v>12</v>
      </c>
      <c r="D265" s="12"/>
      <c r="E265" s="12"/>
      <c r="F265" s="12"/>
      <c r="G265" s="118"/>
      <c r="H265" s="119"/>
      <c r="I265" s="119"/>
      <c r="J265" s="119"/>
      <c r="K265" s="119"/>
      <c r="L265" s="119">
        <f t="shared" ref="L265:Q265" si="16">SUM(L266:L295)</f>
        <v>-18.17256938651434</v>
      </c>
      <c r="M265" s="119">
        <f>SUM(M266:M295)</f>
        <v>0</v>
      </c>
      <c r="N265" s="119">
        <f t="shared" si="16"/>
        <v>0</v>
      </c>
      <c r="O265" s="119">
        <f t="shared" si="16"/>
        <v>0</v>
      </c>
      <c r="P265" s="119">
        <f t="shared" si="16"/>
        <v>0</v>
      </c>
      <c r="Q265" s="119">
        <f t="shared" si="16"/>
        <v>0</v>
      </c>
      <c r="R265" s="110"/>
      <c r="S265" s="110"/>
      <c r="T265" s="110"/>
      <c r="U265" s="110"/>
      <c r="V265" s="110"/>
      <c r="W265" s="110"/>
      <c r="X265" s="110"/>
      <c r="Y265" s="110"/>
      <c r="Z265" s="110"/>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24"/>
      <c r="BL265" s="224"/>
    </row>
    <row r="266" spans="1:64" ht="12" hidden="1" customHeight="1" outlineLevel="1">
      <c r="A266" s="9"/>
      <c r="B266" s="9"/>
      <c r="C266" s="9"/>
      <c r="D266" s="271" t="str">
        <f>Asset1</f>
        <v>Subtransmission</v>
      </c>
      <c r="E266" s="9"/>
      <c r="F266" s="9"/>
      <c r="G266" s="9"/>
      <c r="H266" s="115"/>
      <c r="I266" s="115"/>
      <c r="J266" s="115"/>
      <c r="K266" s="115"/>
      <c r="L266" s="115">
        <f>IF(L$233&gt;0, IF(M$233=0, 'Adjustment for previous period'!$G76, 0), 0)</f>
        <v>-1.3366217069966382</v>
      </c>
      <c r="M266" s="115">
        <f>IF(M$233&gt;0, IF(N$233=0, 'Adjustment for previous period'!$G76, 0), 0)</f>
        <v>0</v>
      </c>
      <c r="N266" s="115">
        <f>IF(N$233&gt;0, IF(O$233=0, 'Adjustment for previous period'!$G76, 0), 0)</f>
        <v>0</v>
      </c>
      <c r="O266" s="115">
        <f>IF(O$233&gt;0, IF(P$233=0, 'Adjustment for previous period'!$G76, 0), 0)</f>
        <v>0</v>
      </c>
      <c r="P266" s="115">
        <f>IF(P$233&gt;0, IF(Q$233=0, 'Adjustment for previous period'!$G76, 0), 0)</f>
        <v>0</v>
      </c>
      <c r="Q266" s="115">
        <f>IF(Q$233&gt;0, IF(R$233=0, 'Adjustment for previous period'!$G76, 0), 0)</f>
        <v>0</v>
      </c>
      <c r="R266" s="9"/>
      <c r="S266" s="12"/>
      <c r="T266" s="12"/>
      <c r="U266" s="12"/>
      <c r="V266" s="12"/>
      <c r="W266" s="12"/>
      <c r="X266" s="12"/>
      <c r="Y266" s="12"/>
      <c r="Z266" s="12"/>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271" t="str">
        <f>Asset2</f>
        <v>Distribution system assets</v>
      </c>
      <c r="E267" s="9"/>
      <c r="F267" s="9"/>
      <c r="G267" s="9"/>
      <c r="H267" s="115"/>
      <c r="I267" s="115"/>
      <c r="J267" s="115"/>
      <c r="K267" s="115"/>
      <c r="L267" s="115">
        <f>IF(L$233&gt;0, IF(M$233=0, 'Adjustment for previous period'!$G77, 0), 0)</f>
        <v>-1.3017464708318016</v>
      </c>
      <c r="M267" s="115">
        <f>IF(M$233&gt;0, IF(N$233=0, 'Adjustment for previous period'!$G77, 0), 0)</f>
        <v>0</v>
      </c>
      <c r="N267" s="115">
        <f>IF(N$233&gt;0, IF(O$233=0, 'Adjustment for previous period'!$G77, 0), 0)</f>
        <v>0</v>
      </c>
      <c r="O267" s="115">
        <f>IF(O$233&gt;0, IF(P$233=0, 'Adjustment for previous period'!$G77, 0), 0)</f>
        <v>0</v>
      </c>
      <c r="P267" s="115">
        <f>IF(P$233&gt;0, IF(Q$233=0, 'Adjustment for previous period'!$G77, 0), 0)</f>
        <v>0</v>
      </c>
      <c r="Q267" s="115">
        <f>IF(Q$233&gt;0, IF(R$233=0, 'Adjustment for previous period'!$G77, 0), 0)</f>
        <v>0</v>
      </c>
      <c r="R267" s="9"/>
      <c r="S267" s="12"/>
      <c r="T267" s="12"/>
      <c r="U267" s="12"/>
      <c r="V267" s="12"/>
      <c r="W267" s="12"/>
      <c r="X267" s="12"/>
      <c r="Y267" s="12"/>
      <c r="Z267" s="12"/>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t="12" hidden="1" customHeight="1" outlineLevel="1">
      <c r="A268" s="9"/>
      <c r="B268" s="9"/>
      <c r="C268" s="9"/>
      <c r="D268" s="271" t="str">
        <f>Asset3</f>
        <v>Standard metering</v>
      </c>
      <c r="E268" s="9"/>
      <c r="F268" s="9"/>
      <c r="G268" s="9"/>
      <c r="H268" s="115"/>
      <c r="I268" s="115"/>
      <c r="J268" s="115"/>
      <c r="K268" s="115"/>
      <c r="L268" s="115">
        <f>IF(L$233&gt;0, IF(M$233=0, 'Adjustment for previous period'!$G78, 0), 0)</f>
        <v>0</v>
      </c>
      <c r="M268" s="115">
        <f>IF(M$233&gt;0, IF(N$233=0, 'Adjustment for previous period'!$G78, 0), 0)</f>
        <v>0</v>
      </c>
      <c r="N268" s="115">
        <f>IF(N$233&gt;0, IF(O$233=0, 'Adjustment for previous period'!$G78, 0), 0)</f>
        <v>0</v>
      </c>
      <c r="O268" s="115">
        <f>IF(O$233&gt;0, IF(P$233=0, 'Adjustment for previous period'!$G78, 0), 0)</f>
        <v>0</v>
      </c>
      <c r="P268" s="115">
        <f>IF(P$233&gt;0, IF(Q$233=0, 'Adjustment for previous period'!$G78, 0), 0)</f>
        <v>0</v>
      </c>
      <c r="Q268" s="115">
        <f>IF(Q$233&gt;0, IF(R$233=0, 'Adjustment for previous period'!$G78, 0), 0)</f>
        <v>0</v>
      </c>
      <c r="R268" s="9"/>
      <c r="S268" s="12"/>
      <c r="T268" s="12"/>
      <c r="U268" s="12"/>
      <c r="V268" s="12"/>
      <c r="W268" s="12"/>
      <c r="X268" s="12"/>
      <c r="Y268" s="12"/>
      <c r="Z268" s="12"/>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t="12" hidden="1" customHeight="1" outlineLevel="1">
      <c r="A269" s="9"/>
      <c r="B269" s="9"/>
      <c r="C269" s="9"/>
      <c r="D269" s="271" t="str">
        <f>Asset4</f>
        <v>Public lighting</v>
      </c>
      <c r="E269" s="9"/>
      <c r="F269" s="9"/>
      <c r="G269" s="9"/>
      <c r="H269" s="115"/>
      <c r="I269" s="115"/>
      <c r="J269" s="115"/>
      <c r="K269" s="115"/>
      <c r="L269" s="115">
        <f>IF(L$233&gt;0, IF(M$233=0, 'Adjustment for previous period'!$G79, 0), 0)</f>
        <v>0</v>
      </c>
      <c r="M269" s="115">
        <f>IF(M$233&gt;0, IF(N$233=0, 'Adjustment for previous period'!$G79, 0), 0)</f>
        <v>0</v>
      </c>
      <c r="N269" s="115">
        <f>IF(N$233&gt;0, IF(O$233=0, 'Adjustment for previous period'!$G79, 0), 0)</f>
        <v>0</v>
      </c>
      <c r="O269" s="115">
        <f>IF(O$233&gt;0, IF(P$233=0, 'Adjustment for previous period'!$G79, 0), 0)</f>
        <v>0</v>
      </c>
      <c r="P269" s="115">
        <f>IF(P$233&gt;0, IF(Q$233=0, 'Adjustment for previous period'!$G79, 0), 0)</f>
        <v>0</v>
      </c>
      <c r="Q269" s="115">
        <f>IF(Q$233&gt;0, IF(R$233=0, 'Adjustment for previous period'!$G79, 0), 0)</f>
        <v>0</v>
      </c>
      <c r="R269" s="9"/>
      <c r="S269" s="12"/>
      <c r="T269" s="12"/>
      <c r="U269" s="12"/>
      <c r="V269" s="12"/>
      <c r="W269" s="12"/>
      <c r="X269" s="12"/>
      <c r="Y269" s="12"/>
      <c r="Z269" s="12"/>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224"/>
      <c r="BK269" s="224"/>
      <c r="BL269" s="224"/>
    </row>
    <row r="270" spans="1:64" ht="12" hidden="1" customHeight="1" outlineLevel="1">
      <c r="A270" s="9"/>
      <c r="B270" s="9"/>
      <c r="C270" s="9"/>
      <c r="D270" s="271" t="str">
        <f>Asset5</f>
        <v>SCADA/Network control</v>
      </c>
      <c r="E270" s="9"/>
      <c r="F270" s="9"/>
      <c r="G270" s="9"/>
      <c r="H270" s="115"/>
      <c r="I270" s="115"/>
      <c r="J270" s="115"/>
      <c r="K270" s="115"/>
      <c r="L270" s="115">
        <f>IF(L$233&gt;0, IF(M$233=0, 'Adjustment for previous period'!$G80, 0), 0)</f>
        <v>1.1359421498995483</v>
      </c>
      <c r="M270" s="115">
        <f>IF(M$233&gt;0, IF(N$233=0, 'Adjustment for previous period'!$G80, 0), 0)</f>
        <v>0</v>
      </c>
      <c r="N270" s="115">
        <f>IF(N$233&gt;0, IF(O$233=0, 'Adjustment for previous period'!$G80, 0), 0)</f>
        <v>0</v>
      </c>
      <c r="O270" s="115">
        <f>IF(O$233&gt;0, IF(P$233=0, 'Adjustment for previous period'!$G80, 0), 0)</f>
        <v>0</v>
      </c>
      <c r="P270" s="115">
        <f>IF(P$233&gt;0, IF(Q$233=0, 'Adjustment for previous period'!$G80, 0), 0)</f>
        <v>0</v>
      </c>
      <c r="Q270" s="115">
        <f>IF(Q$233&gt;0, IF(R$233=0, 'Adjustment for previous period'!$G80, 0), 0)</f>
        <v>0</v>
      </c>
      <c r="R270" s="9"/>
      <c r="S270" s="12"/>
      <c r="T270" s="12"/>
      <c r="U270" s="12"/>
      <c r="V270" s="12"/>
      <c r="W270" s="12"/>
      <c r="X270" s="12"/>
      <c r="Y270" s="12"/>
      <c r="Z270" s="12"/>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224"/>
      <c r="BK270" s="224"/>
      <c r="BL270" s="224"/>
    </row>
    <row r="271" spans="1:64" ht="12" hidden="1" customHeight="1" outlineLevel="1">
      <c r="A271" s="9"/>
      <c r="B271" s="9"/>
      <c r="C271" s="9"/>
      <c r="D271" s="271" t="str">
        <f>Asset6</f>
        <v>Non-network general assets - IT</v>
      </c>
      <c r="E271" s="9"/>
      <c r="F271" s="9"/>
      <c r="G271" s="9"/>
      <c r="H271" s="115"/>
      <c r="I271" s="115"/>
      <c r="J271" s="115"/>
      <c r="K271" s="115"/>
      <c r="L271" s="115">
        <f>IF(L$233&gt;0, IF(M$233=0, 'Adjustment for previous period'!$G81, 0), 0)</f>
        <v>-13.664127927522692</v>
      </c>
      <c r="M271" s="115">
        <f>IF(M$233&gt;0, IF(N$233=0, 'Adjustment for previous period'!$G81, 0), 0)</f>
        <v>0</v>
      </c>
      <c r="N271" s="115">
        <f>IF(N$233&gt;0, IF(O$233=0, 'Adjustment for previous period'!$G81, 0), 0)</f>
        <v>0</v>
      </c>
      <c r="O271" s="115">
        <f>IF(O$233&gt;0, IF(P$233=0, 'Adjustment for previous period'!$G81, 0), 0)</f>
        <v>0</v>
      </c>
      <c r="P271" s="115">
        <f>IF(P$233&gt;0, IF(Q$233=0, 'Adjustment for previous period'!$G81, 0), 0)</f>
        <v>0</v>
      </c>
      <c r="Q271" s="115">
        <f>IF(Q$233&gt;0, IF(R$233=0, 'Adjustment for previous period'!$G81, 0), 0)</f>
        <v>0</v>
      </c>
      <c r="R271" s="9"/>
      <c r="S271" s="12"/>
      <c r="T271" s="12"/>
      <c r="U271" s="12"/>
      <c r="V271" s="12"/>
      <c r="W271" s="12"/>
      <c r="X271" s="12"/>
      <c r="Y271" s="12"/>
      <c r="Z271" s="12"/>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224"/>
      <c r="BK271" s="224"/>
      <c r="BL271" s="224"/>
    </row>
    <row r="272" spans="1:64" ht="12" hidden="1" customHeight="1" outlineLevel="1">
      <c r="A272" s="9"/>
      <c r="B272" s="9"/>
      <c r="C272" s="9"/>
      <c r="D272" s="271" t="str">
        <f>Asset7</f>
        <v>Non-network general assets - Other</v>
      </c>
      <c r="E272" s="9"/>
      <c r="F272" s="9"/>
      <c r="G272" s="9"/>
      <c r="H272" s="115"/>
      <c r="I272" s="115"/>
      <c r="J272" s="115"/>
      <c r="K272" s="115"/>
      <c r="L272" s="115">
        <f>IF(L$233&gt;0, IF(M$233=0, 'Adjustment for previous period'!$G82, 0), 0)</f>
        <v>-3.0060154310627576</v>
      </c>
      <c r="M272" s="115">
        <f>IF(M$233&gt;0, IF(N$233=0, 'Adjustment for previous period'!$G82, 0), 0)</f>
        <v>0</v>
      </c>
      <c r="N272" s="115">
        <f>IF(N$233&gt;0, IF(O$233=0, 'Adjustment for previous period'!$G82, 0), 0)</f>
        <v>0</v>
      </c>
      <c r="O272" s="115">
        <f>IF(O$233&gt;0, IF(P$233=0, 'Adjustment for previous period'!$G82, 0), 0)</f>
        <v>0</v>
      </c>
      <c r="P272" s="115">
        <f>IF(P$233&gt;0, IF(Q$233=0, 'Adjustment for previous period'!$G82, 0), 0)</f>
        <v>0</v>
      </c>
      <c r="Q272" s="115">
        <f>IF(Q$233&gt;0, IF(R$233=0, 'Adjustment for previous period'!$G82, 0), 0)</f>
        <v>0</v>
      </c>
      <c r="R272" s="9"/>
      <c r="S272" s="12"/>
      <c r="T272" s="12"/>
      <c r="U272" s="12"/>
      <c r="V272" s="12"/>
      <c r="W272" s="12"/>
      <c r="X272" s="12"/>
      <c r="Y272" s="12"/>
      <c r="Z272" s="12"/>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row>
    <row r="273" spans="1:64" ht="12" hidden="1" customHeight="1" outlineLevel="1">
      <c r="A273" s="9"/>
      <c r="B273" s="9"/>
      <c r="C273" s="9"/>
      <c r="D273" s="271" t="str">
        <f>Asset8</f>
        <v>Equity Raising Costs</v>
      </c>
      <c r="E273" s="9"/>
      <c r="F273" s="9"/>
      <c r="G273" s="9"/>
      <c r="H273" s="115"/>
      <c r="I273" s="115"/>
      <c r="J273" s="115"/>
      <c r="K273" s="115"/>
      <c r="L273" s="115">
        <f>IF(L$233&gt;0, IF(M$233=0, 'Adjustment for previous period'!$G83, 0), 0)</f>
        <v>0</v>
      </c>
      <c r="M273" s="115">
        <f>IF(M$233&gt;0, IF(N$233=0, 'Adjustment for previous period'!$G83, 0), 0)</f>
        <v>0</v>
      </c>
      <c r="N273" s="115">
        <f>IF(N$233&gt;0, IF(O$233=0, 'Adjustment for previous period'!$G83, 0), 0)</f>
        <v>0</v>
      </c>
      <c r="O273" s="115">
        <f>IF(O$233&gt;0, IF(P$233=0, 'Adjustment for previous period'!$G83, 0), 0)</f>
        <v>0</v>
      </c>
      <c r="P273" s="115">
        <f>IF(P$233&gt;0, IF(Q$233=0, 'Adjustment for previous period'!$G83, 0), 0)</f>
        <v>0</v>
      </c>
      <c r="Q273" s="115">
        <f>IF(Q$233&gt;0, IF(R$233=0, 'Adjustment for previous period'!$G83, 0), 0)</f>
        <v>0</v>
      </c>
      <c r="R273" s="9"/>
      <c r="S273" s="12"/>
      <c r="T273" s="12"/>
      <c r="U273" s="12"/>
      <c r="V273" s="12"/>
      <c r="W273" s="12"/>
      <c r="X273" s="12"/>
      <c r="Y273" s="12"/>
      <c r="Z273" s="12"/>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224"/>
      <c r="BK273" s="224"/>
      <c r="BL273" s="224"/>
    </row>
    <row r="274" spans="1:64" ht="12" hidden="1" customHeight="1" outlineLevel="1">
      <c r="A274" s="9"/>
      <c r="B274" s="9"/>
      <c r="C274" s="9"/>
      <c r="D274" s="271">
        <f>Asset9</f>
        <v>0</v>
      </c>
      <c r="E274" s="9"/>
      <c r="F274" s="9"/>
      <c r="G274" s="9"/>
      <c r="H274" s="115"/>
      <c r="I274" s="115"/>
      <c r="J274" s="115"/>
      <c r="K274" s="115"/>
      <c r="L274" s="115">
        <f>IF(L$233&gt;0, IF(M$233=0, 'Adjustment for previous period'!$G84, 0), 0)</f>
        <v>0</v>
      </c>
      <c r="M274" s="115">
        <f>IF(M$233&gt;0, IF(N$233=0, 'Adjustment for previous period'!$G84, 0), 0)</f>
        <v>0</v>
      </c>
      <c r="N274" s="115">
        <f>IF(N$233&gt;0, IF(O$233=0, 'Adjustment for previous period'!$G84, 0), 0)</f>
        <v>0</v>
      </c>
      <c r="O274" s="115">
        <f>IF(O$233&gt;0, IF(P$233=0, 'Adjustment for previous period'!$G84, 0), 0)</f>
        <v>0</v>
      </c>
      <c r="P274" s="115">
        <f>IF(P$233&gt;0, IF(Q$233=0, 'Adjustment for previous period'!$G84, 0), 0)</f>
        <v>0</v>
      </c>
      <c r="Q274" s="115">
        <f>IF(Q$233&gt;0, IF(R$233=0, 'Adjustment for previous period'!$G84, 0), 0)</f>
        <v>0</v>
      </c>
      <c r="R274" s="9"/>
      <c r="S274" s="12"/>
      <c r="T274" s="12"/>
      <c r="U274" s="12"/>
      <c r="V274" s="12"/>
      <c r="W274" s="12"/>
      <c r="X274" s="12"/>
      <c r="Y274" s="12"/>
      <c r="Z274" s="12"/>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224"/>
      <c r="BK274" s="224"/>
      <c r="BL274" s="224"/>
    </row>
    <row r="275" spans="1:64" ht="12" hidden="1" customHeight="1" outlineLevel="1">
      <c r="A275" s="9"/>
      <c r="B275" s="9"/>
      <c r="C275" s="9"/>
      <c r="D275" s="271">
        <f>Asset10</f>
        <v>0</v>
      </c>
      <c r="E275" s="9"/>
      <c r="F275" s="9"/>
      <c r="G275" s="9"/>
      <c r="H275" s="115"/>
      <c r="I275" s="115"/>
      <c r="J275" s="115"/>
      <c r="K275" s="115"/>
      <c r="L275" s="115">
        <f>IF(L$233&gt;0, IF(M$233=0, 'Adjustment for previous period'!$G85, 0), 0)</f>
        <v>0</v>
      </c>
      <c r="M275" s="115">
        <f>IF(M$233&gt;0, IF(N$233=0, 'Adjustment for previous period'!$G85, 0), 0)</f>
        <v>0</v>
      </c>
      <c r="N275" s="115">
        <f>IF(N$233&gt;0, IF(O$233=0, 'Adjustment for previous period'!$G85, 0), 0)</f>
        <v>0</v>
      </c>
      <c r="O275" s="115">
        <f>IF(O$233&gt;0, IF(P$233=0, 'Adjustment for previous period'!$G85, 0), 0)</f>
        <v>0</v>
      </c>
      <c r="P275" s="115">
        <f>IF(P$233&gt;0, IF(Q$233=0, 'Adjustment for previous period'!$G85, 0), 0)</f>
        <v>0</v>
      </c>
      <c r="Q275" s="115">
        <f>IF(Q$233&gt;0, IF(R$233=0, 'Adjustment for previous period'!$G85, 0), 0)</f>
        <v>0</v>
      </c>
      <c r="R275" s="9"/>
      <c r="S275" s="12"/>
      <c r="T275" s="12"/>
      <c r="U275" s="12"/>
      <c r="V275" s="12"/>
      <c r="W275" s="12"/>
      <c r="X275" s="12"/>
      <c r="Y275" s="12"/>
      <c r="Z275" s="12"/>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224"/>
      <c r="BK275" s="224"/>
      <c r="BL275" s="224"/>
    </row>
    <row r="276" spans="1:64" ht="12" hidden="1" customHeight="1" outlineLevel="1">
      <c r="A276" s="9"/>
      <c r="B276" s="9"/>
      <c r="C276" s="9"/>
      <c r="D276" s="271">
        <f>Asset11</f>
        <v>0</v>
      </c>
      <c r="E276" s="9"/>
      <c r="F276" s="9"/>
      <c r="G276" s="9"/>
      <c r="H276" s="115"/>
      <c r="I276" s="115"/>
      <c r="J276" s="115"/>
      <c r="K276" s="115"/>
      <c r="L276" s="115">
        <f>IF(L$233&gt;0, IF(M$233=0, 'Adjustment for previous period'!$G86, 0), 0)</f>
        <v>0</v>
      </c>
      <c r="M276" s="115">
        <f>IF(M$233&gt;0, IF(N$233=0, 'Adjustment for previous period'!$G86, 0), 0)</f>
        <v>0</v>
      </c>
      <c r="N276" s="115">
        <f>IF(N$233&gt;0, IF(O$233=0, 'Adjustment for previous period'!$G86, 0), 0)</f>
        <v>0</v>
      </c>
      <c r="O276" s="115">
        <f>IF(O$233&gt;0, IF(P$233=0, 'Adjustment for previous period'!$G86, 0), 0)</f>
        <v>0</v>
      </c>
      <c r="P276" s="115">
        <f>IF(P$233&gt;0, IF(Q$233=0, 'Adjustment for previous period'!$G86, 0), 0)</f>
        <v>0</v>
      </c>
      <c r="Q276" s="115">
        <f>IF(Q$233&gt;0, IF(R$233=0, 'Adjustment for previous period'!$G86, 0), 0)</f>
        <v>0</v>
      </c>
      <c r="R276" s="9"/>
      <c r="S276" s="12"/>
      <c r="T276" s="12"/>
      <c r="U276" s="12"/>
      <c r="V276" s="12"/>
      <c r="W276" s="12"/>
      <c r="X276" s="12"/>
      <c r="Y276" s="12"/>
      <c r="Z276" s="12"/>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row>
    <row r="277" spans="1:64" ht="12" hidden="1" customHeight="1" outlineLevel="1">
      <c r="A277" s="9"/>
      <c r="B277" s="9"/>
      <c r="C277" s="9"/>
      <c r="D277" s="271">
        <f>Asset12</f>
        <v>0</v>
      </c>
      <c r="E277" s="9"/>
      <c r="F277" s="9"/>
      <c r="G277" s="9"/>
      <c r="H277" s="115"/>
      <c r="I277" s="115"/>
      <c r="J277" s="115"/>
      <c r="K277" s="115"/>
      <c r="L277" s="115">
        <f>IF(L$233&gt;0, IF(M$233=0, 'Adjustment for previous period'!$G87, 0), 0)</f>
        <v>0</v>
      </c>
      <c r="M277" s="115">
        <f>IF(M$233&gt;0, IF(N$233=0, 'Adjustment for previous period'!$G87, 0), 0)</f>
        <v>0</v>
      </c>
      <c r="N277" s="115">
        <f>IF(N$233&gt;0, IF(O$233=0, 'Adjustment for previous period'!$G87, 0), 0)</f>
        <v>0</v>
      </c>
      <c r="O277" s="115">
        <f>IF(O$233&gt;0, IF(P$233=0, 'Adjustment for previous period'!$G87, 0), 0)</f>
        <v>0</v>
      </c>
      <c r="P277" s="115">
        <f>IF(P$233&gt;0, IF(Q$233=0, 'Adjustment for previous period'!$G87, 0), 0)</f>
        <v>0</v>
      </c>
      <c r="Q277" s="115">
        <f>IF(Q$233&gt;0, IF(R$233=0, 'Adjustment for previous period'!$G87, 0), 0)</f>
        <v>0</v>
      </c>
      <c r="R277" s="9"/>
      <c r="S277" s="12"/>
      <c r="T277" s="12"/>
      <c r="U277" s="12"/>
      <c r="V277" s="12"/>
      <c r="W277" s="12"/>
      <c r="X277" s="12"/>
      <c r="Y277" s="12"/>
      <c r="Z277" s="12"/>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224"/>
      <c r="BK277" s="224"/>
      <c r="BL277" s="224"/>
    </row>
    <row r="278" spans="1:64" ht="12" hidden="1" customHeight="1" outlineLevel="1">
      <c r="A278" s="9"/>
      <c r="B278" s="9"/>
      <c r="C278" s="9"/>
      <c r="D278" s="271">
        <f>Asset13</f>
        <v>0</v>
      </c>
      <c r="E278" s="9"/>
      <c r="F278" s="9"/>
      <c r="G278" s="9"/>
      <c r="H278" s="115"/>
      <c r="I278" s="115"/>
      <c r="J278" s="115"/>
      <c r="K278" s="115"/>
      <c r="L278" s="115">
        <f>IF(L$233&gt;0, IF(M$233=0, 'Adjustment for previous period'!$G88, 0), 0)</f>
        <v>0</v>
      </c>
      <c r="M278" s="115">
        <f>IF(M$233&gt;0, IF(N$233=0, 'Adjustment for previous period'!$G88, 0), 0)</f>
        <v>0</v>
      </c>
      <c r="N278" s="115">
        <f>IF(N$233&gt;0, IF(O$233=0, 'Adjustment for previous period'!$G88, 0), 0)</f>
        <v>0</v>
      </c>
      <c r="O278" s="115">
        <f>IF(O$233&gt;0, IF(P$233=0, 'Adjustment for previous period'!$G88, 0), 0)</f>
        <v>0</v>
      </c>
      <c r="P278" s="115">
        <f>IF(P$233&gt;0, IF(Q$233=0, 'Adjustment for previous period'!$G88, 0), 0)</f>
        <v>0</v>
      </c>
      <c r="Q278" s="115">
        <f>IF(Q$233&gt;0, IF(R$233=0, 'Adjustment for previous period'!$G88, 0), 0)</f>
        <v>0</v>
      </c>
      <c r="R278" s="9"/>
      <c r="S278" s="12"/>
      <c r="T278" s="12"/>
      <c r="U278" s="12"/>
      <c r="V278" s="12"/>
      <c r="W278" s="12"/>
      <c r="X278" s="12"/>
      <c r="Y278" s="12"/>
      <c r="Z278" s="12"/>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224"/>
      <c r="BK278" s="224"/>
      <c r="BL278" s="224"/>
    </row>
    <row r="279" spans="1:64" ht="12" hidden="1" customHeight="1" outlineLevel="1">
      <c r="A279" s="9"/>
      <c r="B279" s="9"/>
      <c r="C279" s="9"/>
      <c r="D279" s="271">
        <f>Asset14</f>
        <v>0</v>
      </c>
      <c r="E279" s="9"/>
      <c r="F279" s="9"/>
      <c r="G279" s="9"/>
      <c r="H279" s="115"/>
      <c r="I279" s="115"/>
      <c r="J279" s="115"/>
      <c r="K279" s="115"/>
      <c r="L279" s="115">
        <f>IF(L$233&gt;0, IF(M$233=0, 'Adjustment for previous period'!$G89, 0), 0)</f>
        <v>0</v>
      </c>
      <c r="M279" s="115">
        <f>IF(M$233&gt;0, IF(N$233=0, 'Adjustment for previous period'!$G89, 0), 0)</f>
        <v>0</v>
      </c>
      <c r="N279" s="115">
        <f>IF(N$233&gt;0, IF(O$233=0, 'Adjustment for previous period'!$G89, 0), 0)</f>
        <v>0</v>
      </c>
      <c r="O279" s="115">
        <f>IF(O$233&gt;0, IF(P$233=0, 'Adjustment for previous period'!$G89, 0), 0)</f>
        <v>0</v>
      </c>
      <c r="P279" s="115">
        <f>IF(P$233&gt;0, IF(Q$233=0, 'Adjustment for previous period'!$G89, 0), 0)</f>
        <v>0</v>
      </c>
      <c r="Q279" s="115">
        <f>IF(Q$233&gt;0, IF(R$233=0, 'Adjustment for previous period'!$G89, 0), 0)</f>
        <v>0</v>
      </c>
      <c r="R279" s="9"/>
      <c r="S279" s="12"/>
      <c r="T279" s="12"/>
      <c r="U279" s="12"/>
      <c r="V279" s="12"/>
      <c r="W279" s="12"/>
      <c r="X279" s="12"/>
      <c r="Y279" s="12"/>
      <c r="Z279" s="12"/>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224"/>
      <c r="BK279" s="224"/>
      <c r="BL279" s="224"/>
    </row>
    <row r="280" spans="1:64" ht="12" hidden="1" customHeight="1" outlineLevel="1">
      <c r="A280" s="9"/>
      <c r="B280" s="9"/>
      <c r="C280" s="9"/>
      <c r="D280" s="271">
        <f>Asset15</f>
        <v>0</v>
      </c>
      <c r="E280" s="9"/>
      <c r="F280" s="9"/>
      <c r="G280" s="9"/>
      <c r="H280" s="115"/>
      <c r="I280" s="115"/>
      <c r="J280" s="115"/>
      <c r="K280" s="115"/>
      <c r="L280" s="115">
        <f>IF(L$233&gt;0, IF(M$233=0, 'Adjustment for previous period'!$G90, 0), 0)</f>
        <v>0</v>
      </c>
      <c r="M280" s="115">
        <f>IF(M$233&gt;0, IF(N$233=0, 'Adjustment for previous period'!$G90, 0), 0)</f>
        <v>0</v>
      </c>
      <c r="N280" s="115">
        <f>IF(N$233&gt;0, IF(O$233=0, 'Adjustment for previous period'!$G90, 0), 0)</f>
        <v>0</v>
      </c>
      <c r="O280" s="115">
        <f>IF(O$233&gt;0, IF(P$233=0, 'Adjustment for previous period'!$G90, 0), 0)</f>
        <v>0</v>
      </c>
      <c r="P280" s="115">
        <f>IF(P$233&gt;0, IF(Q$233=0, 'Adjustment for previous period'!$G90, 0), 0)</f>
        <v>0</v>
      </c>
      <c r="Q280" s="115">
        <f>IF(Q$233&gt;0, IF(R$233=0, 'Adjustment for previous period'!$G90, 0), 0)</f>
        <v>0</v>
      </c>
      <c r="R280" s="9"/>
      <c r="S280" s="12"/>
      <c r="T280" s="12"/>
      <c r="U280" s="12"/>
      <c r="V280" s="12"/>
      <c r="W280" s="12"/>
      <c r="X280" s="12"/>
      <c r="Y280" s="12"/>
      <c r="Z280" s="12"/>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224"/>
      <c r="BK280" s="224"/>
      <c r="BL280" s="224"/>
    </row>
    <row r="281" spans="1:64" ht="12" hidden="1" customHeight="1" outlineLevel="1">
      <c r="A281" s="9"/>
      <c r="B281" s="9"/>
      <c r="C281" s="9"/>
      <c r="D281" s="271">
        <f>Asset16</f>
        <v>0</v>
      </c>
      <c r="E281" s="9"/>
      <c r="F281" s="9"/>
      <c r="G281" s="9"/>
      <c r="H281" s="115"/>
      <c r="I281" s="115"/>
      <c r="J281" s="115"/>
      <c r="K281" s="115"/>
      <c r="L281" s="115">
        <f>IF(L$233&gt;0, IF(M$233=0, 'Adjustment for previous period'!$G91, 0), 0)</f>
        <v>0</v>
      </c>
      <c r="M281" s="115">
        <f>IF(M$233&gt;0, IF(N$233=0, 'Adjustment for previous period'!$G91, 0), 0)</f>
        <v>0</v>
      </c>
      <c r="N281" s="115">
        <f>IF(N$233&gt;0, IF(O$233=0, 'Adjustment for previous period'!$G91, 0), 0)</f>
        <v>0</v>
      </c>
      <c r="O281" s="115">
        <f>IF(O$233&gt;0, IF(P$233=0, 'Adjustment for previous period'!$G91, 0), 0)</f>
        <v>0</v>
      </c>
      <c r="P281" s="115">
        <f>IF(P$233&gt;0, IF(Q$233=0, 'Adjustment for previous period'!$G91, 0), 0)</f>
        <v>0</v>
      </c>
      <c r="Q281" s="115">
        <f>IF(Q$233&gt;0, IF(R$233=0, 'Adjustment for previous period'!$G91, 0), 0)</f>
        <v>0</v>
      </c>
      <c r="R281" s="9"/>
      <c r="S281" s="12"/>
      <c r="T281" s="12"/>
      <c r="U281" s="12"/>
      <c r="V281" s="12"/>
      <c r="W281" s="12"/>
      <c r="X281" s="12"/>
      <c r="Y281" s="12"/>
      <c r="Z281" s="12"/>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224"/>
      <c r="BK281" s="224"/>
      <c r="BL281" s="224"/>
    </row>
    <row r="282" spans="1:64" ht="12" hidden="1" customHeight="1" outlineLevel="1">
      <c r="A282" s="9"/>
      <c r="B282" s="9"/>
      <c r="C282" s="9"/>
      <c r="D282" s="271">
        <f>Asset17</f>
        <v>0</v>
      </c>
      <c r="E282" s="9"/>
      <c r="F282" s="9"/>
      <c r="G282" s="9"/>
      <c r="H282" s="115"/>
      <c r="I282" s="115"/>
      <c r="J282" s="115"/>
      <c r="K282" s="115"/>
      <c r="L282" s="115">
        <f>IF(L$233&gt;0, IF(M$233=0, 'Adjustment for previous period'!$G92, 0), 0)</f>
        <v>0</v>
      </c>
      <c r="M282" s="115">
        <f>IF(M$233&gt;0, IF(N$233=0, 'Adjustment for previous period'!$G92, 0), 0)</f>
        <v>0</v>
      </c>
      <c r="N282" s="115">
        <f>IF(N$233&gt;0, IF(O$233=0, 'Adjustment for previous period'!$G92, 0), 0)</f>
        <v>0</v>
      </c>
      <c r="O282" s="115">
        <f>IF(O$233&gt;0, IF(P$233=0, 'Adjustment for previous period'!$G92, 0), 0)</f>
        <v>0</v>
      </c>
      <c r="P282" s="115">
        <f>IF(P$233&gt;0, IF(Q$233=0, 'Adjustment for previous period'!$G92, 0), 0)</f>
        <v>0</v>
      </c>
      <c r="Q282" s="115">
        <f>IF(Q$233&gt;0, IF(R$233=0, 'Adjustment for previous period'!$G92, 0), 0)</f>
        <v>0</v>
      </c>
      <c r="R282" s="9"/>
      <c r="S282" s="12"/>
      <c r="T282" s="12"/>
      <c r="U282" s="12"/>
      <c r="V282" s="12"/>
      <c r="W282" s="12"/>
      <c r="X282" s="12"/>
      <c r="Y282" s="12"/>
      <c r="Z282" s="12"/>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224"/>
      <c r="BK282" s="224"/>
      <c r="BL282" s="224"/>
    </row>
    <row r="283" spans="1:64" ht="12" hidden="1" customHeight="1" outlineLevel="1">
      <c r="A283" s="9"/>
      <c r="B283" s="9"/>
      <c r="C283" s="9"/>
      <c r="D283" s="271">
        <f>Asset18</f>
        <v>0</v>
      </c>
      <c r="E283" s="9"/>
      <c r="F283" s="9"/>
      <c r="G283" s="9"/>
      <c r="H283" s="115"/>
      <c r="I283" s="115"/>
      <c r="J283" s="115"/>
      <c r="K283" s="115"/>
      <c r="L283" s="115">
        <f>IF(L$233&gt;0, IF(M$233=0, 'Adjustment for previous period'!$G93, 0), 0)</f>
        <v>0</v>
      </c>
      <c r="M283" s="115">
        <f>IF(M$233&gt;0, IF(N$233=0, 'Adjustment for previous period'!$G93, 0), 0)</f>
        <v>0</v>
      </c>
      <c r="N283" s="115">
        <f>IF(N$233&gt;0, IF(O$233=0, 'Adjustment for previous period'!$G93, 0), 0)</f>
        <v>0</v>
      </c>
      <c r="O283" s="115">
        <f>IF(O$233&gt;0, IF(P$233=0, 'Adjustment for previous period'!$G93, 0), 0)</f>
        <v>0</v>
      </c>
      <c r="P283" s="115">
        <f>IF(P$233&gt;0, IF(Q$233=0, 'Adjustment for previous period'!$G93, 0), 0)</f>
        <v>0</v>
      </c>
      <c r="Q283" s="115">
        <f>IF(Q$233&gt;0, IF(R$233=0, 'Adjustment for previous period'!$G93, 0), 0)</f>
        <v>0</v>
      </c>
      <c r="R283" s="9"/>
      <c r="S283" s="12"/>
      <c r="T283" s="12"/>
      <c r="U283" s="12"/>
      <c r="V283" s="12"/>
      <c r="W283" s="12"/>
      <c r="X283" s="12"/>
      <c r="Y283" s="12"/>
      <c r="Z283" s="12"/>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row>
    <row r="284" spans="1:64" ht="12" hidden="1" customHeight="1" outlineLevel="1">
      <c r="A284" s="9"/>
      <c r="B284" s="9"/>
      <c r="C284" s="9"/>
      <c r="D284" s="271">
        <f>Asset19</f>
        <v>0</v>
      </c>
      <c r="E284" s="9"/>
      <c r="F284" s="9"/>
      <c r="G284" s="9"/>
      <c r="H284" s="115"/>
      <c r="I284" s="115"/>
      <c r="J284" s="115"/>
      <c r="K284" s="115"/>
      <c r="L284" s="115">
        <f>IF(L$233&gt;0, IF(M$233=0, 'Adjustment for previous period'!$G94, 0), 0)</f>
        <v>0</v>
      </c>
      <c r="M284" s="115">
        <f>IF(M$233&gt;0, IF(N$233=0, 'Adjustment for previous period'!$G94, 0), 0)</f>
        <v>0</v>
      </c>
      <c r="N284" s="115">
        <f>IF(N$233&gt;0, IF(O$233=0, 'Adjustment for previous period'!$G94, 0), 0)</f>
        <v>0</v>
      </c>
      <c r="O284" s="115">
        <f>IF(O$233&gt;0, IF(P$233=0, 'Adjustment for previous period'!$G94, 0), 0)</f>
        <v>0</v>
      </c>
      <c r="P284" s="115">
        <f>IF(P$233&gt;0, IF(Q$233=0, 'Adjustment for previous period'!$G94, 0), 0)</f>
        <v>0</v>
      </c>
      <c r="Q284" s="115">
        <f>IF(Q$233&gt;0, IF(R$233=0, 'Adjustment for previous period'!$G94, 0), 0)</f>
        <v>0</v>
      </c>
      <c r="R284" s="9"/>
      <c r="S284" s="12"/>
      <c r="T284" s="12"/>
      <c r="U284" s="12"/>
      <c r="V284" s="12"/>
      <c r="W284" s="12"/>
      <c r="X284" s="12"/>
      <c r="Y284" s="12"/>
      <c r="Z284" s="12"/>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row>
    <row r="285" spans="1:64" ht="12" hidden="1" customHeight="1" outlineLevel="1">
      <c r="A285" s="9"/>
      <c r="B285" s="9"/>
      <c r="C285" s="9"/>
      <c r="D285" s="271">
        <f>Asset20</f>
        <v>0</v>
      </c>
      <c r="E285" s="9"/>
      <c r="F285" s="9"/>
      <c r="G285" s="9"/>
      <c r="H285" s="115"/>
      <c r="I285" s="115"/>
      <c r="J285" s="115"/>
      <c r="K285" s="115"/>
      <c r="L285" s="115">
        <f>IF(L$233&gt;0, IF(M$233=0, 'Adjustment for previous period'!$G95, 0), 0)</f>
        <v>0</v>
      </c>
      <c r="M285" s="115">
        <f>IF(M$233&gt;0, IF(N$233=0, 'Adjustment for previous period'!$G95, 0), 0)</f>
        <v>0</v>
      </c>
      <c r="N285" s="115">
        <f>IF(N$233&gt;0, IF(O$233=0, 'Adjustment for previous period'!$G95, 0), 0)</f>
        <v>0</v>
      </c>
      <c r="O285" s="115">
        <f>IF(O$233&gt;0, IF(P$233=0, 'Adjustment for previous period'!$G95, 0), 0)</f>
        <v>0</v>
      </c>
      <c r="P285" s="115">
        <f>IF(P$233&gt;0, IF(Q$233=0, 'Adjustment for previous period'!$G95, 0), 0)</f>
        <v>0</v>
      </c>
      <c r="Q285" s="115">
        <f>IF(Q$233&gt;0, IF(R$233=0, 'Adjustment for previous period'!$G95, 0), 0)</f>
        <v>0</v>
      </c>
      <c r="R285" s="9"/>
      <c r="S285" s="12"/>
      <c r="T285" s="12"/>
      <c r="U285" s="12"/>
      <c r="V285" s="12"/>
      <c r="W285" s="12"/>
      <c r="X285" s="12"/>
      <c r="Y285" s="12"/>
      <c r="Z285" s="12"/>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224"/>
      <c r="BK285" s="224"/>
      <c r="BL285" s="224"/>
    </row>
    <row r="286" spans="1:64" ht="12" hidden="1" customHeight="1" outlineLevel="1">
      <c r="A286" s="9"/>
      <c r="B286" s="9"/>
      <c r="C286" s="9"/>
      <c r="D286" s="271">
        <f>Asset21</f>
        <v>0</v>
      </c>
      <c r="E286" s="9"/>
      <c r="F286" s="9"/>
      <c r="G286" s="9"/>
      <c r="H286" s="115"/>
      <c r="I286" s="115"/>
      <c r="J286" s="115"/>
      <c r="K286" s="115"/>
      <c r="L286" s="115">
        <f>IF(L$233&gt;0, IF(M$233=0, 'Adjustment for previous period'!$G96, 0), 0)</f>
        <v>0</v>
      </c>
      <c r="M286" s="115">
        <f>IF(M$233&gt;0, IF(N$233=0, 'Adjustment for previous period'!$G96, 0), 0)</f>
        <v>0</v>
      </c>
      <c r="N286" s="115">
        <f>IF(N$233&gt;0, IF(O$233=0, 'Adjustment for previous period'!$G96, 0), 0)</f>
        <v>0</v>
      </c>
      <c r="O286" s="115">
        <f>IF(O$233&gt;0, IF(P$233=0, 'Adjustment for previous period'!$G96, 0), 0)</f>
        <v>0</v>
      </c>
      <c r="P286" s="115">
        <f>IF(P$233&gt;0, IF(Q$233=0, 'Adjustment for previous period'!$G96, 0), 0)</f>
        <v>0</v>
      </c>
      <c r="Q286" s="115">
        <f>IF(Q$233&gt;0, IF(R$233=0, 'Adjustment for previous period'!$G96, 0), 0)</f>
        <v>0</v>
      </c>
      <c r="R286" s="9"/>
      <c r="S286" s="12"/>
      <c r="T286" s="12"/>
      <c r="U286" s="12"/>
      <c r="V286" s="12"/>
      <c r="W286" s="12"/>
      <c r="X286" s="12"/>
      <c r="Y286" s="12"/>
      <c r="Z286" s="12"/>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224"/>
      <c r="BK286" s="224"/>
      <c r="BL286" s="224"/>
    </row>
    <row r="287" spans="1:64" ht="12" hidden="1" customHeight="1" outlineLevel="1">
      <c r="A287" s="9"/>
      <c r="B287" s="9"/>
      <c r="C287" s="9"/>
      <c r="D287" s="271">
        <f>Asset22</f>
        <v>0</v>
      </c>
      <c r="E287" s="9"/>
      <c r="F287" s="9"/>
      <c r="G287" s="9"/>
      <c r="H287" s="115"/>
      <c r="I287" s="115"/>
      <c r="J287" s="115"/>
      <c r="K287" s="115"/>
      <c r="L287" s="115">
        <f>IF(L$233&gt;0, IF(M$233=0, 'Adjustment for previous period'!$G97, 0), 0)</f>
        <v>0</v>
      </c>
      <c r="M287" s="115">
        <f>IF(M$233&gt;0, IF(N$233=0, 'Adjustment for previous period'!$G97, 0), 0)</f>
        <v>0</v>
      </c>
      <c r="N287" s="115">
        <f>IF(N$233&gt;0, IF(O$233=0, 'Adjustment for previous period'!$G97, 0), 0)</f>
        <v>0</v>
      </c>
      <c r="O287" s="115">
        <f>IF(O$233&gt;0, IF(P$233=0, 'Adjustment for previous period'!$G97, 0), 0)</f>
        <v>0</v>
      </c>
      <c r="P287" s="115">
        <f>IF(P$233&gt;0, IF(Q$233=0, 'Adjustment for previous period'!$G97, 0), 0)</f>
        <v>0</v>
      </c>
      <c r="Q287" s="115">
        <f>IF(Q$233&gt;0, IF(R$233=0, 'Adjustment for previous period'!$G97, 0), 0)</f>
        <v>0</v>
      </c>
      <c r="R287" s="9"/>
      <c r="S287" s="12"/>
      <c r="T287" s="12"/>
      <c r="U287" s="12"/>
      <c r="V287" s="12"/>
      <c r="W287" s="12"/>
      <c r="X287" s="12"/>
      <c r="Y287" s="12"/>
      <c r="Z287" s="12"/>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224"/>
      <c r="BK287" s="224"/>
      <c r="BL287" s="224"/>
    </row>
    <row r="288" spans="1:64" ht="12" hidden="1" customHeight="1" outlineLevel="1">
      <c r="A288" s="9"/>
      <c r="B288" s="9"/>
      <c r="C288" s="9"/>
      <c r="D288" s="271">
        <f>Asset23</f>
        <v>0</v>
      </c>
      <c r="E288" s="9"/>
      <c r="F288" s="9"/>
      <c r="G288" s="9"/>
      <c r="H288" s="115"/>
      <c r="I288" s="115"/>
      <c r="J288" s="115"/>
      <c r="K288" s="115"/>
      <c r="L288" s="115">
        <f>IF(L$233&gt;0, IF(M$233=0, 'Adjustment for previous period'!$G98, 0), 0)</f>
        <v>0</v>
      </c>
      <c r="M288" s="115">
        <f>IF(M$233&gt;0, IF(N$233=0, 'Adjustment for previous period'!$G98, 0), 0)</f>
        <v>0</v>
      </c>
      <c r="N288" s="115">
        <f>IF(N$233&gt;0, IF(O$233=0, 'Adjustment for previous period'!$G98, 0), 0)</f>
        <v>0</v>
      </c>
      <c r="O288" s="115">
        <f>IF(O$233&gt;0, IF(P$233=0, 'Adjustment for previous period'!$G98, 0), 0)</f>
        <v>0</v>
      </c>
      <c r="P288" s="115">
        <f>IF(P$233&gt;0, IF(Q$233=0, 'Adjustment for previous period'!$G98, 0), 0)</f>
        <v>0</v>
      </c>
      <c r="Q288" s="115">
        <f>IF(Q$233&gt;0, IF(R$233=0, 'Adjustment for previous period'!$G98, 0), 0)</f>
        <v>0</v>
      </c>
      <c r="R288" s="9"/>
      <c r="S288" s="12"/>
      <c r="T288" s="12"/>
      <c r="U288" s="12"/>
      <c r="V288" s="12"/>
      <c r="W288" s="12"/>
      <c r="X288" s="12"/>
      <c r="Y288" s="12"/>
      <c r="Z288" s="12"/>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224"/>
      <c r="BK288" s="224"/>
      <c r="BL288" s="224"/>
    </row>
    <row r="289" spans="1:64" ht="12" hidden="1" customHeight="1" outlineLevel="1">
      <c r="A289" s="9"/>
      <c r="B289" s="9"/>
      <c r="C289" s="9"/>
      <c r="D289" s="271">
        <f>Asset24</f>
        <v>0</v>
      </c>
      <c r="E289" s="9"/>
      <c r="F289" s="9"/>
      <c r="G289" s="9"/>
      <c r="H289" s="115"/>
      <c r="I289" s="115"/>
      <c r="J289" s="115"/>
      <c r="K289" s="115"/>
      <c r="L289" s="115">
        <f>IF(L$233&gt;0, IF(M$233=0, 'Adjustment for previous period'!$G99, 0), 0)</f>
        <v>0</v>
      </c>
      <c r="M289" s="115">
        <f>IF(M$233&gt;0, IF(N$233=0, 'Adjustment for previous period'!$G99, 0), 0)</f>
        <v>0</v>
      </c>
      <c r="N289" s="115">
        <f>IF(N$233&gt;0, IF(O$233=0, 'Adjustment for previous period'!$G99, 0), 0)</f>
        <v>0</v>
      </c>
      <c r="O289" s="115">
        <f>IF(O$233&gt;0, IF(P$233=0, 'Adjustment for previous period'!$G99, 0), 0)</f>
        <v>0</v>
      </c>
      <c r="P289" s="115">
        <f>IF(P$233&gt;0, IF(Q$233=0, 'Adjustment for previous period'!$G99, 0), 0)</f>
        <v>0</v>
      </c>
      <c r="Q289" s="115">
        <f>IF(Q$233&gt;0, IF(R$233=0, 'Adjustment for previous period'!$G99, 0), 0)</f>
        <v>0</v>
      </c>
      <c r="R289" s="9"/>
      <c r="S289" s="12"/>
      <c r="T289" s="12"/>
      <c r="U289" s="12"/>
      <c r="V289" s="12"/>
      <c r="W289" s="12"/>
      <c r="X289" s="12"/>
      <c r="Y289" s="12"/>
      <c r="Z289" s="12"/>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row>
    <row r="290" spans="1:64" ht="12" hidden="1" customHeight="1" outlineLevel="1">
      <c r="A290" s="9"/>
      <c r="B290" s="9"/>
      <c r="C290" s="9"/>
      <c r="D290" s="271">
        <f>Asset25</f>
        <v>0</v>
      </c>
      <c r="E290" s="9"/>
      <c r="F290" s="9"/>
      <c r="G290" s="9"/>
      <c r="H290" s="115"/>
      <c r="I290" s="115"/>
      <c r="J290" s="115"/>
      <c r="K290" s="115"/>
      <c r="L290" s="115">
        <f>IF(L$233&gt;0, IF(M$233=0, 'Adjustment for previous period'!$G100, 0), 0)</f>
        <v>0</v>
      </c>
      <c r="M290" s="115">
        <f>IF(M$233&gt;0, IF(N$233=0, 'Adjustment for previous period'!$G100, 0), 0)</f>
        <v>0</v>
      </c>
      <c r="N290" s="115">
        <f>IF(N$233&gt;0, IF(O$233=0, 'Adjustment for previous period'!$G100, 0), 0)</f>
        <v>0</v>
      </c>
      <c r="O290" s="115">
        <f>IF(O$233&gt;0, IF(P$233=0, 'Adjustment for previous period'!$G100, 0), 0)</f>
        <v>0</v>
      </c>
      <c r="P290" s="115">
        <f>IF(P$233&gt;0, IF(Q$233=0, 'Adjustment for previous period'!$G100, 0), 0)</f>
        <v>0</v>
      </c>
      <c r="Q290" s="115">
        <f>IF(Q$233&gt;0, IF(R$233=0, 'Adjustment for previous period'!$G100, 0), 0)</f>
        <v>0</v>
      </c>
      <c r="R290" s="9"/>
      <c r="S290" s="12"/>
      <c r="T290" s="12"/>
      <c r="U290" s="12"/>
      <c r="V290" s="12"/>
      <c r="W290" s="12"/>
      <c r="X290" s="12"/>
      <c r="Y290" s="12"/>
      <c r="Z290" s="12"/>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row>
    <row r="291" spans="1:64" ht="12" hidden="1" customHeight="1" outlineLevel="1">
      <c r="A291" s="9"/>
      <c r="B291" s="9"/>
      <c r="C291" s="9"/>
      <c r="D291" s="271">
        <f>Asset26</f>
        <v>0</v>
      </c>
      <c r="E291" s="9"/>
      <c r="F291" s="9"/>
      <c r="G291" s="9"/>
      <c r="H291" s="115"/>
      <c r="I291" s="115"/>
      <c r="J291" s="115"/>
      <c r="K291" s="115"/>
      <c r="L291" s="115">
        <f>IF(L$233&gt;0, IF(M$233=0, 'Adjustment for previous period'!$G101, 0), 0)</f>
        <v>0</v>
      </c>
      <c r="M291" s="115">
        <f>IF(M$233&gt;0, IF(N$233=0, 'Adjustment for previous period'!$G101, 0), 0)</f>
        <v>0</v>
      </c>
      <c r="N291" s="115">
        <f>IF(N$233&gt;0, IF(O$233=0, 'Adjustment for previous period'!$G101, 0), 0)</f>
        <v>0</v>
      </c>
      <c r="O291" s="115">
        <f>IF(O$233&gt;0, IF(P$233=0, 'Adjustment for previous period'!$G101, 0), 0)</f>
        <v>0</v>
      </c>
      <c r="P291" s="115">
        <f>IF(P$233&gt;0, IF(Q$233=0, 'Adjustment for previous period'!$G101, 0), 0)</f>
        <v>0</v>
      </c>
      <c r="Q291" s="115">
        <f>IF(Q$233&gt;0, IF(R$233=0, 'Adjustment for previous period'!$G101, 0), 0)</f>
        <v>0</v>
      </c>
      <c r="R291" s="9"/>
      <c r="S291" s="12"/>
      <c r="T291" s="12"/>
      <c r="U291" s="12"/>
      <c r="V291" s="12"/>
      <c r="W291" s="12"/>
      <c r="X291" s="12"/>
      <c r="Y291" s="12"/>
      <c r="Z291" s="12"/>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224"/>
    </row>
    <row r="292" spans="1:64" ht="12" hidden="1" customHeight="1" outlineLevel="1">
      <c r="A292" s="9"/>
      <c r="B292" s="9"/>
      <c r="C292" s="9"/>
      <c r="D292" s="271">
        <f>Asset27</f>
        <v>0</v>
      </c>
      <c r="E292" s="9"/>
      <c r="F292" s="9"/>
      <c r="G292" s="9"/>
      <c r="H292" s="115"/>
      <c r="I292" s="115"/>
      <c r="J292" s="115"/>
      <c r="K292" s="115"/>
      <c r="L292" s="115">
        <f>IF(L$233&gt;0, IF(M$233=0, 'Adjustment for previous period'!$G102, 0), 0)</f>
        <v>0</v>
      </c>
      <c r="M292" s="115">
        <f>IF(M$233&gt;0, IF(N$233=0, 'Adjustment for previous period'!$G102, 0), 0)</f>
        <v>0</v>
      </c>
      <c r="N292" s="115">
        <f>IF(N$233&gt;0, IF(O$233=0, 'Adjustment for previous period'!$G102, 0), 0)</f>
        <v>0</v>
      </c>
      <c r="O292" s="115">
        <f>IF(O$233&gt;0, IF(P$233=0, 'Adjustment for previous period'!$G102, 0), 0)</f>
        <v>0</v>
      </c>
      <c r="P292" s="115">
        <f>IF(P$233&gt;0, IF(Q$233=0, 'Adjustment for previous period'!$G102, 0), 0)</f>
        <v>0</v>
      </c>
      <c r="Q292" s="115">
        <f>IF(Q$233&gt;0, IF(R$233=0, 'Adjustment for previous period'!$G102, 0), 0)</f>
        <v>0</v>
      </c>
      <c r="R292" s="9"/>
      <c r="S292" s="12"/>
      <c r="T292" s="12"/>
      <c r="U292" s="12"/>
      <c r="V292" s="12"/>
      <c r="W292" s="12"/>
      <c r="X292" s="12"/>
      <c r="Y292" s="12"/>
      <c r="Z292" s="12"/>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224"/>
      <c r="BK292" s="224"/>
      <c r="BL292" s="224"/>
    </row>
    <row r="293" spans="1:64" ht="12" hidden="1" customHeight="1" outlineLevel="1">
      <c r="A293" s="9"/>
      <c r="B293" s="9"/>
      <c r="C293" s="9"/>
      <c r="D293" s="271">
        <f>Asset28</f>
        <v>0</v>
      </c>
      <c r="E293" s="9"/>
      <c r="F293" s="9"/>
      <c r="G293" s="9"/>
      <c r="H293" s="115"/>
      <c r="I293" s="115"/>
      <c r="J293" s="115"/>
      <c r="K293" s="115"/>
      <c r="L293" s="115">
        <f>IF(L$233&gt;0, IF(M$233=0, 'Adjustment for previous period'!$G103, 0), 0)</f>
        <v>0</v>
      </c>
      <c r="M293" s="115">
        <f>IF(M$233&gt;0, IF(N$233=0, 'Adjustment for previous period'!$G103, 0), 0)</f>
        <v>0</v>
      </c>
      <c r="N293" s="115">
        <f>IF(N$233&gt;0, IF(O$233=0, 'Adjustment for previous period'!$G103, 0), 0)</f>
        <v>0</v>
      </c>
      <c r="O293" s="115">
        <f>IF(O$233&gt;0, IF(P$233=0, 'Adjustment for previous period'!$G103, 0), 0)</f>
        <v>0</v>
      </c>
      <c r="P293" s="115">
        <f>IF(P$233&gt;0, IF(Q$233=0, 'Adjustment for previous period'!$G103, 0), 0)</f>
        <v>0</v>
      </c>
      <c r="Q293" s="115">
        <f>IF(Q$233&gt;0, IF(R$233=0, 'Adjustment for previous period'!$G103, 0), 0)</f>
        <v>0</v>
      </c>
      <c r="R293" s="9"/>
      <c r="S293" s="12"/>
      <c r="T293" s="12"/>
      <c r="U293" s="12"/>
      <c r="V293" s="12"/>
      <c r="W293" s="12"/>
      <c r="X293" s="12"/>
      <c r="Y293" s="12"/>
      <c r="Z293" s="12"/>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224"/>
      <c r="BK293" s="224"/>
      <c r="BL293" s="224"/>
    </row>
    <row r="294" spans="1:64" ht="12" hidden="1" customHeight="1" outlineLevel="1">
      <c r="A294" s="9"/>
      <c r="B294" s="9"/>
      <c r="C294" s="9"/>
      <c r="D294" s="271">
        <f>Asset29</f>
        <v>0</v>
      </c>
      <c r="E294" s="9"/>
      <c r="F294" s="9"/>
      <c r="G294" s="9"/>
      <c r="H294" s="115"/>
      <c r="I294" s="115"/>
      <c r="J294" s="115"/>
      <c r="K294" s="115"/>
      <c r="L294" s="115">
        <f>IF(L$233&gt;0, IF(M$233=0, 'Adjustment for previous period'!$G104, 0), 0)</f>
        <v>0</v>
      </c>
      <c r="M294" s="115">
        <f>IF(M$233&gt;0, IF(N$233=0, 'Adjustment for previous period'!$G104, 0), 0)</f>
        <v>0</v>
      </c>
      <c r="N294" s="115">
        <f>IF(N$233&gt;0, IF(O$233=0, 'Adjustment for previous period'!$G104, 0), 0)</f>
        <v>0</v>
      </c>
      <c r="O294" s="115">
        <f>IF(O$233&gt;0, IF(P$233=0, 'Adjustment for previous period'!$G104, 0), 0)</f>
        <v>0</v>
      </c>
      <c r="P294" s="115">
        <f>IF(P$233&gt;0, IF(Q$233=0, 'Adjustment for previous period'!$G104, 0), 0)</f>
        <v>0</v>
      </c>
      <c r="Q294" s="115">
        <f>IF(Q$233&gt;0, IF(R$233=0, 'Adjustment for previous period'!$G104, 0), 0)</f>
        <v>0</v>
      </c>
      <c r="R294" s="9"/>
      <c r="S294" s="12"/>
      <c r="T294" s="12"/>
      <c r="U294" s="12"/>
      <c r="V294" s="12"/>
      <c r="W294" s="12"/>
      <c r="X294" s="12"/>
      <c r="Y294" s="12"/>
      <c r="Z294" s="12"/>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224"/>
      <c r="BK294" s="224"/>
      <c r="BL294" s="224"/>
    </row>
    <row r="295" spans="1:64" ht="12" hidden="1" customHeight="1" outlineLevel="1">
      <c r="A295" s="9"/>
      <c r="B295" s="9"/>
      <c r="C295" s="9"/>
      <c r="D295" s="271">
        <f>Asset30</f>
        <v>0</v>
      </c>
      <c r="E295" s="9"/>
      <c r="F295" s="9"/>
      <c r="G295" s="9"/>
      <c r="H295" s="115"/>
      <c r="I295" s="115"/>
      <c r="J295" s="115"/>
      <c r="K295" s="115"/>
      <c r="L295" s="115">
        <f>IF(L$233&gt;0, IF(M$233=0, 'Adjustment for previous period'!$G105, 0), 0)</f>
        <v>0</v>
      </c>
      <c r="M295" s="115">
        <f>IF(M$233&gt;0, IF(N$233=0, 'Adjustment for previous period'!$G105, 0), 0)</f>
        <v>0</v>
      </c>
      <c r="N295" s="115">
        <f>IF(N$233&gt;0, IF(O$233=0, 'Adjustment for previous period'!$G105, 0), 0)</f>
        <v>0</v>
      </c>
      <c r="O295" s="115">
        <f>IF(O$233&gt;0, IF(P$233=0, 'Adjustment for previous period'!$G105, 0), 0)</f>
        <v>0</v>
      </c>
      <c r="P295" s="115">
        <f>IF(P$233&gt;0, IF(Q$233=0, 'Adjustment for previous period'!$G105, 0), 0)</f>
        <v>0</v>
      </c>
      <c r="Q295" s="115">
        <f>IF(Q$233&gt;0, IF(R$233=0, 'Adjustment for previous period'!$G105, 0), 0)</f>
        <v>0</v>
      </c>
      <c r="R295" s="9"/>
      <c r="S295" s="12"/>
      <c r="T295" s="12"/>
      <c r="U295" s="12"/>
      <c r="V295" s="12"/>
      <c r="W295" s="12"/>
      <c r="X295" s="12"/>
      <c r="Y295" s="12"/>
      <c r="Z295" s="12"/>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224"/>
      <c r="BH295" s="224"/>
      <c r="BI295" s="224"/>
      <c r="BJ295" s="224"/>
      <c r="BK295" s="224"/>
      <c r="BL295" s="224"/>
    </row>
    <row r="296" spans="1:64" ht="12" customHeight="1" collapsed="1">
      <c r="A296" s="9"/>
      <c r="B296" s="9"/>
      <c r="C296" s="9"/>
      <c r="D296" s="9"/>
      <c r="E296" s="9"/>
      <c r="F296" s="9"/>
      <c r="G296" s="9"/>
      <c r="H296" s="9"/>
      <c r="I296" s="9"/>
      <c r="J296" s="9"/>
      <c r="K296" s="9"/>
      <c r="L296" s="9"/>
      <c r="M296" s="9"/>
      <c r="N296" s="12"/>
      <c r="O296" s="9"/>
      <c r="P296" s="9"/>
      <c r="Q296" s="9"/>
      <c r="R296" s="9"/>
      <c r="S296" s="12"/>
      <c r="T296" s="12"/>
      <c r="U296" s="12"/>
      <c r="V296" s="12"/>
      <c r="W296" s="12"/>
      <c r="X296" s="12"/>
      <c r="Y296" s="12"/>
      <c r="Z296" s="12"/>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224"/>
      <c r="BK296" s="224"/>
      <c r="BL296" s="224"/>
    </row>
    <row r="297" spans="1:64" ht="12" customHeight="1">
      <c r="A297" s="9"/>
      <c r="B297" s="12"/>
      <c r="C297" s="94" t="s">
        <v>32</v>
      </c>
      <c r="D297" s="12"/>
      <c r="E297" s="12"/>
      <c r="F297" s="12"/>
      <c r="G297" s="118"/>
      <c r="H297" s="122"/>
      <c r="I297" s="122"/>
      <c r="J297" s="122"/>
      <c r="K297" s="122"/>
      <c r="L297" s="122">
        <f t="shared" ref="L297:Q297" si="17">SUM(L298:L327)</f>
        <v>-10.734518459371975</v>
      </c>
      <c r="M297" s="122">
        <f t="shared" si="17"/>
        <v>0</v>
      </c>
      <c r="N297" s="122">
        <f t="shared" si="17"/>
        <v>0</v>
      </c>
      <c r="O297" s="122">
        <f t="shared" si="17"/>
        <v>0</v>
      </c>
      <c r="P297" s="122">
        <f t="shared" si="17"/>
        <v>0</v>
      </c>
      <c r="Q297" s="122">
        <f t="shared" si="17"/>
        <v>0</v>
      </c>
      <c r="R297" s="9"/>
      <c r="S297" s="12"/>
      <c r="T297" s="12"/>
      <c r="U297" s="12"/>
      <c r="V297" s="12"/>
      <c r="W297" s="12"/>
      <c r="X297" s="12"/>
      <c r="Y297" s="12"/>
      <c r="Z297" s="12"/>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224"/>
      <c r="BK297" s="224"/>
      <c r="BL297" s="224"/>
    </row>
    <row r="298" spans="1:64" ht="12" hidden="1" customHeight="1" outlineLevel="1">
      <c r="A298" s="9"/>
      <c r="B298" s="9"/>
      <c r="C298" s="9"/>
      <c r="D298" s="271" t="str">
        <f>Asset1</f>
        <v>Subtransmission</v>
      </c>
      <c r="E298" s="9"/>
      <c r="F298" s="9"/>
      <c r="G298" s="9"/>
      <c r="H298" s="115"/>
      <c r="I298" s="115"/>
      <c r="J298" s="115"/>
      <c r="K298" s="115"/>
      <c r="L298" s="115">
        <f>IF(M$233=0, 'Adjustment for previous period'!L109, 0)</f>
        <v>-0.78954109800236472</v>
      </c>
      <c r="M298" s="115">
        <f>IF(N$233=0, 'Adjustment for previous period'!M109, 0)</f>
        <v>0</v>
      </c>
      <c r="N298" s="115">
        <f>IF(O$233=0, 'Adjustment for previous period'!N109, 0)</f>
        <v>0</v>
      </c>
      <c r="O298" s="115">
        <f>IF(P$233=0, 'Adjustment for previous period'!O109, 0)</f>
        <v>0</v>
      </c>
      <c r="P298" s="115">
        <f>IF(Q$233=0, 'Adjustment for previous period'!P109, 0)</f>
        <v>0</v>
      </c>
      <c r="Q298" s="115">
        <f>IF(R$233=0, 'Adjustment for previous period'!Q109, 0)</f>
        <v>0</v>
      </c>
      <c r="R298" s="9"/>
      <c r="S298" s="12"/>
      <c r="T298" s="12"/>
      <c r="U298" s="12"/>
      <c r="V298" s="12"/>
      <c r="W298" s="12"/>
      <c r="X298" s="12"/>
      <c r="Y298" s="12"/>
      <c r="Z298" s="12"/>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224"/>
      <c r="BK298" s="224"/>
      <c r="BL298" s="224"/>
    </row>
    <row r="299" spans="1:64" hidden="1" outlineLevel="1">
      <c r="A299" s="9"/>
      <c r="B299" s="9"/>
      <c r="C299" s="9"/>
      <c r="D299" s="271" t="str">
        <f>Asset2</f>
        <v>Distribution system assets</v>
      </c>
      <c r="E299" s="9"/>
      <c r="F299" s="9"/>
      <c r="G299" s="9"/>
      <c r="H299" s="115"/>
      <c r="I299" s="115"/>
      <c r="J299" s="115"/>
      <c r="K299" s="115"/>
      <c r="L299" s="115">
        <f>IF(M$233=0, 'Adjustment for previous period'!L111, 0)</f>
        <v>-0.76894033107591053</v>
      </c>
      <c r="M299" s="115">
        <f>IF(N$233=0, 'Adjustment for previous period'!M111, 0)</f>
        <v>0</v>
      </c>
      <c r="N299" s="115">
        <f>IF(O$233=0, 'Adjustment for previous period'!N111, 0)</f>
        <v>0</v>
      </c>
      <c r="O299" s="115">
        <f>IF(P$233=0, 'Adjustment for previous period'!O111, 0)</f>
        <v>0</v>
      </c>
      <c r="P299" s="115">
        <f>IF(Q$233=0, 'Adjustment for previous period'!P111, 0)</f>
        <v>0</v>
      </c>
      <c r="Q299" s="115">
        <f>IF(R$233=0, 'Adjustment for previous period'!Q111, 0)</f>
        <v>0</v>
      </c>
      <c r="R299" s="29"/>
      <c r="S299" s="104"/>
      <c r="T299" s="104"/>
      <c r="U299" s="104"/>
      <c r="V299" s="104"/>
      <c r="W299" s="104"/>
      <c r="X299" s="104"/>
      <c r="Y299" s="104"/>
      <c r="Z299" s="104"/>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31"/>
      <c r="BK299" s="224"/>
      <c r="BL299" s="224"/>
    </row>
    <row r="300" spans="1:64" ht="12" hidden="1" customHeight="1" outlineLevel="1">
      <c r="A300" s="9"/>
      <c r="B300" s="9"/>
      <c r="C300" s="9"/>
      <c r="D300" s="271" t="str">
        <f>Asset3</f>
        <v>Standard metering</v>
      </c>
      <c r="E300" s="9"/>
      <c r="F300" s="9"/>
      <c r="G300" s="9"/>
      <c r="H300" s="115"/>
      <c r="I300" s="115"/>
      <c r="J300" s="115"/>
      <c r="K300" s="115"/>
      <c r="L300" s="115">
        <f>IF(M$233=0, 'Adjustment for previous period'!L113, 0)</f>
        <v>0</v>
      </c>
      <c r="M300" s="115">
        <f>IF(N$233=0, 'Adjustment for previous period'!M113, 0)</f>
        <v>0</v>
      </c>
      <c r="N300" s="115">
        <f>IF(O$233=0, 'Adjustment for previous period'!N113, 0)</f>
        <v>0</v>
      </c>
      <c r="O300" s="115">
        <f>IF(P$233=0, 'Adjustment for previous period'!O113, 0)</f>
        <v>0</v>
      </c>
      <c r="P300" s="115">
        <f>IF(Q$233=0, 'Adjustment for previous period'!P113, 0)</f>
        <v>0</v>
      </c>
      <c r="Q300" s="115">
        <f>IF(R$233=0, 'Adjustment for previous period'!Q113, 0)</f>
        <v>0</v>
      </c>
      <c r="R300" s="9"/>
      <c r="S300" s="12"/>
      <c r="T300" s="12"/>
      <c r="U300" s="12"/>
      <c r="V300" s="12"/>
      <c r="W300" s="12"/>
      <c r="X300" s="12"/>
      <c r="Y300" s="12"/>
      <c r="Z300" s="12"/>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224"/>
      <c r="BK300" s="224"/>
      <c r="BL300" s="224"/>
    </row>
    <row r="301" spans="1:64" ht="12" hidden="1" customHeight="1" outlineLevel="1">
      <c r="A301" s="9"/>
      <c r="B301" s="9"/>
      <c r="C301" s="9"/>
      <c r="D301" s="271" t="str">
        <f>Asset4</f>
        <v>Public lighting</v>
      </c>
      <c r="E301" s="9"/>
      <c r="F301" s="9"/>
      <c r="G301" s="9"/>
      <c r="H301" s="115"/>
      <c r="I301" s="115"/>
      <c r="J301" s="115"/>
      <c r="K301" s="115"/>
      <c r="L301" s="115">
        <f>IF(M$233=0, 'Adjustment for previous period'!L115, 0)</f>
        <v>0</v>
      </c>
      <c r="M301" s="115">
        <f>IF(N$233=0, 'Adjustment for previous period'!M115, 0)</f>
        <v>0</v>
      </c>
      <c r="N301" s="115">
        <f>IF(O$233=0, 'Adjustment for previous period'!N115, 0)</f>
        <v>0</v>
      </c>
      <c r="O301" s="115">
        <f>IF(P$233=0, 'Adjustment for previous period'!O115, 0)</f>
        <v>0</v>
      </c>
      <c r="P301" s="115">
        <f>IF(Q$233=0, 'Adjustment for previous period'!P115, 0)</f>
        <v>0</v>
      </c>
      <c r="Q301" s="115">
        <f>IF(R$233=0, 'Adjustment for previous period'!Q115, 0)</f>
        <v>0</v>
      </c>
      <c r="R301" s="9"/>
      <c r="S301" s="12"/>
      <c r="T301" s="12"/>
      <c r="U301" s="12"/>
      <c r="V301" s="12"/>
      <c r="W301" s="12"/>
      <c r="X301" s="12"/>
      <c r="Y301" s="12"/>
      <c r="Z301" s="12"/>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224"/>
      <c r="BK301" s="224"/>
      <c r="BL301" s="224"/>
    </row>
    <row r="302" spans="1:64" ht="12" hidden="1" customHeight="1" outlineLevel="1">
      <c r="A302" s="9"/>
      <c r="B302" s="9"/>
      <c r="C302" s="9"/>
      <c r="D302" s="271" t="str">
        <f>Asset5</f>
        <v>SCADA/Network control</v>
      </c>
      <c r="E302" s="9"/>
      <c r="F302" s="9"/>
      <c r="G302" s="9"/>
      <c r="H302" s="115"/>
      <c r="I302" s="115"/>
      <c r="J302" s="115"/>
      <c r="K302" s="115"/>
      <c r="L302" s="115">
        <f>IF(M$233=0, 'Adjustment for previous period'!L117, 0)</f>
        <v>0.67099988546057021</v>
      </c>
      <c r="M302" s="115">
        <f>IF(N$233=0, 'Adjustment for previous period'!M117, 0)</f>
        <v>0</v>
      </c>
      <c r="N302" s="115">
        <f>IF(O$233=0, 'Adjustment for previous period'!N117, 0)</f>
        <v>0</v>
      </c>
      <c r="O302" s="115">
        <f>IF(P$233=0, 'Adjustment for previous period'!O117, 0)</f>
        <v>0</v>
      </c>
      <c r="P302" s="115">
        <f>IF(Q$233=0, 'Adjustment for previous period'!P117, 0)</f>
        <v>0</v>
      </c>
      <c r="Q302" s="115">
        <f>IF(R$233=0, 'Adjustment for previous period'!Q117, 0)</f>
        <v>0</v>
      </c>
      <c r="R302" s="9"/>
      <c r="S302" s="12"/>
      <c r="T302" s="12"/>
      <c r="U302" s="12"/>
      <c r="V302" s="12"/>
      <c r="W302" s="12"/>
      <c r="X302" s="12"/>
      <c r="Y302" s="12"/>
      <c r="Z302" s="12"/>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224"/>
      <c r="BK302" s="224"/>
      <c r="BL302" s="224"/>
    </row>
    <row r="303" spans="1:64" hidden="1" outlineLevel="1">
      <c r="A303" s="9"/>
      <c r="B303" s="9"/>
      <c r="C303" s="9"/>
      <c r="D303" s="271" t="str">
        <f>Asset6</f>
        <v>Non-network general assets - IT</v>
      </c>
      <c r="E303" s="9"/>
      <c r="F303" s="9"/>
      <c r="G303" s="9"/>
      <c r="H303" s="115"/>
      <c r="I303" s="115"/>
      <c r="J303" s="115"/>
      <c r="K303" s="115"/>
      <c r="L303" s="115">
        <f>IF(M$233=0, 'Adjustment for previous period'!L119, 0)</f>
        <v>-8.0713866239553571</v>
      </c>
      <c r="M303" s="115">
        <f>IF(N$233=0, 'Adjustment for previous period'!M119, 0)</f>
        <v>0</v>
      </c>
      <c r="N303" s="115">
        <f>IF(O$233=0, 'Adjustment for previous period'!N119, 0)</f>
        <v>0</v>
      </c>
      <c r="O303" s="115">
        <f>IF(P$233=0, 'Adjustment for previous period'!O119, 0)</f>
        <v>0</v>
      </c>
      <c r="P303" s="115">
        <f>IF(Q$233=0, 'Adjustment for previous period'!P119, 0)</f>
        <v>0</v>
      </c>
      <c r="Q303" s="115">
        <f>IF(R$233=0, 'Adjustment for previous period'!Q119, 0)</f>
        <v>0</v>
      </c>
      <c r="R303" s="9"/>
      <c r="S303" s="12"/>
      <c r="T303" s="12"/>
      <c r="U303" s="12"/>
      <c r="V303" s="12"/>
      <c r="W303" s="12"/>
      <c r="X303" s="12"/>
      <c r="Y303" s="12"/>
      <c r="Z303" s="12"/>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224"/>
      <c r="BK303" s="224"/>
      <c r="BL303" s="224"/>
    </row>
    <row r="304" spans="1:64" hidden="1" outlineLevel="1">
      <c r="A304" s="9"/>
      <c r="B304" s="9"/>
      <c r="C304" s="9"/>
      <c r="D304" s="271" t="str">
        <f>Asset7</f>
        <v>Non-network general assets - Other</v>
      </c>
      <c r="E304" s="9"/>
      <c r="F304" s="9"/>
      <c r="G304" s="9"/>
      <c r="H304" s="115"/>
      <c r="I304" s="115"/>
      <c r="J304" s="115"/>
      <c r="K304" s="115"/>
      <c r="L304" s="115">
        <f>IF(M$233=0, 'Adjustment for previous period'!L121, 0)</f>
        <v>-1.7756502917989125</v>
      </c>
      <c r="M304" s="115">
        <f>IF(N$233=0, 'Adjustment for previous period'!M121, 0)</f>
        <v>0</v>
      </c>
      <c r="N304" s="115">
        <f>IF(O$233=0, 'Adjustment for previous period'!N121, 0)</f>
        <v>0</v>
      </c>
      <c r="O304" s="115">
        <f>IF(P$233=0, 'Adjustment for previous period'!O121, 0)</f>
        <v>0</v>
      </c>
      <c r="P304" s="115">
        <f>IF(Q$233=0, 'Adjustment for previous period'!P121, 0)</f>
        <v>0</v>
      </c>
      <c r="Q304" s="115">
        <f>IF(R$233=0, 'Adjustment for previous period'!Q121, 0)</f>
        <v>0</v>
      </c>
      <c r="R304" s="9"/>
      <c r="S304" s="9"/>
      <c r="T304" s="9"/>
      <c r="U304" s="9"/>
      <c r="V304" s="9"/>
      <c r="W304" s="9"/>
      <c r="X304" s="9"/>
      <c r="Y304" s="9"/>
      <c r="Z304" s="9"/>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row>
    <row r="305" spans="1:64" hidden="1" outlineLevel="1">
      <c r="A305" s="9"/>
      <c r="B305" s="9"/>
      <c r="C305" s="9"/>
      <c r="D305" s="271" t="str">
        <f>Asset8</f>
        <v>Equity Raising Costs</v>
      </c>
      <c r="E305" s="9"/>
      <c r="F305" s="9"/>
      <c r="G305" s="9"/>
      <c r="H305" s="115"/>
      <c r="I305" s="115"/>
      <c r="J305" s="115"/>
      <c r="K305" s="115"/>
      <c r="L305" s="115">
        <f>IF(M$233=0, 'Adjustment for previous period'!L123, 0)</f>
        <v>0</v>
      </c>
      <c r="M305" s="115">
        <f>IF(N$233=0, 'Adjustment for previous period'!M123, 0)</f>
        <v>0</v>
      </c>
      <c r="N305" s="115">
        <f>IF(O$233=0, 'Adjustment for previous period'!N123, 0)</f>
        <v>0</v>
      </c>
      <c r="O305" s="115">
        <f>IF(P$233=0, 'Adjustment for previous period'!O123, 0)</f>
        <v>0</v>
      </c>
      <c r="P305" s="115">
        <f>IF(Q$233=0, 'Adjustment for previous period'!P123, 0)</f>
        <v>0</v>
      </c>
      <c r="Q305" s="115">
        <f>IF(R$233=0, 'Adjustment for previous period'!Q123, 0)</f>
        <v>0</v>
      </c>
      <c r="R305" s="9"/>
      <c r="S305" s="9"/>
      <c r="T305" s="9"/>
      <c r="U305" s="9"/>
      <c r="V305" s="9"/>
      <c r="W305" s="9"/>
      <c r="X305" s="9"/>
      <c r="Y305" s="9"/>
      <c r="Z305" s="9"/>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row>
    <row r="306" spans="1:64" hidden="1" outlineLevel="1">
      <c r="A306" s="9"/>
      <c r="B306" s="9"/>
      <c r="C306" s="9"/>
      <c r="D306" s="271">
        <f>Asset9</f>
        <v>0</v>
      </c>
      <c r="E306" s="9"/>
      <c r="F306" s="9"/>
      <c r="G306" s="9"/>
      <c r="H306" s="115"/>
      <c r="I306" s="115"/>
      <c r="J306" s="115"/>
      <c r="K306" s="115"/>
      <c r="L306" s="115">
        <f>IF(M$233=0, 'Adjustment for previous period'!L125, 0)</f>
        <v>0</v>
      </c>
      <c r="M306" s="115">
        <f>IF(N$233=0, 'Adjustment for previous period'!M125, 0)</f>
        <v>0</v>
      </c>
      <c r="N306" s="115">
        <f>IF(O$233=0, 'Adjustment for previous period'!N125, 0)</f>
        <v>0</v>
      </c>
      <c r="O306" s="115">
        <f>IF(P$233=0, 'Adjustment for previous period'!O125, 0)</f>
        <v>0</v>
      </c>
      <c r="P306" s="115">
        <f>IF(Q$233=0, 'Adjustment for previous period'!P125, 0)</f>
        <v>0</v>
      </c>
      <c r="Q306" s="115">
        <f>IF(R$233=0, 'Adjustment for previous period'!Q125, 0)</f>
        <v>0</v>
      </c>
      <c r="R306" s="9"/>
      <c r="S306" s="9"/>
      <c r="T306" s="9"/>
      <c r="U306" s="9"/>
      <c r="V306" s="9"/>
      <c r="W306" s="9"/>
      <c r="X306" s="9"/>
      <c r="Y306" s="9"/>
      <c r="Z306" s="9"/>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row>
    <row r="307" spans="1:64" hidden="1" outlineLevel="1">
      <c r="A307" s="9"/>
      <c r="B307" s="9"/>
      <c r="C307" s="9"/>
      <c r="D307" s="271">
        <f>Asset10</f>
        <v>0</v>
      </c>
      <c r="E307" s="9"/>
      <c r="F307" s="9"/>
      <c r="G307" s="9"/>
      <c r="H307" s="115"/>
      <c r="I307" s="115"/>
      <c r="J307" s="115"/>
      <c r="K307" s="115"/>
      <c r="L307" s="115">
        <f>IF(M$233=0, 'Adjustment for previous period'!L127, 0)</f>
        <v>0</v>
      </c>
      <c r="M307" s="115">
        <f>IF(N$233=0, 'Adjustment for previous period'!M127, 0)</f>
        <v>0</v>
      </c>
      <c r="N307" s="115">
        <f>IF(O$233=0, 'Adjustment for previous period'!N127, 0)</f>
        <v>0</v>
      </c>
      <c r="O307" s="115">
        <f>IF(P$233=0, 'Adjustment for previous period'!O127, 0)</f>
        <v>0</v>
      </c>
      <c r="P307" s="115">
        <f>IF(Q$233=0, 'Adjustment for previous period'!P127, 0)</f>
        <v>0</v>
      </c>
      <c r="Q307" s="115">
        <f>IF(R$233=0, 'Adjustment for previous period'!Q127, 0)</f>
        <v>0</v>
      </c>
      <c r="R307" s="9"/>
      <c r="S307" s="9"/>
      <c r="T307" s="9"/>
      <c r="U307" s="9"/>
      <c r="V307" s="9"/>
      <c r="W307" s="9"/>
      <c r="X307" s="9"/>
      <c r="Y307" s="9"/>
      <c r="Z307" s="9"/>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row>
    <row r="308" spans="1:64" hidden="1" outlineLevel="1">
      <c r="A308" s="9"/>
      <c r="B308" s="9"/>
      <c r="C308" s="9"/>
      <c r="D308" s="271">
        <f>Asset11</f>
        <v>0</v>
      </c>
      <c r="E308" s="9"/>
      <c r="F308" s="9"/>
      <c r="G308" s="9"/>
      <c r="H308" s="115"/>
      <c r="I308" s="115"/>
      <c r="J308" s="115"/>
      <c r="K308" s="115"/>
      <c r="L308" s="115">
        <f>IF(M$233=0, 'Adjustment for previous period'!L129, 0)</f>
        <v>0</v>
      </c>
      <c r="M308" s="115">
        <f>IF(N$233=0, 'Adjustment for previous period'!M129, 0)</f>
        <v>0</v>
      </c>
      <c r="N308" s="115">
        <f>IF(O$233=0, 'Adjustment for previous period'!N129, 0)</f>
        <v>0</v>
      </c>
      <c r="O308" s="115">
        <f>IF(P$233=0, 'Adjustment for previous period'!O129, 0)</f>
        <v>0</v>
      </c>
      <c r="P308" s="115">
        <f>IF(Q$233=0, 'Adjustment for previous period'!P129, 0)</f>
        <v>0</v>
      </c>
      <c r="Q308" s="115">
        <f>IF(R$233=0, 'Adjustment for previous period'!Q129, 0)</f>
        <v>0</v>
      </c>
      <c r="R308" s="9"/>
      <c r="S308" s="9"/>
      <c r="T308" s="9"/>
      <c r="U308" s="9"/>
      <c r="V308" s="9"/>
      <c r="W308" s="9"/>
      <c r="X308" s="9"/>
      <c r="Y308" s="9"/>
      <c r="Z308" s="9"/>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row>
    <row r="309" spans="1:64" hidden="1" outlineLevel="1">
      <c r="A309" s="9"/>
      <c r="B309" s="9"/>
      <c r="C309" s="9"/>
      <c r="D309" s="271">
        <f>Asset12</f>
        <v>0</v>
      </c>
      <c r="E309" s="9"/>
      <c r="F309" s="9"/>
      <c r="G309" s="9"/>
      <c r="H309" s="115"/>
      <c r="I309" s="115"/>
      <c r="J309" s="115"/>
      <c r="K309" s="115"/>
      <c r="L309" s="115">
        <f>IF(M$233=0, 'Adjustment for previous period'!L131, 0)</f>
        <v>0</v>
      </c>
      <c r="M309" s="115">
        <f>IF(N$233=0, 'Adjustment for previous period'!M131, 0)</f>
        <v>0</v>
      </c>
      <c r="N309" s="115">
        <f>IF(O$233=0, 'Adjustment for previous period'!N131, 0)</f>
        <v>0</v>
      </c>
      <c r="O309" s="115">
        <f>IF(P$233=0, 'Adjustment for previous period'!O131, 0)</f>
        <v>0</v>
      </c>
      <c r="P309" s="115">
        <f>IF(Q$233=0, 'Adjustment for previous period'!P131, 0)</f>
        <v>0</v>
      </c>
      <c r="Q309" s="115">
        <f>IF(R$233=0, 'Adjustment for previous period'!Q131, 0)</f>
        <v>0</v>
      </c>
      <c r="R309" s="9"/>
      <c r="S309" s="9"/>
      <c r="T309" s="9"/>
      <c r="U309" s="9"/>
      <c r="V309" s="9"/>
      <c r="W309" s="9"/>
      <c r="X309" s="9"/>
      <c r="Y309" s="9"/>
      <c r="Z309" s="9"/>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row>
    <row r="310" spans="1:64" hidden="1" outlineLevel="1">
      <c r="A310" s="9"/>
      <c r="B310" s="9"/>
      <c r="C310" s="9"/>
      <c r="D310" s="271">
        <f>Asset13</f>
        <v>0</v>
      </c>
      <c r="E310" s="9"/>
      <c r="F310" s="9"/>
      <c r="G310" s="9"/>
      <c r="H310" s="115"/>
      <c r="I310" s="115"/>
      <c r="J310" s="115"/>
      <c r="K310" s="115"/>
      <c r="L310" s="115">
        <f>IF(M$233=0, 'Adjustment for previous period'!L133, 0)</f>
        <v>0</v>
      </c>
      <c r="M310" s="115">
        <f>IF(N$233=0, 'Adjustment for previous period'!M133, 0)</f>
        <v>0</v>
      </c>
      <c r="N310" s="115">
        <f>IF(O$233=0, 'Adjustment for previous period'!N133, 0)</f>
        <v>0</v>
      </c>
      <c r="O310" s="115">
        <f>IF(P$233=0, 'Adjustment for previous period'!O133, 0)</f>
        <v>0</v>
      </c>
      <c r="P310" s="115">
        <f>IF(Q$233=0, 'Adjustment for previous period'!P133, 0)</f>
        <v>0</v>
      </c>
      <c r="Q310" s="115">
        <f>IF(R$233=0, 'Adjustment for previous period'!Q133, 0)</f>
        <v>0</v>
      </c>
      <c r="R310" s="9"/>
      <c r="S310" s="9"/>
      <c r="T310" s="9"/>
      <c r="U310" s="9"/>
      <c r="V310" s="9"/>
      <c r="W310" s="9"/>
      <c r="X310" s="9"/>
      <c r="Y310" s="9"/>
      <c r="Z310" s="9"/>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row>
    <row r="311" spans="1:64" hidden="1" outlineLevel="1">
      <c r="A311" s="9"/>
      <c r="B311" s="9"/>
      <c r="C311" s="9"/>
      <c r="D311" s="271">
        <f>Asset14</f>
        <v>0</v>
      </c>
      <c r="E311" s="9"/>
      <c r="F311" s="9"/>
      <c r="G311" s="9"/>
      <c r="H311" s="115"/>
      <c r="I311" s="115"/>
      <c r="J311" s="115"/>
      <c r="K311" s="115"/>
      <c r="L311" s="115">
        <f>IF(M$233=0, 'Adjustment for previous period'!L135, 0)</f>
        <v>0</v>
      </c>
      <c r="M311" s="115">
        <f>IF(N$233=0, 'Adjustment for previous period'!M135, 0)</f>
        <v>0</v>
      </c>
      <c r="N311" s="115">
        <f>IF(O$233=0, 'Adjustment for previous period'!N135, 0)</f>
        <v>0</v>
      </c>
      <c r="O311" s="115">
        <f>IF(P$233=0, 'Adjustment for previous period'!O135, 0)</f>
        <v>0</v>
      </c>
      <c r="P311" s="115">
        <f>IF(Q$233=0, 'Adjustment for previous period'!P135, 0)</f>
        <v>0</v>
      </c>
      <c r="Q311" s="115">
        <f>IF(R$233=0, 'Adjustment for previous period'!Q135, 0)</f>
        <v>0</v>
      </c>
      <c r="R311" s="9"/>
      <c r="S311" s="9"/>
      <c r="T311" s="9"/>
      <c r="U311" s="9"/>
      <c r="V311" s="9"/>
      <c r="W311" s="9"/>
      <c r="X311" s="9"/>
      <c r="Y311" s="9"/>
      <c r="Z311" s="9"/>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row>
    <row r="312" spans="1:64" hidden="1" outlineLevel="1">
      <c r="A312" s="9"/>
      <c r="B312" s="9"/>
      <c r="C312" s="9"/>
      <c r="D312" s="271">
        <f>Asset15</f>
        <v>0</v>
      </c>
      <c r="E312" s="9"/>
      <c r="F312" s="9"/>
      <c r="G312" s="9"/>
      <c r="H312" s="115"/>
      <c r="I312" s="115"/>
      <c r="J312" s="115"/>
      <c r="K312" s="115"/>
      <c r="L312" s="115">
        <f>IF(M$233=0, 'Adjustment for previous period'!L137, 0)</f>
        <v>0</v>
      </c>
      <c r="M312" s="115">
        <f>IF(N$233=0, 'Adjustment for previous period'!M137, 0)</f>
        <v>0</v>
      </c>
      <c r="N312" s="115">
        <f>IF(O$233=0, 'Adjustment for previous period'!N137, 0)</f>
        <v>0</v>
      </c>
      <c r="O312" s="115">
        <f>IF(P$233=0, 'Adjustment for previous period'!O137, 0)</f>
        <v>0</v>
      </c>
      <c r="P312" s="115">
        <f>IF(Q$233=0, 'Adjustment for previous period'!P137, 0)</f>
        <v>0</v>
      </c>
      <c r="Q312" s="115">
        <f>IF(R$233=0, 'Adjustment for previous period'!Q137, 0)</f>
        <v>0</v>
      </c>
      <c r="R312" s="9"/>
      <c r="S312" s="9"/>
      <c r="T312" s="9"/>
      <c r="U312" s="9"/>
      <c r="V312" s="9"/>
      <c r="W312" s="9"/>
      <c r="X312" s="9"/>
      <c r="Y312" s="9"/>
      <c r="Z312" s="9"/>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row>
    <row r="313" spans="1:64" hidden="1" outlineLevel="1">
      <c r="A313" s="9"/>
      <c r="B313" s="9"/>
      <c r="C313" s="9"/>
      <c r="D313" s="271">
        <f>Asset16</f>
        <v>0</v>
      </c>
      <c r="E313" s="9"/>
      <c r="F313" s="9"/>
      <c r="G313" s="9"/>
      <c r="H313" s="115"/>
      <c r="I313" s="115"/>
      <c r="J313" s="115"/>
      <c r="K313" s="115"/>
      <c r="L313" s="115">
        <f>IF(M$233=0, 'Adjustment for previous period'!L139, 0)</f>
        <v>0</v>
      </c>
      <c r="M313" s="115">
        <f>IF(N$233=0, 'Adjustment for previous period'!M139, 0)</f>
        <v>0</v>
      </c>
      <c r="N313" s="115">
        <f>IF(O$233=0, 'Adjustment for previous period'!N139, 0)</f>
        <v>0</v>
      </c>
      <c r="O313" s="115">
        <f>IF(P$233=0, 'Adjustment for previous period'!O139, 0)</f>
        <v>0</v>
      </c>
      <c r="P313" s="115">
        <f>IF(Q$233=0, 'Adjustment for previous period'!P139, 0)</f>
        <v>0</v>
      </c>
      <c r="Q313" s="115">
        <f>IF(R$233=0, 'Adjustment for previous period'!Q139, 0)</f>
        <v>0</v>
      </c>
      <c r="R313" s="9"/>
      <c r="S313" s="9"/>
      <c r="T313" s="9"/>
      <c r="U313" s="9"/>
      <c r="V313" s="9"/>
      <c r="W313" s="9"/>
      <c r="X313" s="9"/>
      <c r="Y313" s="9"/>
      <c r="Z313" s="9"/>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row>
    <row r="314" spans="1:64" hidden="1" outlineLevel="1">
      <c r="A314" s="9"/>
      <c r="B314" s="9"/>
      <c r="C314" s="9"/>
      <c r="D314" s="271">
        <f>Asset17</f>
        <v>0</v>
      </c>
      <c r="E314" s="9"/>
      <c r="F314" s="9"/>
      <c r="G314" s="9"/>
      <c r="H314" s="115"/>
      <c r="I314" s="115"/>
      <c r="J314" s="115"/>
      <c r="K314" s="115"/>
      <c r="L314" s="115">
        <f>IF(M$233=0, 'Adjustment for previous period'!L141, 0)</f>
        <v>0</v>
      </c>
      <c r="M314" s="115">
        <f>IF(N$233=0, 'Adjustment for previous period'!M141, 0)</f>
        <v>0</v>
      </c>
      <c r="N314" s="115">
        <f>IF(O$233=0, 'Adjustment for previous period'!N141, 0)</f>
        <v>0</v>
      </c>
      <c r="O314" s="115">
        <f>IF(P$233=0, 'Adjustment for previous period'!O141, 0)</f>
        <v>0</v>
      </c>
      <c r="P314" s="115">
        <f>IF(Q$233=0, 'Adjustment for previous period'!P141, 0)</f>
        <v>0</v>
      </c>
      <c r="Q314" s="115">
        <f>IF(R$233=0, 'Adjustment for previous period'!Q141, 0)</f>
        <v>0</v>
      </c>
      <c r="R314" s="9"/>
      <c r="S314" s="9"/>
      <c r="T314" s="9"/>
      <c r="U314" s="9"/>
      <c r="V314" s="9"/>
      <c r="W314" s="9"/>
      <c r="X314" s="9"/>
      <c r="Y314" s="9"/>
      <c r="Z314" s="9"/>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row>
    <row r="315" spans="1:64" hidden="1" outlineLevel="1">
      <c r="A315" s="9"/>
      <c r="B315" s="9"/>
      <c r="C315" s="9"/>
      <c r="D315" s="271">
        <f>Asset18</f>
        <v>0</v>
      </c>
      <c r="E315" s="9"/>
      <c r="F315" s="9"/>
      <c r="G315" s="9"/>
      <c r="H315" s="115"/>
      <c r="I315" s="115"/>
      <c r="J315" s="115"/>
      <c r="K315" s="115"/>
      <c r="L315" s="115">
        <f>IF(M$233=0, 'Adjustment for previous period'!L143, 0)</f>
        <v>0</v>
      </c>
      <c r="M315" s="115">
        <f>IF(N$233=0, 'Adjustment for previous period'!M143, 0)</f>
        <v>0</v>
      </c>
      <c r="N315" s="115">
        <f>IF(O$233=0, 'Adjustment for previous period'!N143, 0)</f>
        <v>0</v>
      </c>
      <c r="O315" s="115">
        <f>IF(P$233=0, 'Adjustment for previous period'!O143, 0)</f>
        <v>0</v>
      </c>
      <c r="P315" s="115">
        <f>IF(Q$233=0, 'Adjustment for previous period'!P143, 0)</f>
        <v>0</v>
      </c>
      <c r="Q315" s="115">
        <f>IF(R$233=0, 'Adjustment for previous period'!Q143, 0)</f>
        <v>0</v>
      </c>
      <c r="R315" s="9"/>
      <c r="S315" s="9"/>
      <c r="T315" s="9"/>
      <c r="U315" s="9"/>
      <c r="V315" s="9"/>
      <c r="W315" s="9"/>
      <c r="X315" s="9"/>
      <c r="Y315" s="9"/>
      <c r="Z315" s="9"/>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row>
    <row r="316" spans="1:64" hidden="1" outlineLevel="1">
      <c r="A316" s="9"/>
      <c r="B316" s="9"/>
      <c r="C316" s="9"/>
      <c r="D316" s="271">
        <f>Asset19</f>
        <v>0</v>
      </c>
      <c r="E316" s="9"/>
      <c r="F316" s="9"/>
      <c r="G316" s="9"/>
      <c r="H316" s="115"/>
      <c r="I316" s="115"/>
      <c r="J316" s="115"/>
      <c r="K316" s="115"/>
      <c r="L316" s="115">
        <f>IF(M$233=0, 'Adjustment for previous period'!L145, 0)</f>
        <v>0</v>
      </c>
      <c r="M316" s="115">
        <f>IF(N$233=0, 'Adjustment for previous period'!M145, 0)</f>
        <v>0</v>
      </c>
      <c r="N316" s="115">
        <f>IF(O$233=0, 'Adjustment for previous period'!N145, 0)</f>
        <v>0</v>
      </c>
      <c r="O316" s="115">
        <f>IF(P$233=0, 'Adjustment for previous period'!O145, 0)</f>
        <v>0</v>
      </c>
      <c r="P316" s="115">
        <f>IF(Q$233=0, 'Adjustment for previous period'!P145, 0)</f>
        <v>0</v>
      </c>
      <c r="Q316" s="115">
        <f>IF(R$233=0, 'Adjustment for previous period'!Q145, 0)</f>
        <v>0</v>
      </c>
      <c r="R316" s="9"/>
      <c r="S316" s="9"/>
      <c r="T316" s="9"/>
      <c r="U316" s="9"/>
      <c r="V316" s="9"/>
      <c r="W316" s="9"/>
      <c r="X316" s="9"/>
      <c r="Y316" s="9"/>
      <c r="Z316" s="9"/>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row>
    <row r="317" spans="1:64" hidden="1" outlineLevel="1">
      <c r="A317" s="9"/>
      <c r="B317" s="9"/>
      <c r="C317" s="9"/>
      <c r="D317" s="271">
        <f>Asset20</f>
        <v>0</v>
      </c>
      <c r="E317" s="9"/>
      <c r="F317" s="9"/>
      <c r="G317" s="9"/>
      <c r="H317" s="115"/>
      <c r="I317" s="115"/>
      <c r="J317" s="115"/>
      <c r="K317" s="115"/>
      <c r="L317" s="115">
        <f>IF(M$233=0, 'Adjustment for previous period'!L147, 0)</f>
        <v>0</v>
      </c>
      <c r="M317" s="115">
        <f>IF(N$233=0, 'Adjustment for previous period'!M147, 0)</f>
        <v>0</v>
      </c>
      <c r="N317" s="115">
        <f>IF(O$233=0, 'Adjustment for previous period'!N147, 0)</f>
        <v>0</v>
      </c>
      <c r="O317" s="115">
        <f>IF(P$233=0, 'Adjustment for previous period'!O147, 0)</f>
        <v>0</v>
      </c>
      <c r="P317" s="115">
        <f>IF(Q$233=0, 'Adjustment for previous period'!P147, 0)</f>
        <v>0</v>
      </c>
      <c r="Q317" s="115">
        <f>IF(R$233=0, 'Adjustment for previous period'!Q147, 0)</f>
        <v>0</v>
      </c>
      <c r="R317" s="9"/>
      <c r="S317" s="9"/>
      <c r="T317" s="9"/>
      <c r="U317" s="9"/>
      <c r="V317" s="9"/>
      <c r="W317" s="9"/>
      <c r="X317" s="9"/>
      <c r="Y317" s="9"/>
      <c r="Z317" s="9"/>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row>
    <row r="318" spans="1:64" hidden="1" outlineLevel="1">
      <c r="A318" s="9"/>
      <c r="B318" s="9"/>
      <c r="C318" s="9"/>
      <c r="D318" s="271">
        <f>Asset21</f>
        <v>0</v>
      </c>
      <c r="E318" s="9"/>
      <c r="F318" s="9"/>
      <c r="G318" s="9"/>
      <c r="H318" s="115"/>
      <c r="I318" s="115"/>
      <c r="J318" s="115"/>
      <c r="K318" s="115"/>
      <c r="L318" s="115">
        <f>IF(M$233=0, 'Adjustment for previous period'!L149, 0)</f>
        <v>0</v>
      </c>
      <c r="M318" s="115">
        <f>IF(N$233=0, 'Adjustment for previous period'!M149, 0)</f>
        <v>0</v>
      </c>
      <c r="N318" s="115">
        <f>IF(O$233=0, 'Adjustment for previous period'!N149, 0)</f>
        <v>0</v>
      </c>
      <c r="O318" s="115">
        <f>IF(P$233=0, 'Adjustment for previous period'!O149, 0)</f>
        <v>0</v>
      </c>
      <c r="P318" s="115">
        <f>IF(Q$233=0, 'Adjustment for previous period'!P149, 0)</f>
        <v>0</v>
      </c>
      <c r="Q318" s="115">
        <f>IF(R$233=0, 'Adjustment for previous period'!Q149, 0)</f>
        <v>0</v>
      </c>
      <c r="R318" s="9"/>
      <c r="S318" s="9"/>
      <c r="T318" s="9"/>
      <c r="U318" s="9"/>
      <c r="V318" s="9"/>
      <c r="W318" s="9"/>
      <c r="X318" s="9"/>
      <c r="Y318" s="9"/>
      <c r="Z318" s="9"/>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row>
    <row r="319" spans="1:64" hidden="1" outlineLevel="1">
      <c r="A319" s="9"/>
      <c r="B319" s="9"/>
      <c r="C319" s="9"/>
      <c r="D319" s="271">
        <f>Asset22</f>
        <v>0</v>
      </c>
      <c r="E319" s="9"/>
      <c r="F319" s="9"/>
      <c r="G319" s="9"/>
      <c r="H319" s="115"/>
      <c r="I319" s="115"/>
      <c r="J319" s="115"/>
      <c r="K319" s="115"/>
      <c r="L319" s="115">
        <f>IF(M$233=0, 'Adjustment for previous period'!L151, 0)</f>
        <v>0</v>
      </c>
      <c r="M319" s="115">
        <f>IF(N$233=0, 'Adjustment for previous period'!M151, 0)</f>
        <v>0</v>
      </c>
      <c r="N319" s="115">
        <f>IF(O$233=0, 'Adjustment for previous period'!N151, 0)</f>
        <v>0</v>
      </c>
      <c r="O319" s="115">
        <f>IF(P$233=0, 'Adjustment for previous period'!O151, 0)</f>
        <v>0</v>
      </c>
      <c r="P319" s="115">
        <f>IF(Q$233=0, 'Adjustment for previous period'!P151, 0)</f>
        <v>0</v>
      </c>
      <c r="Q319" s="115">
        <f>IF(R$233=0, 'Adjustment for previous period'!Q151, 0)</f>
        <v>0</v>
      </c>
      <c r="R319" s="9"/>
      <c r="S319" s="9"/>
      <c r="T319" s="9"/>
      <c r="U319" s="9"/>
      <c r="V319" s="9"/>
      <c r="W319" s="9"/>
      <c r="X319" s="9"/>
      <c r="Y319" s="9"/>
      <c r="Z319" s="9"/>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row>
    <row r="320" spans="1:64" hidden="1" outlineLevel="1">
      <c r="A320" s="9"/>
      <c r="B320" s="9"/>
      <c r="C320" s="9"/>
      <c r="D320" s="271">
        <f>Asset23</f>
        <v>0</v>
      </c>
      <c r="E320" s="9"/>
      <c r="F320" s="9"/>
      <c r="G320" s="9"/>
      <c r="H320" s="115"/>
      <c r="I320" s="115"/>
      <c r="J320" s="115"/>
      <c r="K320" s="115"/>
      <c r="L320" s="115">
        <f>IF(M$233=0, 'Adjustment for previous period'!L153, 0)</f>
        <v>0</v>
      </c>
      <c r="M320" s="115">
        <f>IF(N$233=0, 'Adjustment for previous period'!M153, 0)</f>
        <v>0</v>
      </c>
      <c r="N320" s="115">
        <f>IF(O$233=0, 'Adjustment for previous period'!N153, 0)</f>
        <v>0</v>
      </c>
      <c r="O320" s="115">
        <f>IF(P$233=0, 'Adjustment for previous period'!O153, 0)</f>
        <v>0</v>
      </c>
      <c r="P320" s="115">
        <f>IF(Q$233=0, 'Adjustment for previous period'!P153, 0)</f>
        <v>0</v>
      </c>
      <c r="Q320" s="115">
        <f>IF(R$233=0, 'Adjustment for previous period'!Q153, 0)</f>
        <v>0</v>
      </c>
      <c r="R320" s="9"/>
      <c r="S320" s="9"/>
      <c r="T320" s="9"/>
      <c r="U320" s="9"/>
      <c r="V320" s="9"/>
      <c r="W320" s="9"/>
      <c r="X320" s="9"/>
      <c r="Y320" s="9"/>
      <c r="Z320" s="9"/>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row>
    <row r="321" spans="1:64" hidden="1" outlineLevel="1">
      <c r="A321" s="9"/>
      <c r="B321" s="9"/>
      <c r="C321" s="9"/>
      <c r="D321" s="271">
        <f>Asset24</f>
        <v>0</v>
      </c>
      <c r="E321" s="9"/>
      <c r="F321" s="9"/>
      <c r="G321" s="9"/>
      <c r="H321" s="115"/>
      <c r="I321" s="115"/>
      <c r="J321" s="115"/>
      <c r="K321" s="115"/>
      <c r="L321" s="115">
        <f>IF(M$233=0, 'Adjustment for previous period'!L155, 0)</f>
        <v>0</v>
      </c>
      <c r="M321" s="115">
        <f>IF(N$233=0, 'Adjustment for previous period'!M155, 0)</f>
        <v>0</v>
      </c>
      <c r="N321" s="115">
        <f>IF(O$233=0, 'Adjustment for previous period'!N155, 0)</f>
        <v>0</v>
      </c>
      <c r="O321" s="115">
        <f>IF(P$233=0, 'Adjustment for previous period'!O155, 0)</f>
        <v>0</v>
      </c>
      <c r="P321" s="115">
        <f>IF(Q$233=0, 'Adjustment for previous period'!P155, 0)</f>
        <v>0</v>
      </c>
      <c r="Q321" s="115">
        <f>IF(R$233=0, 'Adjustment for previous period'!Q155, 0)</f>
        <v>0</v>
      </c>
      <c r="R321" s="9"/>
      <c r="S321" s="9"/>
      <c r="T321" s="9"/>
      <c r="U321" s="9"/>
      <c r="V321" s="9"/>
      <c r="W321" s="9"/>
      <c r="X321" s="9"/>
      <c r="Y321" s="9"/>
      <c r="Z321" s="9"/>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row>
    <row r="322" spans="1:64" hidden="1" outlineLevel="1">
      <c r="A322" s="9"/>
      <c r="B322" s="9"/>
      <c r="C322" s="9"/>
      <c r="D322" s="271">
        <f>Asset25</f>
        <v>0</v>
      </c>
      <c r="E322" s="9"/>
      <c r="F322" s="9"/>
      <c r="G322" s="9"/>
      <c r="H322" s="115"/>
      <c r="I322" s="115"/>
      <c r="J322" s="115"/>
      <c r="K322" s="115"/>
      <c r="L322" s="115">
        <f>IF(M$233=0, 'Adjustment for previous period'!L157, 0)</f>
        <v>0</v>
      </c>
      <c r="M322" s="115">
        <f>IF(N$233=0, 'Adjustment for previous period'!M157, 0)</f>
        <v>0</v>
      </c>
      <c r="N322" s="115">
        <f>IF(O$233=0, 'Adjustment for previous period'!N157, 0)</f>
        <v>0</v>
      </c>
      <c r="O322" s="115">
        <f>IF(P$233=0, 'Adjustment for previous period'!O157, 0)</f>
        <v>0</v>
      </c>
      <c r="P322" s="115">
        <f>IF(Q$233=0, 'Adjustment for previous period'!P157, 0)</f>
        <v>0</v>
      </c>
      <c r="Q322" s="115">
        <f>IF(R$233=0, 'Adjustment for previous period'!Q157, 0)</f>
        <v>0</v>
      </c>
      <c r="R322" s="9"/>
      <c r="S322" s="9"/>
      <c r="T322" s="9"/>
      <c r="U322" s="9"/>
      <c r="V322" s="9"/>
      <c r="W322" s="9"/>
      <c r="X322" s="9"/>
      <c r="Y322" s="9"/>
      <c r="Z322" s="9"/>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row>
    <row r="323" spans="1:64" hidden="1" outlineLevel="1">
      <c r="A323" s="9"/>
      <c r="B323" s="9"/>
      <c r="C323" s="9"/>
      <c r="D323" s="271">
        <f>Asset26</f>
        <v>0</v>
      </c>
      <c r="E323" s="9"/>
      <c r="F323" s="9"/>
      <c r="G323" s="9"/>
      <c r="H323" s="115"/>
      <c r="I323" s="115"/>
      <c r="J323" s="115"/>
      <c r="K323" s="115"/>
      <c r="L323" s="115">
        <f>IF(M$233=0, 'Adjustment for previous period'!L159, 0)</f>
        <v>0</v>
      </c>
      <c r="M323" s="115">
        <f>IF(N$233=0, 'Adjustment for previous period'!M159, 0)</f>
        <v>0</v>
      </c>
      <c r="N323" s="115">
        <f>IF(O$233=0, 'Adjustment for previous period'!N159, 0)</f>
        <v>0</v>
      </c>
      <c r="O323" s="115">
        <f>IF(P$233=0, 'Adjustment for previous period'!O159, 0)</f>
        <v>0</v>
      </c>
      <c r="P323" s="115">
        <f>IF(Q$233=0, 'Adjustment for previous period'!P159, 0)</f>
        <v>0</v>
      </c>
      <c r="Q323" s="115">
        <f>IF(R$233=0, 'Adjustment for previous period'!Q159, 0)</f>
        <v>0</v>
      </c>
      <c r="R323" s="9"/>
      <c r="S323" s="9"/>
      <c r="T323" s="9"/>
      <c r="U323" s="9"/>
      <c r="V323" s="9"/>
      <c r="W323" s="9"/>
      <c r="X323" s="9"/>
      <c r="Y323" s="9"/>
      <c r="Z323" s="9"/>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row>
    <row r="324" spans="1:64" hidden="1" outlineLevel="1">
      <c r="A324" s="9"/>
      <c r="B324" s="9"/>
      <c r="C324" s="9"/>
      <c r="D324" s="271">
        <f>Asset27</f>
        <v>0</v>
      </c>
      <c r="E324" s="9"/>
      <c r="F324" s="9"/>
      <c r="G324" s="9"/>
      <c r="H324" s="115"/>
      <c r="I324" s="115"/>
      <c r="J324" s="115"/>
      <c r="K324" s="115"/>
      <c r="L324" s="115">
        <f>IF(M$233=0, 'Adjustment for previous period'!L161, 0)</f>
        <v>0</v>
      </c>
      <c r="M324" s="115">
        <f>IF(N$233=0, 'Adjustment for previous period'!M161, 0)</f>
        <v>0</v>
      </c>
      <c r="N324" s="115">
        <f>IF(O$233=0, 'Adjustment for previous period'!N161, 0)</f>
        <v>0</v>
      </c>
      <c r="O324" s="115">
        <f>IF(P$233=0, 'Adjustment for previous period'!O161, 0)</f>
        <v>0</v>
      </c>
      <c r="P324" s="115">
        <f>IF(Q$233=0, 'Adjustment for previous period'!P161, 0)</f>
        <v>0</v>
      </c>
      <c r="Q324" s="115">
        <f>IF(R$233=0, 'Adjustment for previous period'!Q161, 0)</f>
        <v>0</v>
      </c>
      <c r="R324" s="9"/>
      <c r="S324" s="9"/>
      <c r="T324" s="9"/>
      <c r="U324" s="9"/>
      <c r="V324" s="9"/>
      <c r="W324" s="9"/>
      <c r="X324" s="9"/>
      <c r="Y324" s="9"/>
      <c r="Z324" s="9"/>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row>
    <row r="325" spans="1:64" hidden="1" outlineLevel="1">
      <c r="A325" s="9"/>
      <c r="B325" s="9"/>
      <c r="C325" s="9"/>
      <c r="D325" s="271">
        <f>Asset28</f>
        <v>0</v>
      </c>
      <c r="E325" s="9"/>
      <c r="F325" s="9"/>
      <c r="G325" s="9"/>
      <c r="H325" s="115"/>
      <c r="I325" s="115"/>
      <c r="J325" s="115"/>
      <c r="K325" s="115"/>
      <c r="L325" s="115">
        <f>IF(M$233=0, 'Adjustment for previous period'!L163, 0)</f>
        <v>0</v>
      </c>
      <c r="M325" s="115">
        <f>IF(N$233=0, 'Adjustment for previous period'!M163, 0)</f>
        <v>0</v>
      </c>
      <c r="N325" s="115">
        <f>IF(O$233=0, 'Adjustment for previous period'!N163, 0)</f>
        <v>0</v>
      </c>
      <c r="O325" s="115">
        <f>IF(P$233=0, 'Adjustment for previous period'!O163, 0)</f>
        <v>0</v>
      </c>
      <c r="P325" s="115">
        <f>IF(Q$233=0, 'Adjustment for previous period'!P163, 0)</f>
        <v>0</v>
      </c>
      <c r="Q325" s="115">
        <f>IF(R$233=0, 'Adjustment for previous period'!Q163, 0)</f>
        <v>0</v>
      </c>
      <c r="R325" s="9"/>
      <c r="S325" s="9"/>
      <c r="T325" s="9"/>
      <c r="U325" s="9"/>
      <c r="V325" s="9"/>
      <c r="W325" s="9"/>
      <c r="X325" s="9"/>
      <c r="Y325" s="9"/>
      <c r="Z325" s="9"/>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row>
    <row r="326" spans="1:64" hidden="1" outlineLevel="1">
      <c r="A326" s="9"/>
      <c r="B326" s="9"/>
      <c r="C326" s="9"/>
      <c r="D326" s="271">
        <f>Asset29</f>
        <v>0</v>
      </c>
      <c r="E326" s="9"/>
      <c r="F326" s="9"/>
      <c r="G326" s="9"/>
      <c r="H326" s="115"/>
      <c r="I326" s="115"/>
      <c r="J326" s="115"/>
      <c r="K326" s="115"/>
      <c r="L326" s="115">
        <f>IF(M$233=0, 'Adjustment for previous period'!L165, 0)</f>
        <v>0</v>
      </c>
      <c r="M326" s="115">
        <f>IF(N$233=0, 'Adjustment for previous period'!M165, 0)</f>
        <v>0</v>
      </c>
      <c r="N326" s="115">
        <f>IF(O$233=0, 'Adjustment for previous period'!N165, 0)</f>
        <v>0</v>
      </c>
      <c r="O326" s="115">
        <f>IF(P$233=0, 'Adjustment for previous period'!O165, 0)</f>
        <v>0</v>
      </c>
      <c r="P326" s="115">
        <f>IF(Q$233=0, 'Adjustment for previous period'!P165, 0)</f>
        <v>0</v>
      </c>
      <c r="Q326" s="115">
        <f>IF(R$233=0, 'Adjustment for previous period'!Q165, 0)</f>
        <v>0</v>
      </c>
      <c r="R326" s="9"/>
      <c r="S326" s="9"/>
      <c r="T326" s="9"/>
      <c r="U326" s="9"/>
      <c r="V326" s="9"/>
      <c r="W326" s="9"/>
      <c r="X326" s="9"/>
      <c r="Y326" s="9"/>
      <c r="Z326" s="9"/>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row>
    <row r="327" spans="1:64" hidden="1" outlineLevel="1">
      <c r="A327" s="9"/>
      <c r="B327" s="9"/>
      <c r="C327" s="9"/>
      <c r="D327" s="271">
        <f>Asset30</f>
        <v>0</v>
      </c>
      <c r="E327" s="9"/>
      <c r="F327" s="9"/>
      <c r="G327" s="9"/>
      <c r="H327" s="115"/>
      <c r="I327" s="115"/>
      <c r="J327" s="115"/>
      <c r="K327" s="115"/>
      <c r="L327" s="115">
        <f>IF(M$233=0, 'Adjustment for previous period'!L167, 0)</f>
        <v>0</v>
      </c>
      <c r="M327" s="115">
        <f>IF(N$233=0, 'Adjustment for previous period'!M167, 0)</f>
        <v>0</v>
      </c>
      <c r="N327" s="115">
        <f>IF(O$233=0, 'Adjustment for previous period'!N167, 0)</f>
        <v>0</v>
      </c>
      <c r="O327" s="115">
        <f>IF(P$233=0, 'Adjustment for previous period'!O167, 0)</f>
        <v>0</v>
      </c>
      <c r="P327" s="115">
        <f>IF(Q$233=0, 'Adjustment for previous period'!P167, 0)</f>
        <v>0</v>
      </c>
      <c r="Q327" s="115">
        <f>IF(R$233=0, 'Adjustment for previous period'!Q167, 0)</f>
        <v>0</v>
      </c>
      <c r="R327" s="9"/>
      <c r="S327" s="9"/>
      <c r="T327" s="9"/>
      <c r="U327" s="9"/>
      <c r="V327" s="9"/>
      <c r="W327" s="9"/>
      <c r="X327" s="9"/>
      <c r="Y327" s="9"/>
      <c r="Z327" s="9"/>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row>
    <row r="328" spans="1:64" collapsed="1">
      <c r="A328" s="9"/>
      <c r="B328" s="9"/>
      <c r="C328" s="9"/>
      <c r="D328" s="9"/>
      <c r="E328" s="9"/>
      <c r="F328" s="9"/>
      <c r="G328" s="9"/>
      <c r="H328" s="9"/>
      <c r="I328" s="9"/>
      <c r="J328" s="9"/>
      <c r="K328" s="9"/>
      <c r="L328" s="9"/>
      <c r="M328" s="9"/>
      <c r="N328" s="12"/>
      <c r="O328" s="9"/>
      <c r="P328" s="9"/>
      <c r="Q328" s="9"/>
      <c r="R328" s="9"/>
      <c r="S328" s="9"/>
      <c r="T328" s="9"/>
      <c r="U328" s="9"/>
      <c r="V328" s="9"/>
      <c r="W328" s="9"/>
      <c r="X328" s="9"/>
      <c r="Y328" s="9"/>
      <c r="Z328" s="9"/>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row>
    <row r="329" spans="1:64">
      <c r="A329" s="9"/>
      <c r="B329" s="9"/>
      <c r="C329" s="9" t="s">
        <v>31</v>
      </c>
      <c r="D329" s="9"/>
      <c r="E329" s="9"/>
      <c r="F329" s="9"/>
      <c r="G329" s="9"/>
      <c r="H329" s="9"/>
      <c r="I329" s="9"/>
      <c r="J329" s="9"/>
      <c r="K329" s="9"/>
      <c r="L329" s="35">
        <f t="shared" ref="L329:Q329" si="18">SUM(L330:L359)</f>
        <v>0</v>
      </c>
      <c r="M329" s="35">
        <f t="shared" si="18"/>
        <v>0</v>
      </c>
      <c r="N329" s="35">
        <f t="shared" si="18"/>
        <v>0</v>
      </c>
      <c r="O329" s="35">
        <f t="shared" si="18"/>
        <v>0</v>
      </c>
      <c r="P329" s="35">
        <f t="shared" si="18"/>
        <v>0</v>
      </c>
      <c r="Q329" s="35">
        <f t="shared" si="18"/>
        <v>0</v>
      </c>
      <c r="R329" s="9"/>
      <c r="S329" s="9"/>
      <c r="T329" s="9"/>
      <c r="U329" s="9"/>
      <c r="V329" s="9"/>
      <c r="W329" s="9"/>
      <c r="X329" s="9"/>
      <c r="Y329" s="9"/>
      <c r="Z329" s="9"/>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row>
    <row r="330" spans="1:64" hidden="1" outlineLevel="1">
      <c r="A330" s="9"/>
      <c r="B330" s="9"/>
      <c r="C330" s="9"/>
      <c r="D330" s="271" t="str">
        <f>Asset1</f>
        <v>Subtransmission</v>
      </c>
      <c r="E330" s="9"/>
      <c r="F330" s="9"/>
      <c r="G330" s="9"/>
      <c r="H330" s="9"/>
      <c r="I330" s="9"/>
      <c r="J330" s="9"/>
      <c r="K330" s="9"/>
      <c r="L330" s="115">
        <f>IF(L$233&gt;0, IF(M$233=0, 'Adjustment for previous period'!$G237, 0), 0)</f>
        <v>0</v>
      </c>
      <c r="M330" s="115">
        <f>IF(M$233&gt;0, IF(N$233=0, 'Adjustment for previous period'!$G237, 0), 0)</f>
        <v>0</v>
      </c>
      <c r="N330" s="115">
        <f>IF(N$233&gt;0, IF(O$233=0, 'Adjustment for previous period'!$G237, 0), 0)</f>
        <v>0</v>
      </c>
      <c r="O330" s="115">
        <f>IF(O$233&gt;0, IF(P$233=0, 'Adjustment for previous period'!$G237, 0), 0)</f>
        <v>0</v>
      </c>
      <c r="P330" s="115">
        <f>IF(P$233&gt;0, IF(Q$233=0, 'Adjustment for previous period'!$G237, 0), 0)</f>
        <v>0</v>
      </c>
      <c r="Q330" s="115">
        <f>IF(Q$233&gt;0, IF(R$233=0, 'Adjustment for previous period'!$G237, 0), 0)</f>
        <v>0</v>
      </c>
      <c r="R330" s="9"/>
      <c r="S330" s="9"/>
      <c r="T330" s="9"/>
      <c r="U330" s="9"/>
      <c r="V330" s="9"/>
      <c r="W330" s="9"/>
      <c r="X330" s="9"/>
      <c r="Y330" s="9"/>
      <c r="Z330" s="9"/>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row>
    <row r="331" spans="1:64" hidden="1" outlineLevel="1">
      <c r="A331" s="9"/>
      <c r="B331" s="9"/>
      <c r="C331" s="9"/>
      <c r="D331" s="271" t="str">
        <f>Asset2</f>
        <v>Distribution system assets</v>
      </c>
      <c r="E331" s="9"/>
      <c r="F331" s="9"/>
      <c r="G331" s="9"/>
      <c r="H331" s="9"/>
      <c r="I331" s="9"/>
      <c r="J331" s="9"/>
      <c r="K331" s="9"/>
      <c r="L331" s="115">
        <f>IF(L$233&gt;0, IF(M$233=0, 'Adjustment for previous period'!$G238, 0), 0)</f>
        <v>0</v>
      </c>
      <c r="M331" s="115">
        <f>IF(M$233&gt;0, IF(N$233=0, 'Adjustment for previous period'!$G238, 0), 0)</f>
        <v>0</v>
      </c>
      <c r="N331" s="115">
        <f>IF(N$233&gt;0, IF(O$233=0, 'Adjustment for previous period'!$G238, 0), 0)</f>
        <v>0</v>
      </c>
      <c r="O331" s="115">
        <f>IF(O$233&gt;0, IF(P$233=0, 'Adjustment for previous period'!$G238, 0), 0)</f>
        <v>0</v>
      </c>
      <c r="P331" s="115">
        <f>IF(P$233&gt;0, IF(Q$233=0, 'Adjustment for previous period'!$G238, 0), 0)</f>
        <v>0</v>
      </c>
      <c r="Q331" s="115">
        <f>IF(Q$233&gt;0, IF(R$233=0, 'Adjustment for previous period'!$G238, 0), 0)</f>
        <v>0</v>
      </c>
      <c r="R331" s="9"/>
      <c r="S331" s="9"/>
      <c r="T331" s="9"/>
      <c r="U331" s="9"/>
      <c r="V331" s="9"/>
      <c r="W331" s="9"/>
      <c r="X331" s="9"/>
      <c r="Y331" s="9"/>
      <c r="Z331" s="9"/>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row>
    <row r="332" spans="1:64" hidden="1" outlineLevel="1">
      <c r="A332" s="9"/>
      <c r="B332" s="9"/>
      <c r="C332" s="9"/>
      <c r="D332" s="271" t="str">
        <f>Asset3</f>
        <v>Standard metering</v>
      </c>
      <c r="E332" s="9"/>
      <c r="F332" s="9"/>
      <c r="G332" s="9"/>
      <c r="H332" s="9"/>
      <c r="I332" s="9"/>
      <c r="J332" s="9"/>
      <c r="K332" s="9"/>
      <c r="L332" s="115">
        <f>IF(L$233&gt;0, IF(M$233=0, 'Adjustment for previous period'!$G239, 0), 0)</f>
        <v>0</v>
      </c>
      <c r="M332" s="115">
        <f>IF(M$233&gt;0, IF(N$233=0, 'Adjustment for previous period'!$G239, 0), 0)</f>
        <v>0</v>
      </c>
      <c r="N332" s="115">
        <f>IF(N$233&gt;0, IF(O$233=0, 'Adjustment for previous period'!$G239, 0), 0)</f>
        <v>0</v>
      </c>
      <c r="O332" s="115">
        <f>IF(O$233&gt;0, IF(P$233=0, 'Adjustment for previous period'!$G239, 0), 0)</f>
        <v>0</v>
      </c>
      <c r="P332" s="115">
        <f>IF(P$233&gt;0, IF(Q$233=0, 'Adjustment for previous period'!$G239, 0), 0)</f>
        <v>0</v>
      </c>
      <c r="Q332" s="115">
        <f>IF(Q$233&gt;0, IF(R$233=0, 'Adjustment for previous period'!$G239, 0), 0)</f>
        <v>0</v>
      </c>
      <c r="R332" s="9"/>
      <c r="S332" s="9"/>
      <c r="T332" s="9"/>
      <c r="U332" s="9"/>
      <c r="V332" s="9"/>
      <c r="W332" s="9"/>
      <c r="X332" s="9"/>
      <c r="Y332" s="9"/>
      <c r="Z332" s="9"/>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row>
    <row r="333" spans="1:64" hidden="1" outlineLevel="1">
      <c r="A333" s="9"/>
      <c r="B333" s="9"/>
      <c r="C333" s="9"/>
      <c r="D333" s="271" t="str">
        <f>Asset4</f>
        <v>Public lighting</v>
      </c>
      <c r="E333" s="9"/>
      <c r="F333" s="9"/>
      <c r="G333" s="9"/>
      <c r="H333" s="9"/>
      <c r="I333" s="9"/>
      <c r="J333" s="9"/>
      <c r="K333" s="9"/>
      <c r="L333" s="115">
        <f>IF(L$233&gt;0, IF(M$233=0, 'Adjustment for previous period'!$G240, 0), 0)</f>
        <v>0</v>
      </c>
      <c r="M333" s="115">
        <f>IF(M$233&gt;0, IF(N$233=0, 'Adjustment for previous period'!$G240, 0), 0)</f>
        <v>0</v>
      </c>
      <c r="N333" s="115">
        <f>IF(N$233&gt;0, IF(O$233=0, 'Adjustment for previous period'!$G240, 0), 0)</f>
        <v>0</v>
      </c>
      <c r="O333" s="115">
        <f>IF(O$233&gt;0, IF(P$233=0, 'Adjustment for previous period'!$G240, 0), 0)</f>
        <v>0</v>
      </c>
      <c r="P333" s="115">
        <f>IF(P$233&gt;0, IF(Q$233=0, 'Adjustment for previous period'!$G240, 0), 0)</f>
        <v>0</v>
      </c>
      <c r="Q333" s="115">
        <f>IF(Q$233&gt;0, IF(R$233=0, 'Adjustment for previous period'!$G240, 0), 0)</f>
        <v>0</v>
      </c>
      <c r="R333" s="9"/>
      <c r="S333" s="9"/>
      <c r="T333" s="9"/>
      <c r="U333" s="9"/>
      <c r="V333" s="9"/>
      <c r="W333" s="9"/>
      <c r="X333" s="9"/>
      <c r="Y333" s="9"/>
      <c r="Z333" s="9"/>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row>
    <row r="334" spans="1:64" hidden="1" outlineLevel="1">
      <c r="A334" s="9"/>
      <c r="B334" s="9"/>
      <c r="C334" s="9"/>
      <c r="D334" s="271" t="str">
        <f>Asset5</f>
        <v>SCADA/Network control</v>
      </c>
      <c r="E334" s="9"/>
      <c r="F334" s="9"/>
      <c r="G334" s="9"/>
      <c r="H334" s="9"/>
      <c r="I334" s="9"/>
      <c r="J334" s="9"/>
      <c r="K334" s="9"/>
      <c r="L334" s="115">
        <f>IF(L$233&gt;0, IF(M$233=0, 'Adjustment for previous period'!$G241, 0), 0)</f>
        <v>0</v>
      </c>
      <c r="M334" s="115">
        <f>IF(M$233&gt;0, IF(N$233=0, 'Adjustment for previous period'!$G241, 0), 0)</f>
        <v>0</v>
      </c>
      <c r="N334" s="115">
        <f>IF(N$233&gt;0, IF(O$233=0, 'Adjustment for previous period'!$G241, 0), 0)</f>
        <v>0</v>
      </c>
      <c r="O334" s="115">
        <f>IF(O$233&gt;0, IF(P$233=0, 'Adjustment for previous period'!$G241, 0), 0)</f>
        <v>0</v>
      </c>
      <c r="P334" s="115">
        <f>IF(P$233&gt;0, IF(Q$233=0, 'Adjustment for previous period'!$G241, 0), 0)</f>
        <v>0</v>
      </c>
      <c r="Q334" s="115">
        <f>IF(Q$233&gt;0, IF(R$233=0, 'Adjustment for previous period'!$G241, 0), 0)</f>
        <v>0</v>
      </c>
      <c r="R334" s="9"/>
      <c r="S334" s="9"/>
      <c r="T334" s="9"/>
      <c r="U334" s="9"/>
      <c r="V334" s="9"/>
      <c r="W334" s="9"/>
      <c r="X334" s="9"/>
      <c r="Y334" s="9"/>
      <c r="Z334" s="9"/>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row>
    <row r="335" spans="1:64" hidden="1" outlineLevel="1">
      <c r="A335" s="9"/>
      <c r="B335" s="9"/>
      <c r="C335" s="9"/>
      <c r="D335" s="271" t="str">
        <f>Asset6</f>
        <v>Non-network general assets - IT</v>
      </c>
      <c r="E335" s="9"/>
      <c r="F335" s="9"/>
      <c r="G335" s="9"/>
      <c r="H335" s="9"/>
      <c r="I335" s="9"/>
      <c r="J335" s="9"/>
      <c r="K335" s="9"/>
      <c r="L335" s="115">
        <f>IF(L$233&gt;0, IF(M$233=0, 'Adjustment for previous period'!$G242, 0), 0)</f>
        <v>0</v>
      </c>
      <c r="M335" s="115">
        <f>IF(M$233&gt;0, IF(N$233=0, 'Adjustment for previous period'!$G242, 0), 0)</f>
        <v>0</v>
      </c>
      <c r="N335" s="115">
        <f>IF(N$233&gt;0, IF(O$233=0, 'Adjustment for previous period'!$G242, 0), 0)</f>
        <v>0</v>
      </c>
      <c r="O335" s="115">
        <f>IF(O$233&gt;0, IF(P$233=0, 'Adjustment for previous period'!$G242, 0), 0)</f>
        <v>0</v>
      </c>
      <c r="P335" s="115">
        <f>IF(P$233&gt;0, IF(Q$233=0, 'Adjustment for previous period'!$G242, 0), 0)</f>
        <v>0</v>
      </c>
      <c r="Q335" s="115">
        <f>IF(Q$233&gt;0, IF(R$233=0, 'Adjustment for previous period'!$G242, 0), 0)</f>
        <v>0</v>
      </c>
      <c r="R335" s="9"/>
      <c r="S335" s="9"/>
      <c r="T335" s="9"/>
      <c r="U335" s="9"/>
      <c r="V335" s="9"/>
      <c r="W335" s="9"/>
      <c r="X335" s="9"/>
      <c r="Y335" s="9"/>
      <c r="Z335" s="9"/>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row>
    <row r="336" spans="1:64" hidden="1" outlineLevel="1">
      <c r="A336" s="9"/>
      <c r="B336" s="9"/>
      <c r="C336" s="9"/>
      <c r="D336" s="271" t="str">
        <f>Asset7</f>
        <v>Non-network general assets - Other</v>
      </c>
      <c r="E336" s="9"/>
      <c r="F336" s="9"/>
      <c r="G336" s="9"/>
      <c r="H336" s="9"/>
      <c r="I336" s="9"/>
      <c r="J336" s="9"/>
      <c r="K336" s="9"/>
      <c r="L336" s="115">
        <f>IF(L$233&gt;0, IF(M$233=0, 'Adjustment for previous period'!$G243, 0), 0)</f>
        <v>0</v>
      </c>
      <c r="M336" s="115">
        <f>IF(M$233&gt;0, IF(N$233=0, 'Adjustment for previous period'!$G243, 0), 0)</f>
        <v>0</v>
      </c>
      <c r="N336" s="115">
        <f>IF(N$233&gt;0, IF(O$233=0, 'Adjustment for previous period'!$G243, 0), 0)</f>
        <v>0</v>
      </c>
      <c r="O336" s="115">
        <f>IF(O$233&gt;0, IF(P$233=0, 'Adjustment for previous period'!$G243, 0), 0)</f>
        <v>0</v>
      </c>
      <c r="P336" s="115">
        <f>IF(P$233&gt;0, IF(Q$233=0, 'Adjustment for previous period'!$G243, 0), 0)</f>
        <v>0</v>
      </c>
      <c r="Q336" s="115">
        <f>IF(Q$233&gt;0, IF(R$233=0, 'Adjustment for previous period'!$G243, 0), 0)</f>
        <v>0</v>
      </c>
      <c r="R336" s="9"/>
      <c r="S336" s="9"/>
      <c r="T336" s="9"/>
      <c r="U336" s="9"/>
      <c r="V336" s="9"/>
      <c r="W336" s="9"/>
      <c r="X336" s="9"/>
      <c r="Y336" s="9"/>
      <c r="Z336" s="9"/>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row>
    <row r="337" spans="1:64" hidden="1" outlineLevel="1">
      <c r="A337" s="9"/>
      <c r="B337" s="9"/>
      <c r="C337" s="9"/>
      <c r="D337" s="271" t="str">
        <f>Asset8</f>
        <v>Equity Raising Costs</v>
      </c>
      <c r="E337" s="9"/>
      <c r="F337" s="9"/>
      <c r="G337" s="9"/>
      <c r="H337" s="9"/>
      <c r="I337" s="9"/>
      <c r="J337" s="9"/>
      <c r="K337" s="9"/>
      <c r="L337" s="115">
        <f>IF(L$233&gt;0, IF(M$233=0, 'Adjustment for previous period'!$G244, 0), 0)</f>
        <v>0</v>
      </c>
      <c r="M337" s="115">
        <f>IF(M$233&gt;0, IF(N$233=0, 'Adjustment for previous period'!$G244, 0), 0)</f>
        <v>0</v>
      </c>
      <c r="N337" s="115">
        <f>IF(N$233&gt;0, IF(O$233=0, 'Adjustment for previous period'!$G244, 0), 0)</f>
        <v>0</v>
      </c>
      <c r="O337" s="115">
        <f>IF(O$233&gt;0, IF(P$233=0, 'Adjustment for previous period'!$G244, 0), 0)</f>
        <v>0</v>
      </c>
      <c r="P337" s="115">
        <f>IF(P$233&gt;0, IF(Q$233=0, 'Adjustment for previous period'!$G244, 0), 0)</f>
        <v>0</v>
      </c>
      <c r="Q337" s="115">
        <f>IF(Q$233&gt;0, IF(R$233=0, 'Adjustment for previous period'!$G244, 0), 0)</f>
        <v>0</v>
      </c>
      <c r="R337" s="9"/>
      <c r="S337" s="9"/>
      <c r="T337" s="9"/>
      <c r="U337" s="9"/>
      <c r="V337" s="9"/>
      <c r="W337" s="9"/>
      <c r="X337" s="9"/>
      <c r="Y337" s="9"/>
      <c r="Z337" s="9"/>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row>
    <row r="338" spans="1:64" hidden="1" outlineLevel="1">
      <c r="A338" s="9"/>
      <c r="B338" s="9"/>
      <c r="C338" s="9"/>
      <c r="D338" s="271">
        <f>Asset9</f>
        <v>0</v>
      </c>
      <c r="E338" s="9"/>
      <c r="F338" s="9"/>
      <c r="G338" s="9"/>
      <c r="H338" s="9"/>
      <c r="I338" s="9"/>
      <c r="J338" s="9"/>
      <c r="K338" s="9"/>
      <c r="L338" s="115">
        <f>IF(L$233&gt;0, IF(M$233=0, 'Adjustment for previous period'!$G245, 0), 0)</f>
        <v>0</v>
      </c>
      <c r="M338" s="115">
        <f>IF(M$233&gt;0, IF(N$233=0, 'Adjustment for previous period'!$G245, 0), 0)</f>
        <v>0</v>
      </c>
      <c r="N338" s="115">
        <f>IF(N$233&gt;0, IF(O$233=0, 'Adjustment for previous period'!$G245, 0), 0)</f>
        <v>0</v>
      </c>
      <c r="O338" s="115">
        <f>IF(O$233&gt;0, IF(P$233=0, 'Adjustment for previous period'!$G245, 0), 0)</f>
        <v>0</v>
      </c>
      <c r="P338" s="115">
        <f>IF(P$233&gt;0, IF(Q$233=0, 'Adjustment for previous period'!$G245, 0), 0)</f>
        <v>0</v>
      </c>
      <c r="Q338" s="115">
        <f>IF(Q$233&gt;0, IF(R$233=0, 'Adjustment for previous period'!$G245, 0), 0)</f>
        <v>0</v>
      </c>
      <c r="R338" s="9"/>
      <c r="S338" s="9"/>
      <c r="T338" s="9"/>
      <c r="U338" s="9"/>
      <c r="V338" s="9"/>
      <c r="W338" s="9"/>
      <c r="X338" s="9"/>
      <c r="Y338" s="9"/>
      <c r="Z338" s="9"/>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row>
    <row r="339" spans="1:64" hidden="1" outlineLevel="1">
      <c r="A339" s="9"/>
      <c r="B339" s="9"/>
      <c r="C339" s="9"/>
      <c r="D339" s="271">
        <f>Asset10</f>
        <v>0</v>
      </c>
      <c r="E339" s="9"/>
      <c r="F339" s="9"/>
      <c r="G339" s="9"/>
      <c r="H339" s="9"/>
      <c r="I339" s="9"/>
      <c r="J339" s="9"/>
      <c r="K339" s="9"/>
      <c r="L339" s="115">
        <f>IF(L$233&gt;0, IF(M$233=0, 'Adjustment for previous period'!$G246, 0), 0)</f>
        <v>0</v>
      </c>
      <c r="M339" s="115">
        <f>IF(M$233&gt;0, IF(N$233=0, 'Adjustment for previous period'!$G246, 0), 0)</f>
        <v>0</v>
      </c>
      <c r="N339" s="115">
        <f>IF(N$233&gt;0, IF(O$233=0, 'Adjustment for previous period'!$G246, 0), 0)</f>
        <v>0</v>
      </c>
      <c r="O339" s="115">
        <f>IF(O$233&gt;0, IF(P$233=0, 'Adjustment for previous period'!$G246, 0), 0)</f>
        <v>0</v>
      </c>
      <c r="P339" s="115">
        <f>IF(P$233&gt;0, IF(Q$233=0, 'Adjustment for previous period'!$G246, 0), 0)</f>
        <v>0</v>
      </c>
      <c r="Q339" s="115">
        <f>IF(Q$233&gt;0, IF(R$233=0, 'Adjustment for previous period'!$G246, 0), 0)</f>
        <v>0</v>
      </c>
      <c r="R339" s="9"/>
      <c r="S339" s="9"/>
      <c r="T339" s="9"/>
      <c r="U339" s="9"/>
      <c r="V339" s="9"/>
      <c r="W339" s="9"/>
      <c r="X339" s="9"/>
      <c r="Y339" s="9"/>
      <c r="Z339" s="9"/>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row>
    <row r="340" spans="1:64" hidden="1" outlineLevel="1">
      <c r="A340" s="9"/>
      <c r="B340" s="9"/>
      <c r="C340" s="9"/>
      <c r="D340" s="271">
        <f>Asset11</f>
        <v>0</v>
      </c>
      <c r="E340" s="9"/>
      <c r="F340" s="9"/>
      <c r="G340" s="9"/>
      <c r="H340" s="9"/>
      <c r="I340" s="9"/>
      <c r="J340" s="9"/>
      <c r="K340" s="9"/>
      <c r="L340" s="115">
        <f>IF(L$233&gt;0, IF(M$233=0, 'Adjustment for previous period'!$G247, 0), 0)</f>
        <v>0</v>
      </c>
      <c r="M340" s="115">
        <f>IF(M$233&gt;0, IF(N$233=0, 'Adjustment for previous period'!$G247, 0), 0)</f>
        <v>0</v>
      </c>
      <c r="N340" s="115">
        <f>IF(N$233&gt;0, IF(O$233=0, 'Adjustment for previous period'!$G247, 0), 0)</f>
        <v>0</v>
      </c>
      <c r="O340" s="115">
        <f>IF(O$233&gt;0, IF(P$233=0, 'Adjustment for previous period'!$G247, 0), 0)</f>
        <v>0</v>
      </c>
      <c r="P340" s="115">
        <f>IF(P$233&gt;0, IF(Q$233=0, 'Adjustment for previous period'!$G247, 0), 0)</f>
        <v>0</v>
      </c>
      <c r="Q340" s="115">
        <f>IF(Q$233&gt;0, IF(R$233=0, 'Adjustment for previous period'!$G247, 0), 0)</f>
        <v>0</v>
      </c>
      <c r="R340" s="9"/>
      <c r="S340" s="9"/>
      <c r="T340" s="9"/>
      <c r="U340" s="9"/>
      <c r="V340" s="9"/>
      <c r="W340" s="9"/>
      <c r="X340" s="9"/>
      <c r="Y340" s="9"/>
      <c r="Z340" s="9"/>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row>
    <row r="341" spans="1:64" hidden="1" outlineLevel="1">
      <c r="A341" s="9"/>
      <c r="B341" s="9"/>
      <c r="C341" s="9"/>
      <c r="D341" s="271">
        <f>Asset12</f>
        <v>0</v>
      </c>
      <c r="E341" s="9"/>
      <c r="F341" s="9"/>
      <c r="G341" s="9"/>
      <c r="H341" s="9"/>
      <c r="I341" s="9"/>
      <c r="J341" s="9"/>
      <c r="K341" s="9"/>
      <c r="L341" s="115">
        <f>IF(L$233&gt;0, IF(M$233=0, 'Adjustment for previous period'!$G248, 0), 0)</f>
        <v>0</v>
      </c>
      <c r="M341" s="115">
        <f>IF(M$233&gt;0, IF(N$233=0, 'Adjustment for previous period'!$G248, 0), 0)</f>
        <v>0</v>
      </c>
      <c r="N341" s="115">
        <f>IF(N$233&gt;0, IF(O$233=0, 'Adjustment for previous period'!$G248, 0), 0)</f>
        <v>0</v>
      </c>
      <c r="O341" s="115">
        <f>IF(O$233&gt;0, IF(P$233=0, 'Adjustment for previous period'!$G248, 0), 0)</f>
        <v>0</v>
      </c>
      <c r="P341" s="115">
        <f>IF(P$233&gt;0, IF(Q$233=0, 'Adjustment for previous period'!$G248, 0), 0)</f>
        <v>0</v>
      </c>
      <c r="Q341" s="115">
        <f>IF(Q$233&gt;0, IF(R$233=0, 'Adjustment for previous period'!$G248, 0), 0)</f>
        <v>0</v>
      </c>
      <c r="R341" s="9"/>
      <c r="S341" s="9"/>
      <c r="T341" s="9"/>
      <c r="U341" s="9"/>
      <c r="V341" s="9"/>
      <c r="W341" s="9"/>
      <c r="X341" s="9"/>
      <c r="Y341" s="9"/>
      <c r="Z341" s="9"/>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row>
    <row r="342" spans="1:64" hidden="1" outlineLevel="1">
      <c r="A342" s="9"/>
      <c r="B342" s="9"/>
      <c r="C342" s="9"/>
      <c r="D342" s="271">
        <f>Asset13</f>
        <v>0</v>
      </c>
      <c r="E342" s="9"/>
      <c r="F342" s="9"/>
      <c r="G342" s="9"/>
      <c r="H342" s="9"/>
      <c r="I342" s="9"/>
      <c r="J342" s="9"/>
      <c r="K342" s="9"/>
      <c r="L342" s="115">
        <f>IF(L$233&gt;0, IF(M$233=0, 'Adjustment for previous period'!$G249, 0), 0)</f>
        <v>0</v>
      </c>
      <c r="M342" s="115">
        <f>IF(M$233&gt;0, IF(N$233=0, 'Adjustment for previous period'!$G249, 0), 0)</f>
        <v>0</v>
      </c>
      <c r="N342" s="115">
        <f>IF(N$233&gt;0, IF(O$233=0, 'Adjustment for previous period'!$G249, 0), 0)</f>
        <v>0</v>
      </c>
      <c r="O342" s="115">
        <f>IF(O$233&gt;0, IF(P$233=0, 'Adjustment for previous period'!$G249, 0), 0)</f>
        <v>0</v>
      </c>
      <c r="P342" s="115">
        <f>IF(P$233&gt;0, IF(Q$233=0, 'Adjustment for previous period'!$G249, 0), 0)</f>
        <v>0</v>
      </c>
      <c r="Q342" s="115">
        <f>IF(Q$233&gt;0, IF(R$233=0, 'Adjustment for previous period'!$G249, 0), 0)</f>
        <v>0</v>
      </c>
      <c r="R342" s="9"/>
      <c r="S342" s="9"/>
      <c r="T342" s="9"/>
      <c r="U342" s="9"/>
      <c r="V342" s="9"/>
      <c r="W342" s="9"/>
      <c r="X342" s="9"/>
      <c r="Y342" s="9"/>
      <c r="Z342" s="9"/>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row>
    <row r="343" spans="1:64" hidden="1" outlineLevel="1">
      <c r="A343" s="9"/>
      <c r="B343" s="9"/>
      <c r="C343" s="9"/>
      <c r="D343" s="271">
        <f>Asset14</f>
        <v>0</v>
      </c>
      <c r="E343" s="9"/>
      <c r="F343" s="9"/>
      <c r="G343" s="9"/>
      <c r="H343" s="9"/>
      <c r="I343" s="9"/>
      <c r="J343" s="9"/>
      <c r="K343" s="9"/>
      <c r="L343" s="115">
        <f>IF(L$233&gt;0, IF(M$233=0, 'Adjustment for previous period'!$G250, 0), 0)</f>
        <v>0</v>
      </c>
      <c r="M343" s="115">
        <f>IF(M$233&gt;0, IF(N$233=0, 'Adjustment for previous period'!$G250, 0), 0)</f>
        <v>0</v>
      </c>
      <c r="N343" s="115">
        <f>IF(N$233&gt;0, IF(O$233=0, 'Adjustment for previous period'!$G250, 0), 0)</f>
        <v>0</v>
      </c>
      <c r="O343" s="115">
        <f>IF(O$233&gt;0, IF(P$233=0, 'Adjustment for previous period'!$G250, 0), 0)</f>
        <v>0</v>
      </c>
      <c r="P343" s="115">
        <f>IF(P$233&gt;0, IF(Q$233=0, 'Adjustment for previous period'!$G250, 0), 0)</f>
        <v>0</v>
      </c>
      <c r="Q343" s="115">
        <f>IF(Q$233&gt;0, IF(R$233=0, 'Adjustment for previous period'!$G250, 0), 0)</f>
        <v>0</v>
      </c>
      <c r="R343" s="9"/>
      <c r="S343" s="9"/>
      <c r="T343" s="9"/>
      <c r="U343" s="9"/>
      <c r="V343" s="9"/>
      <c r="W343" s="9"/>
      <c r="X343" s="9"/>
      <c r="Y343" s="9"/>
      <c r="Z343" s="9"/>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row>
    <row r="344" spans="1:64" hidden="1" outlineLevel="1">
      <c r="A344" s="9"/>
      <c r="B344" s="9"/>
      <c r="C344" s="9"/>
      <c r="D344" s="271">
        <f>Asset15</f>
        <v>0</v>
      </c>
      <c r="E344" s="9"/>
      <c r="F344" s="9"/>
      <c r="G344" s="9"/>
      <c r="H344" s="9"/>
      <c r="I344" s="9"/>
      <c r="J344" s="9"/>
      <c r="K344" s="9"/>
      <c r="L344" s="115">
        <f>IF(L$233&gt;0, IF(M$233=0, 'Adjustment for previous period'!$G251, 0), 0)</f>
        <v>0</v>
      </c>
      <c r="M344" s="115">
        <f>IF(M$233&gt;0, IF(N$233=0, 'Adjustment for previous period'!$G251, 0), 0)</f>
        <v>0</v>
      </c>
      <c r="N344" s="115">
        <f>IF(N$233&gt;0, IF(O$233=0, 'Adjustment for previous period'!$G251, 0), 0)</f>
        <v>0</v>
      </c>
      <c r="O344" s="115">
        <f>IF(O$233&gt;0, IF(P$233=0, 'Adjustment for previous period'!$G251, 0), 0)</f>
        <v>0</v>
      </c>
      <c r="P344" s="115">
        <f>IF(P$233&gt;0, IF(Q$233=0, 'Adjustment for previous period'!$G251, 0), 0)</f>
        <v>0</v>
      </c>
      <c r="Q344" s="115">
        <f>IF(Q$233&gt;0, IF(R$233=0, 'Adjustment for previous period'!$G251, 0), 0)</f>
        <v>0</v>
      </c>
      <c r="R344" s="9"/>
      <c r="S344" s="9"/>
      <c r="T344" s="9"/>
      <c r="U344" s="9"/>
      <c r="V344" s="9"/>
      <c r="W344" s="9"/>
      <c r="X344" s="9"/>
      <c r="Y344" s="9"/>
      <c r="Z344" s="9"/>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row>
    <row r="345" spans="1:64" hidden="1" outlineLevel="1">
      <c r="A345" s="9"/>
      <c r="B345" s="9"/>
      <c r="C345" s="9"/>
      <c r="D345" s="271">
        <f>Asset16</f>
        <v>0</v>
      </c>
      <c r="E345" s="9"/>
      <c r="F345" s="9"/>
      <c r="G345" s="9"/>
      <c r="H345" s="9"/>
      <c r="I345" s="9"/>
      <c r="J345" s="9"/>
      <c r="K345" s="9"/>
      <c r="L345" s="115">
        <f>IF(L$233&gt;0, IF(M$233=0, 'Adjustment for previous period'!$G252, 0), 0)</f>
        <v>0</v>
      </c>
      <c r="M345" s="115">
        <f>IF(M$233&gt;0, IF(N$233=0, 'Adjustment for previous period'!$G252, 0), 0)</f>
        <v>0</v>
      </c>
      <c r="N345" s="115">
        <f>IF(N$233&gt;0, IF(O$233=0, 'Adjustment for previous period'!$G252, 0), 0)</f>
        <v>0</v>
      </c>
      <c r="O345" s="115">
        <f>IF(O$233&gt;0, IF(P$233=0, 'Adjustment for previous period'!$G252, 0), 0)</f>
        <v>0</v>
      </c>
      <c r="P345" s="115">
        <f>IF(P$233&gt;0, IF(Q$233=0, 'Adjustment for previous period'!$G252, 0), 0)</f>
        <v>0</v>
      </c>
      <c r="Q345" s="115">
        <f>IF(Q$233&gt;0, IF(R$233=0, 'Adjustment for previous period'!$G252, 0), 0)</f>
        <v>0</v>
      </c>
      <c r="R345" s="9"/>
      <c r="S345" s="9"/>
      <c r="T345" s="9"/>
      <c r="U345" s="9"/>
      <c r="V345" s="9"/>
      <c r="W345" s="9"/>
      <c r="X345" s="9"/>
      <c r="Y345" s="9"/>
      <c r="Z345" s="9"/>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row>
    <row r="346" spans="1:64" hidden="1" outlineLevel="1">
      <c r="A346" s="9"/>
      <c r="B346" s="9"/>
      <c r="C346" s="9"/>
      <c r="D346" s="271">
        <f>Asset17</f>
        <v>0</v>
      </c>
      <c r="E346" s="9"/>
      <c r="F346" s="9"/>
      <c r="G346" s="9"/>
      <c r="H346" s="9"/>
      <c r="I346" s="9"/>
      <c r="J346" s="9"/>
      <c r="K346" s="9"/>
      <c r="L346" s="115">
        <f>IF(L$233&gt;0, IF(M$233=0, 'Adjustment for previous period'!$G253, 0), 0)</f>
        <v>0</v>
      </c>
      <c r="M346" s="115">
        <f>IF(M$233&gt;0, IF(N$233=0, 'Adjustment for previous period'!$G253, 0), 0)</f>
        <v>0</v>
      </c>
      <c r="N346" s="115">
        <f>IF(N$233&gt;0, IF(O$233=0, 'Adjustment for previous period'!$G253, 0), 0)</f>
        <v>0</v>
      </c>
      <c r="O346" s="115">
        <f>IF(O$233&gt;0, IF(P$233=0, 'Adjustment for previous period'!$G253, 0), 0)</f>
        <v>0</v>
      </c>
      <c r="P346" s="115">
        <f>IF(P$233&gt;0, IF(Q$233=0, 'Adjustment for previous period'!$G253, 0), 0)</f>
        <v>0</v>
      </c>
      <c r="Q346" s="115">
        <f>IF(Q$233&gt;0, IF(R$233=0, 'Adjustment for previous period'!$G253, 0), 0)</f>
        <v>0</v>
      </c>
      <c r="R346" s="9"/>
      <c r="S346" s="9"/>
      <c r="T346" s="9"/>
      <c r="U346" s="9"/>
      <c r="V346" s="9"/>
      <c r="W346" s="9"/>
      <c r="X346" s="9"/>
      <c r="Y346" s="9"/>
      <c r="Z346" s="9"/>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row>
    <row r="347" spans="1:64" hidden="1" outlineLevel="1">
      <c r="A347" s="9"/>
      <c r="B347" s="9"/>
      <c r="C347" s="9"/>
      <c r="D347" s="271">
        <f>Asset18</f>
        <v>0</v>
      </c>
      <c r="E347" s="9"/>
      <c r="F347" s="9"/>
      <c r="G347" s="9"/>
      <c r="H347" s="9"/>
      <c r="I347" s="9"/>
      <c r="J347" s="9"/>
      <c r="K347" s="9"/>
      <c r="L347" s="115">
        <f>IF(L$233&gt;0, IF(M$233=0, 'Adjustment for previous period'!$G254, 0), 0)</f>
        <v>0</v>
      </c>
      <c r="M347" s="115">
        <f>IF(M$233&gt;0, IF(N$233=0, 'Adjustment for previous period'!$G254, 0), 0)</f>
        <v>0</v>
      </c>
      <c r="N347" s="115">
        <f>IF(N$233&gt;0, IF(O$233=0, 'Adjustment for previous period'!$G254, 0), 0)</f>
        <v>0</v>
      </c>
      <c r="O347" s="115">
        <f>IF(O$233&gt;0, IF(P$233=0, 'Adjustment for previous period'!$G254, 0), 0)</f>
        <v>0</v>
      </c>
      <c r="P347" s="115">
        <f>IF(P$233&gt;0, IF(Q$233=0, 'Adjustment for previous period'!$G254, 0), 0)</f>
        <v>0</v>
      </c>
      <c r="Q347" s="115">
        <f>IF(Q$233&gt;0, IF(R$233=0, 'Adjustment for previous period'!$G254, 0), 0)</f>
        <v>0</v>
      </c>
      <c r="R347" s="9"/>
      <c r="S347" s="9"/>
      <c r="T347" s="9"/>
      <c r="U347" s="9"/>
      <c r="V347" s="9"/>
      <c r="W347" s="9"/>
      <c r="X347" s="9"/>
      <c r="Y347" s="9"/>
      <c r="Z347" s="9"/>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row>
    <row r="348" spans="1:64" hidden="1" outlineLevel="1">
      <c r="A348" s="9"/>
      <c r="B348" s="9"/>
      <c r="C348" s="9"/>
      <c r="D348" s="271">
        <f>Asset19</f>
        <v>0</v>
      </c>
      <c r="E348" s="9"/>
      <c r="F348" s="9"/>
      <c r="G348" s="9"/>
      <c r="H348" s="9"/>
      <c r="I348" s="9"/>
      <c r="J348" s="9"/>
      <c r="K348" s="9"/>
      <c r="L348" s="115">
        <f>IF(L$233&gt;0, IF(M$233=0, 'Adjustment for previous period'!$G255, 0), 0)</f>
        <v>0</v>
      </c>
      <c r="M348" s="115">
        <f>IF(M$233&gt;0, IF(N$233=0, 'Adjustment for previous period'!$G255, 0), 0)</f>
        <v>0</v>
      </c>
      <c r="N348" s="115">
        <f>IF(N$233&gt;0, IF(O$233=0, 'Adjustment for previous period'!$G255, 0), 0)</f>
        <v>0</v>
      </c>
      <c r="O348" s="115">
        <f>IF(O$233&gt;0, IF(P$233=0, 'Adjustment for previous period'!$G255, 0), 0)</f>
        <v>0</v>
      </c>
      <c r="P348" s="115">
        <f>IF(P$233&gt;0, IF(Q$233=0, 'Adjustment for previous period'!$G255, 0), 0)</f>
        <v>0</v>
      </c>
      <c r="Q348" s="115">
        <f>IF(Q$233&gt;0, IF(R$233=0, 'Adjustment for previous period'!$G255, 0), 0)</f>
        <v>0</v>
      </c>
      <c r="R348" s="9"/>
      <c r="S348" s="9"/>
      <c r="T348" s="9"/>
      <c r="U348" s="9"/>
      <c r="V348" s="9"/>
      <c r="W348" s="9"/>
      <c r="X348" s="9"/>
      <c r="Y348" s="9"/>
      <c r="Z348" s="9"/>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row>
    <row r="349" spans="1:64" hidden="1" outlineLevel="1">
      <c r="A349" s="9"/>
      <c r="B349" s="9"/>
      <c r="C349" s="9"/>
      <c r="D349" s="271">
        <f>Asset20</f>
        <v>0</v>
      </c>
      <c r="E349" s="9"/>
      <c r="F349" s="9"/>
      <c r="G349" s="9"/>
      <c r="H349" s="9"/>
      <c r="I349" s="9"/>
      <c r="J349" s="9"/>
      <c r="K349" s="9"/>
      <c r="L349" s="115">
        <f>IF(L$233&gt;0, IF(M$233=0, 'Adjustment for previous period'!$G256, 0), 0)</f>
        <v>0</v>
      </c>
      <c r="M349" s="115">
        <f>IF(M$233&gt;0, IF(N$233=0, 'Adjustment for previous period'!$G256, 0), 0)</f>
        <v>0</v>
      </c>
      <c r="N349" s="115">
        <f>IF(N$233&gt;0, IF(O$233=0, 'Adjustment for previous period'!$G256, 0), 0)</f>
        <v>0</v>
      </c>
      <c r="O349" s="115">
        <f>IF(O$233&gt;0, IF(P$233=0, 'Adjustment for previous period'!$G256, 0), 0)</f>
        <v>0</v>
      </c>
      <c r="P349" s="115">
        <f>IF(P$233&gt;0, IF(Q$233=0, 'Adjustment for previous period'!$G256, 0), 0)</f>
        <v>0</v>
      </c>
      <c r="Q349" s="115">
        <f>IF(Q$233&gt;0, IF(R$233=0, 'Adjustment for previous period'!$G256, 0), 0)</f>
        <v>0</v>
      </c>
      <c r="R349" s="9"/>
      <c r="S349" s="9"/>
      <c r="T349" s="9"/>
      <c r="U349" s="9"/>
      <c r="V349" s="9"/>
      <c r="W349" s="9"/>
      <c r="X349" s="9"/>
      <c r="Y349" s="9"/>
      <c r="Z349" s="9"/>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row>
    <row r="350" spans="1:64" hidden="1" outlineLevel="1">
      <c r="A350" s="9"/>
      <c r="B350" s="9"/>
      <c r="C350" s="9"/>
      <c r="D350" s="271">
        <f>Asset21</f>
        <v>0</v>
      </c>
      <c r="E350" s="9"/>
      <c r="F350" s="9"/>
      <c r="G350" s="9"/>
      <c r="H350" s="9"/>
      <c r="I350" s="9"/>
      <c r="J350" s="9"/>
      <c r="K350" s="9"/>
      <c r="L350" s="115">
        <f>IF(L$233&gt;0, IF(M$233=0, 'Adjustment for previous period'!$G257, 0), 0)</f>
        <v>0</v>
      </c>
      <c r="M350" s="115">
        <f>IF(M$233&gt;0, IF(N$233=0, 'Adjustment for previous period'!$G257, 0), 0)</f>
        <v>0</v>
      </c>
      <c r="N350" s="115">
        <f>IF(N$233&gt;0, IF(O$233=0, 'Adjustment for previous period'!$G257, 0), 0)</f>
        <v>0</v>
      </c>
      <c r="O350" s="115">
        <f>IF(O$233&gt;0, IF(P$233=0, 'Adjustment for previous period'!$G257, 0), 0)</f>
        <v>0</v>
      </c>
      <c r="P350" s="115">
        <f>IF(P$233&gt;0, IF(Q$233=0, 'Adjustment for previous period'!$G257, 0), 0)</f>
        <v>0</v>
      </c>
      <c r="Q350" s="115">
        <f>IF(Q$233&gt;0, IF(R$233=0, 'Adjustment for previous period'!$G257, 0), 0)</f>
        <v>0</v>
      </c>
      <c r="R350" s="9"/>
      <c r="S350" s="9"/>
      <c r="T350" s="9"/>
      <c r="U350" s="9"/>
      <c r="V350" s="9"/>
      <c r="W350" s="9"/>
      <c r="X350" s="9"/>
      <c r="Y350" s="9"/>
      <c r="Z350" s="9"/>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row>
    <row r="351" spans="1:64" hidden="1" outlineLevel="1">
      <c r="A351" s="9"/>
      <c r="B351" s="9"/>
      <c r="C351" s="9"/>
      <c r="D351" s="271">
        <f>Asset22</f>
        <v>0</v>
      </c>
      <c r="E351" s="9"/>
      <c r="F351" s="9"/>
      <c r="G351" s="9"/>
      <c r="H351" s="9"/>
      <c r="I351" s="9"/>
      <c r="J351" s="9"/>
      <c r="K351" s="9"/>
      <c r="L351" s="115">
        <f>IF(L$233&gt;0, IF(M$233=0, 'Adjustment for previous period'!$G258, 0), 0)</f>
        <v>0</v>
      </c>
      <c r="M351" s="115">
        <f>IF(M$233&gt;0, IF(N$233=0, 'Adjustment for previous period'!$G258, 0), 0)</f>
        <v>0</v>
      </c>
      <c r="N351" s="115">
        <f>IF(N$233&gt;0, IF(O$233=0, 'Adjustment for previous period'!$G258, 0), 0)</f>
        <v>0</v>
      </c>
      <c r="O351" s="115">
        <f>IF(O$233&gt;0, IF(P$233=0, 'Adjustment for previous period'!$G258, 0), 0)</f>
        <v>0</v>
      </c>
      <c r="P351" s="115">
        <f>IF(P$233&gt;0, IF(Q$233=0, 'Adjustment for previous period'!$G258, 0), 0)</f>
        <v>0</v>
      </c>
      <c r="Q351" s="115">
        <f>IF(Q$233&gt;0, IF(R$233=0, 'Adjustment for previous period'!$G258, 0), 0)</f>
        <v>0</v>
      </c>
      <c r="R351" s="9"/>
      <c r="S351" s="9"/>
      <c r="T351" s="9"/>
      <c r="U351" s="9"/>
      <c r="V351" s="9"/>
      <c r="W351" s="9"/>
      <c r="X351" s="9"/>
      <c r="Y351" s="9"/>
      <c r="Z351" s="9"/>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row>
    <row r="352" spans="1:64" hidden="1" outlineLevel="1">
      <c r="A352" s="9"/>
      <c r="B352" s="9"/>
      <c r="C352" s="9"/>
      <c r="D352" s="271">
        <f>Asset23</f>
        <v>0</v>
      </c>
      <c r="E352" s="9"/>
      <c r="F352" s="9"/>
      <c r="G352" s="9"/>
      <c r="H352" s="9"/>
      <c r="I352" s="9"/>
      <c r="J352" s="9"/>
      <c r="K352" s="9"/>
      <c r="L352" s="115">
        <f>IF(L$233&gt;0, IF(M$233=0, 'Adjustment for previous period'!$G259, 0), 0)</f>
        <v>0</v>
      </c>
      <c r="M352" s="115">
        <f>IF(M$233&gt;0, IF(N$233=0, 'Adjustment for previous period'!$G259, 0), 0)</f>
        <v>0</v>
      </c>
      <c r="N352" s="115">
        <f>IF(N$233&gt;0, IF(O$233=0, 'Adjustment for previous period'!$G259, 0), 0)</f>
        <v>0</v>
      </c>
      <c r="O352" s="115">
        <f>IF(O$233&gt;0, IF(P$233=0, 'Adjustment for previous period'!$G259, 0), 0)</f>
        <v>0</v>
      </c>
      <c r="P352" s="115">
        <f>IF(P$233&gt;0, IF(Q$233=0, 'Adjustment for previous period'!$G259, 0), 0)</f>
        <v>0</v>
      </c>
      <c r="Q352" s="115">
        <f>IF(Q$233&gt;0, IF(R$233=0, 'Adjustment for previous period'!$G259, 0), 0)</f>
        <v>0</v>
      </c>
      <c r="R352" s="9"/>
      <c r="S352" s="9"/>
      <c r="T352" s="9"/>
      <c r="U352" s="9"/>
      <c r="V352" s="9"/>
      <c r="W352" s="9"/>
      <c r="X352" s="9"/>
      <c r="Y352" s="9"/>
      <c r="Z352" s="9"/>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row>
    <row r="353" spans="1:64" hidden="1" outlineLevel="1">
      <c r="A353" s="9"/>
      <c r="B353" s="9"/>
      <c r="C353" s="9"/>
      <c r="D353" s="271">
        <f>Asset24</f>
        <v>0</v>
      </c>
      <c r="E353" s="9"/>
      <c r="F353" s="9"/>
      <c r="G353" s="9"/>
      <c r="H353" s="9"/>
      <c r="I353" s="9"/>
      <c r="J353" s="9"/>
      <c r="K353" s="9"/>
      <c r="L353" s="115">
        <f>IF(L$233&gt;0, IF(M$233=0, 'Adjustment for previous period'!$G260, 0), 0)</f>
        <v>0</v>
      </c>
      <c r="M353" s="115">
        <f>IF(M$233&gt;0, IF(N$233=0, 'Adjustment for previous period'!$G260, 0), 0)</f>
        <v>0</v>
      </c>
      <c r="N353" s="115">
        <f>IF(N$233&gt;0, IF(O$233=0, 'Adjustment for previous period'!$G260, 0), 0)</f>
        <v>0</v>
      </c>
      <c r="O353" s="115">
        <f>IF(O$233&gt;0, IF(P$233=0, 'Adjustment for previous period'!$G260, 0), 0)</f>
        <v>0</v>
      </c>
      <c r="P353" s="115">
        <f>IF(P$233&gt;0, IF(Q$233=0, 'Adjustment for previous period'!$G260, 0), 0)</f>
        <v>0</v>
      </c>
      <c r="Q353" s="115">
        <f>IF(Q$233&gt;0, IF(R$233=0, 'Adjustment for previous period'!$G260, 0), 0)</f>
        <v>0</v>
      </c>
      <c r="R353" s="9"/>
      <c r="S353" s="9"/>
      <c r="T353" s="9"/>
      <c r="U353" s="9"/>
      <c r="V353" s="9"/>
      <c r="W353" s="9"/>
      <c r="X353" s="9"/>
      <c r="Y353" s="9"/>
      <c r="Z353" s="9"/>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row>
    <row r="354" spans="1:64" hidden="1" outlineLevel="1">
      <c r="A354" s="9"/>
      <c r="B354" s="9"/>
      <c r="C354" s="9"/>
      <c r="D354" s="271">
        <f>Asset25</f>
        <v>0</v>
      </c>
      <c r="E354" s="9"/>
      <c r="F354" s="9"/>
      <c r="G354" s="9"/>
      <c r="H354" s="9"/>
      <c r="I354" s="9"/>
      <c r="J354" s="9"/>
      <c r="K354" s="9"/>
      <c r="L354" s="115">
        <f>IF(L$233&gt;0, IF(M$233=0, 'Adjustment for previous period'!$G261, 0), 0)</f>
        <v>0</v>
      </c>
      <c r="M354" s="115">
        <f>IF(M$233&gt;0, IF(N$233=0, 'Adjustment for previous period'!$G261, 0), 0)</f>
        <v>0</v>
      </c>
      <c r="N354" s="115">
        <f>IF(N$233&gt;0, IF(O$233=0, 'Adjustment for previous period'!$G261, 0), 0)</f>
        <v>0</v>
      </c>
      <c r="O354" s="115">
        <f>IF(O$233&gt;0, IF(P$233=0, 'Adjustment for previous period'!$G261, 0), 0)</f>
        <v>0</v>
      </c>
      <c r="P354" s="115">
        <f>IF(P$233&gt;0, IF(Q$233=0, 'Adjustment for previous period'!$G261, 0), 0)</f>
        <v>0</v>
      </c>
      <c r="Q354" s="115">
        <f>IF(Q$233&gt;0, IF(R$233=0, 'Adjustment for previous period'!$G261, 0), 0)</f>
        <v>0</v>
      </c>
      <c r="R354" s="9"/>
      <c r="S354" s="9"/>
      <c r="T354" s="9"/>
      <c r="U354" s="9"/>
      <c r="V354" s="9"/>
      <c r="W354" s="9"/>
      <c r="X354" s="9"/>
      <c r="Y354" s="9"/>
      <c r="Z354" s="9"/>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row>
    <row r="355" spans="1:64" hidden="1" outlineLevel="1">
      <c r="A355" s="9"/>
      <c r="B355" s="9"/>
      <c r="C355" s="9"/>
      <c r="D355" s="271">
        <f>Asset26</f>
        <v>0</v>
      </c>
      <c r="E355" s="9"/>
      <c r="F355" s="9"/>
      <c r="G355" s="9"/>
      <c r="H355" s="9"/>
      <c r="I355" s="9"/>
      <c r="J355" s="9"/>
      <c r="K355" s="9"/>
      <c r="L355" s="115">
        <f>IF(L$233&gt;0, IF(M$233=0, 'Adjustment for previous period'!$G262, 0), 0)</f>
        <v>0</v>
      </c>
      <c r="M355" s="115">
        <f>IF(M$233&gt;0, IF(N$233=0, 'Adjustment for previous period'!$G262, 0), 0)</f>
        <v>0</v>
      </c>
      <c r="N355" s="115">
        <f>IF(N$233&gt;0, IF(O$233=0, 'Adjustment for previous period'!$G262, 0), 0)</f>
        <v>0</v>
      </c>
      <c r="O355" s="115">
        <f>IF(O$233&gt;0, IF(P$233=0, 'Adjustment for previous period'!$G262, 0), 0)</f>
        <v>0</v>
      </c>
      <c r="P355" s="115">
        <f>IF(P$233&gt;0, IF(Q$233=0, 'Adjustment for previous period'!$G262, 0), 0)</f>
        <v>0</v>
      </c>
      <c r="Q355" s="115">
        <f>IF(Q$233&gt;0, IF(R$233=0, 'Adjustment for previous period'!$G262, 0), 0)</f>
        <v>0</v>
      </c>
      <c r="R355" s="9"/>
      <c r="S355" s="9"/>
      <c r="T355" s="9"/>
      <c r="U355" s="9"/>
      <c r="V355" s="9"/>
      <c r="W355" s="9"/>
      <c r="X355" s="9"/>
      <c r="Y355" s="9"/>
      <c r="Z355" s="9"/>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row>
    <row r="356" spans="1:64" hidden="1" outlineLevel="1">
      <c r="A356" s="9"/>
      <c r="B356" s="9"/>
      <c r="C356" s="9"/>
      <c r="D356" s="271">
        <f>Asset27</f>
        <v>0</v>
      </c>
      <c r="E356" s="9"/>
      <c r="F356" s="9"/>
      <c r="G356" s="9"/>
      <c r="H356" s="9"/>
      <c r="I356" s="9"/>
      <c r="J356" s="9"/>
      <c r="K356" s="9"/>
      <c r="L356" s="115">
        <f>IF(L$233&gt;0, IF(M$233=0, 'Adjustment for previous period'!$G263, 0), 0)</f>
        <v>0</v>
      </c>
      <c r="M356" s="115">
        <f>IF(M$233&gt;0, IF(N$233=0, 'Adjustment for previous period'!$G263, 0), 0)</f>
        <v>0</v>
      </c>
      <c r="N356" s="115">
        <f>IF(N$233&gt;0, IF(O$233=0, 'Adjustment for previous period'!$G263, 0), 0)</f>
        <v>0</v>
      </c>
      <c r="O356" s="115">
        <f>IF(O$233&gt;0, IF(P$233=0, 'Adjustment for previous period'!$G263, 0), 0)</f>
        <v>0</v>
      </c>
      <c r="P356" s="115">
        <f>IF(P$233&gt;0, IF(Q$233=0, 'Adjustment for previous period'!$G263, 0), 0)</f>
        <v>0</v>
      </c>
      <c r="Q356" s="115">
        <f>IF(Q$233&gt;0, IF(R$233=0, 'Adjustment for previous period'!$G263, 0), 0)</f>
        <v>0</v>
      </c>
      <c r="R356" s="9"/>
      <c r="S356" s="9"/>
      <c r="T356" s="9"/>
      <c r="U356" s="9"/>
      <c r="V356" s="9"/>
      <c r="W356" s="9"/>
      <c r="X356" s="9"/>
      <c r="Y356" s="9"/>
      <c r="Z356" s="9"/>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row>
    <row r="357" spans="1:64" hidden="1" outlineLevel="1">
      <c r="A357" s="9"/>
      <c r="B357" s="9"/>
      <c r="C357" s="9"/>
      <c r="D357" s="271">
        <f>Asset28</f>
        <v>0</v>
      </c>
      <c r="E357" s="9"/>
      <c r="F357" s="9"/>
      <c r="G357" s="9"/>
      <c r="H357" s="9"/>
      <c r="I357" s="9"/>
      <c r="J357" s="9"/>
      <c r="K357" s="9"/>
      <c r="L357" s="115">
        <f>IF(L$233&gt;0, IF(M$233=0, 'Adjustment for previous period'!$G264, 0), 0)</f>
        <v>0</v>
      </c>
      <c r="M357" s="115">
        <f>IF(M$233&gt;0, IF(N$233=0, 'Adjustment for previous period'!$G264, 0), 0)</f>
        <v>0</v>
      </c>
      <c r="N357" s="115">
        <f>IF(N$233&gt;0, IF(O$233=0, 'Adjustment for previous period'!$G264, 0), 0)</f>
        <v>0</v>
      </c>
      <c r="O357" s="115">
        <f>IF(O$233&gt;0, IF(P$233=0, 'Adjustment for previous period'!$G264, 0), 0)</f>
        <v>0</v>
      </c>
      <c r="P357" s="115">
        <f>IF(P$233&gt;0, IF(Q$233=0, 'Adjustment for previous period'!$G264, 0), 0)</f>
        <v>0</v>
      </c>
      <c r="Q357" s="115">
        <f>IF(Q$233&gt;0, IF(R$233=0, 'Adjustment for previous period'!$G264, 0), 0)</f>
        <v>0</v>
      </c>
      <c r="R357" s="9"/>
      <c r="S357" s="9"/>
      <c r="T357" s="9"/>
      <c r="U357" s="9"/>
      <c r="V357" s="9"/>
      <c r="W357" s="9"/>
      <c r="X357" s="9"/>
      <c r="Y357" s="9"/>
      <c r="Z357" s="9"/>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row>
    <row r="358" spans="1:64" hidden="1" outlineLevel="1">
      <c r="A358" s="9"/>
      <c r="B358" s="9"/>
      <c r="C358" s="9"/>
      <c r="D358" s="271">
        <f>Asset29</f>
        <v>0</v>
      </c>
      <c r="E358" s="9"/>
      <c r="F358" s="9"/>
      <c r="G358" s="9"/>
      <c r="H358" s="9"/>
      <c r="I358" s="9"/>
      <c r="J358" s="9"/>
      <c r="K358" s="9"/>
      <c r="L358" s="115">
        <f>IF(L$233&gt;0, IF(M$233=0, 'Adjustment for previous period'!$G265, 0), 0)</f>
        <v>0</v>
      </c>
      <c r="M358" s="115">
        <f>IF(M$233&gt;0, IF(N$233=0, 'Adjustment for previous period'!$G265, 0), 0)</f>
        <v>0</v>
      </c>
      <c r="N358" s="115">
        <f>IF(N$233&gt;0, IF(O$233=0, 'Adjustment for previous period'!$G265, 0), 0)</f>
        <v>0</v>
      </c>
      <c r="O358" s="115">
        <f>IF(O$233&gt;0, IF(P$233=0, 'Adjustment for previous period'!$G265, 0), 0)</f>
        <v>0</v>
      </c>
      <c r="P358" s="115">
        <f>IF(P$233&gt;0, IF(Q$233=0, 'Adjustment for previous period'!$G265, 0), 0)</f>
        <v>0</v>
      </c>
      <c r="Q358" s="115">
        <f>IF(Q$233&gt;0, IF(R$233=0, 'Adjustment for previous period'!$G265, 0), 0)</f>
        <v>0</v>
      </c>
      <c r="R358" s="9"/>
      <c r="S358" s="9"/>
      <c r="T358" s="9"/>
      <c r="U358" s="9"/>
      <c r="V358" s="9"/>
      <c r="W358" s="9"/>
      <c r="X358" s="9"/>
      <c r="Y358" s="9"/>
      <c r="Z358" s="9"/>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row>
    <row r="359" spans="1:64" hidden="1" outlineLevel="1">
      <c r="A359" s="9"/>
      <c r="B359" s="9"/>
      <c r="C359" s="9"/>
      <c r="D359" s="271">
        <f>Asset30</f>
        <v>0</v>
      </c>
      <c r="E359" s="9"/>
      <c r="F359" s="9"/>
      <c r="G359" s="9"/>
      <c r="H359" s="9"/>
      <c r="I359" s="9"/>
      <c r="J359" s="9"/>
      <c r="K359" s="9"/>
      <c r="L359" s="115">
        <f>IF(L$233&gt;0, IF(M$233=0, 'Adjustment for previous period'!$G266, 0), 0)</f>
        <v>0</v>
      </c>
      <c r="M359" s="115">
        <f>IF(M$233&gt;0, IF(N$233=0, 'Adjustment for previous period'!$G266, 0), 0)</f>
        <v>0</v>
      </c>
      <c r="N359" s="115">
        <f>IF(N$233&gt;0, IF(O$233=0, 'Adjustment for previous period'!$G266, 0), 0)</f>
        <v>0</v>
      </c>
      <c r="O359" s="115">
        <f>IF(O$233&gt;0, IF(P$233=0, 'Adjustment for previous period'!$G266, 0), 0)</f>
        <v>0</v>
      </c>
      <c r="P359" s="115">
        <f>IF(P$233&gt;0, IF(Q$233=0, 'Adjustment for previous period'!$G266, 0), 0)</f>
        <v>0</v>
      </c>
      <c r="Q359" s="115">
        <f>IF(Q$233&gt;0, IF(R$233=0, 'Adjustment for previous period'!$G266, 0), 0)</f>
        <v>0</v>
      </c>
      <c r="R359" s="9"/>
      <c r="S359" s="9"/>
      <c r="T359" s="9"/>
      <c r="U359" s="9"/>
      <c r="V359" s="9"/>
      <c r="W359" s="9"/>
      <c r="X359" s="9"/>
      <c r="Y359" s="9"/>
      <c r="Z359" s="9"/>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row>
    <row r="360" spans="1:64" collapsed="1">
      <c r="A360" s="9"/>
      <c r="B360" s="9"/>
      <c r="C360" s="9"/>
      <c r="D360" s="35"/>
      <c r="E360" s="9"/>
      <c r="F360" s="9"/>
      <c r="G360" s="9"/>
      <c r="H360" s="9"/>
      <c r="I360" s="9"/>
      <c r="J360" s="9"/>
      <c r="K360" s="9"/>
      <c r="L360" s="9"/>
      <c r="M360" s="9"/>
      <c r="N360" s="12"/>
      <c r="O360" s="9"/>
      <c r="P360" s="9"/>
      <c r="Q360" s="9"/>
      <c r="R360" s="9"/>
      <c r="S360" s="9"/>
      <c r="T360" s="9"/>
      <c r="U360" s="9"/>
      <c r="V360" s="9"/>
      <c r="W360" s="9"/>
      <c r="X360" s="9"/>
      <c r="Y360" s="9"/>
      <c r="Z360" s="9"/>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row>
    <row r="361" spans="1:64">
      <c r="A361" s="9"/>
      <c r="B361" s="9"/>
      <c r="C361" s="9" t="s">
        <v>33</v>
      </c>
      <c r="D361" s="9"/>
      <c r="E361" s="9"/>
      <c r="F361" s="9"/>
      <c r="G361" s="9"/>
      <c r="H361" s="9"/>
      <c r="I361" s="9"/>
      <c r="J361" s="9"/>
      <c r="K361" s="9"/>
      <c r="L361" s="35">
        <f t="shared" ref="L361:Q361" si="19">SUM(L362:L391)</f>
        <v>0</v>
      </c>
      <c r="M361" s="35">
        <f t="shared" si="19"/>
        <v>0</v>
      </c>
      <c r="N361" s="35">
        <f t="shared" si="19"/>
        <v>0</v>
      </c>
      <c r="O361" s="35">
        <f t="shared" si="19"/>
        <v>0</v>
      </c>
      <c r="P361" s="35">
        <f t="shared" si="19"/>
        <v>0</v>
      </c>
      <c r="Q361" s="35">
        <f t="shared" si="19"/>
        <v>0</v>
      </c>
      <c r="R361" s="9"/>
      <c r="S361" s="9"/>
      <c r="T361" s="9"/>
      <c r="U361" s="9"/>
      <c r="V361" s="9"/>
      <c r="W361" s="9"/>
      <c r="X361" s="9"/>
      <c r="Y361" s="9"/>
      <c r="Z361" s="9"/>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row>
    <row r="362" spans="1:64" hidden="1" outlineLevel="1">
      <c r="A362" s="9"/>
      <c r="B362" s="9"/>
      <c r="C362" s="9"/>
      <c r="D362" s="271" t="str">
        <f>Asset1</f>
        <v>Subtransmission</v>
      </c>
      <c r="E362" s="9"/>
      <c r="F362" s="9"/>
      <c r="G362" s="9"/>
      <c r="H362" s="9"/>
      <c r="I362" s="9"/>
      <c r="J362" s="9"/>
      <c r="K362" s="9"/>
      <c r="L362" s="115">
        <f>IF(M$233=0, 'Adjustment for previous period'!L270, 0)</f>
        <v>0</v>
      </c>
      <c r="M362" s="115">
        <f>IF(N$233=0, 'Adjustment for previous period'!M270, 0)</f>
        <v>0</v>
      </c>
      <c r="N362" s="115">
        <f>IF(O$233=0, 'Adjustment for previous period'!N270, 0)</f>
        <v>0</v>
      </c>
      <c r="O362" s="115">
        <f>IF(P$233=0, 'Adjustment for previous period'!O270, 0)</f>
        <v>0</v>
      </c>
      <c r="P362" s="115">
        <f>IF(Q$233=0, 'Adjustment for previous period'!P270, 0)</f>
        <v>0</v>
      </c>
      <c r="Q362" s="115">
        <f>IF(R$233=0, 'Adjustment for previous period'!Q270, 0)</f>
        <v>0</v>
      </c>
      <c r="R362" s="9"/>
      <c r="S362" s="9"/>
      <c r="T362" s="9"/>
      <c r="U362" s="9"/>
      <c r="V362" s="9"/>
      <c r="W362" s="9"/>
      <c r="X362" s="9"/>
      <c r="Y362" s="9"/>
      <c r="Z362" s="9"/>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row>
    <row r="363" spans="1:64" hidden="1" outlineLevel="1">
      <c r="A363" s="9"/>
      <c r="B363" s="9"/>
      <c r="C363" s="9"/>
      <c r="D363" s="271" t="str">
        <f>Asset2</f>
        <v>Distribution system assets</v>
      </c>
      <c r="E363" s="9"/>
      <c r="F363" s="9"/>
      <c r="G363" s="9"/>
      <c r="H363" s="9"/>
      <c r="I363" s="9"/>
      <c r="J363" s="9"/>
      <c r="K363" s="9"/>
      <c r="L363" s="115">
        <f>IF(M$233=0, 'Adjustment for previous period'!L272, 0)</f>
        <v>0</v>
      </c>
      <c r="M363" s="115">
        <f>IF(N$233=0, 'Adjustment for previous period'!M272, 0)</f>
        <v>0</v>
      </c>
      <c r="N363" s="115">
        <f>IF(O$233=0, 'Adjustment for previous period'!N272, 0)</f>
        <v>0</v>
      </c>
      <c r="O363" s="115">
        <f>IF(P$233=0, 'Adjustment for previous period'!O272, 0)</f>
        <v>0</v>
      </c>
      <c r="P363" s="115">
        <f>IF(Q$233=0, 'Adjustment for previous period'!P272, 0)</f>
        <v>0</v>
      </c>
      <c r="Q363" s="115">
        <f>IF(R$233=0, 'Adjustment for previous period'!Q272, 0)</f>
        <v>0</v>
      </c>
      <c r="R363" s="9"/>
      <c r="S363" s="9"/>
      <c r="T363" s="9"/>
      <c r="U363" s="9"/>
      <c r="V363" s="9"/>
      <c r="W363" s="9"/>
      <c r="X363" s="9"/>
      <c r="Y363" s="9"/>
      <c r="Z363" s="9"/>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row>
    <row r="364" spans="1:64" hidden="1" outlineLevel="1">
      <c r="A364" s="9"/>
      <c r="B364" s="9"/>
      <c r="C364" s="9"/>
      <c r="D364" s="271" t="str">
        <f>Asset3</f>
        <v>Standard metering</v>
      </c>
      <c r="E364" s="9"/>
      <c r="F364" s="9"/>
      <c r="G364" s="9"/>
      <c r="H364" s="9"/>
      <c r="I364" s="9"/>
      <c r="J364" s="9"/>
      <c r="K364" s="9"/>
      <c r="L364" s="115">
        <f>IF(M$233=0, 'Adjustment for previous period'!L274, 0)</f>
        <v>0</v>
      </c>
      <c r="M364" s="115">
        <f>IF(N$233=0, 'Adjustment for previous period'!M274, 0)</f>
        <v>0</v>
      </c>
      <c r="N364" s="115">
        <f>IF(O$233=0, 'Adjustment for previous period'!N274, 0)</f>
        <v>0</v>
      </c>
      <c r="O364" s="115">
        <f>IF(P$233=0, 'Adjustment for previous period'!O274, 0)</f>
        <v>0</v>
      </c>
      <c r="P364" s="115">
        <f>IF(Q$233=0, 'Adjustment for previous period'!P274, 0)</f>
        <v>0</v>
      </c>
      <c r="Q364" s="115">
        <f>IF(R$233=0, 'Adjustment for previous period'!Q274, 0)</f>
        <v>0</v>
      </c>
      <c r="R364" s="9"/>
      <c r="S364" s="9"/>
      <c r="T364" s="9"/>
      <c r="U364" s="9"/>
      <c r="V364" s="9"/>
      <c r="W364" s="9"/>
      <c r="X364" s="9"/>
      <c r="Y364" s="9"/>
      <c r="Z364" s="9"/>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row>
    <row r="365" spans="1:64" hidden="1" outlineLevel="1">
      <c r="A365" s="9"/>
      <c r="B365" s="9"/>
      <c r="C365" s="9"/>
      <c r="D365" s="271" t="str">
        <f>Asset4</f>
        <v>Public lighting</v>
      </c>
      <c r="E365" s="9"/>
      <c r="F365" s="9"/>
      <c r="G365" s="9"/>
      <c r="H365" s="9"/>
      <c r="I365" s="9"/>
      <c r="J365" s="9"/>
      <c r="K365" s="9"/>
      <c r="L365" s="115">
        <f>IF(M$233=0, 'Adjustment for previous period'!L276, 0)</f>
        <v>0</v>
      </c>
      <c r="M365" s="115">
        <f>IF(N$233=0, 'Adjustment for previous period'!M276, 0)</f>
        <v>0</v>
      </c>
      <c r="N365" s="115">
        <f>IF(O$233=0, 'Adjustment for previous period'!N276, 0)</f>
        <v>0</v>
      </c>
      <c r="O365" s="115">
        <f>IF(P$233=0, 'Adjustment for previous period'!O276, 0)</f>
        <v>0</v>
      </c>
      <c r="P365" s="115">
        <f>IF(Q$233=0, 'Adjustment for previous period'!P276, 0)</f>
        <v>0</v>
      </c>
      <c r="Q365" s="115">
        <f>IF(R$233=0, 'Adjustment for previous period'!Q276, 0)</f>
        <v>0</v>
      </c>
      <c r="R365" s="9"/>
      <c r="S365" s="9"/>
      <c r="T365" s="9"/>
      <c r="U365" s="9"/>
      <c r="V365" s="9"/>
      <c r="W365" s="9"/>
      <c r="X365" s="9"/>
      <c r="Y365" s="9"/>
      <c r="Z365" s="9"/>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row>
    <row r="366" spans="1:64" hidden="1" outlineLevel="1">
      <c r="A366" s="9"/>
      <c r="B366" s="9"/>
      <c r="C366" s="9"/>
      <c r="D366" s="271" t="str">
        <f>Asset5</f>
        <v>SCADA/Network control</v>
      </c>
      <c r="E366" s="9"/>
      <c r="F366" s="9"/>
      <c r="G366" s="9"/>
      <c r="H366" s="9"/>
      <c r="I366" s="9"/>
      <c r="J366" s="9"/>
      <c r="K366" s="9"/>
      <c r="L366" s="115">
        <f>IF(M$233=0, 'Adjustment for previous period'!L278, 0)</f>
        <v>0</v>
      </c>
      <c r="M366" s="115">
        <f>IF(N$233=0, 'Adjustment for previous period'!M278, 0)</f>
        <v>0</v>
      </c>
      <c r="N366" s="115">
        <f>IF(O$233=0, 'Adjustment for previous period'!N278, 0)</f>
        <v>0</v>
      </c>
      <c r="O366" s="115">
        <f>IF(P$233=0, 'Adjustment for previous period'!O278, 0)</f>
        <v>0</v>
      </c>
      <c r="P366" s="115">
        <f>IF(Q$233=0, 'Adjustment for previous period'!P278, 0)</f>
        <v>0</v>
      </c>
      <c r="Q366" s="115">
        <f>IF(R$233=0, 'Adjustment for previous period'!Q278, 0)</f>
        <v>0</v>
      </c>
      <c r="R366" s="9"/>
      <c r="S366" s="9"/>
      <c r="T366" s="9"/>
      <c r="U366" s="9"/>
      <c r="V366" s="9"/>
      <c r="W366" s="9"/>
      <c r="X366" s="9"/>
      <c r="Y366" s="9"/>
      <c r="Z366" s="9"/>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row>
    <row r="367" spans="1:64" hidden="1" outlineLevel="1">
      <c r="A367" s="9"/>
      <c r="B367" s="9"/>
      <c r="C367" s="9"/>
      <c r="D367" s="271" t="str">
        <f>Asset6</f>
        <v>Non-network general assets - IT</v>
      </c>
      <c r="E367" s="9"/>
      <c r="F367" s="9"/>
      <c r="G367" s="9"/>
      <c r="H367" s="9"/>
      <c r="I367" s="9"/>
      <c r="J367" s="9"/>
      <c r="K367" s="9"/>
      <c r="L367" s="115">
        <f>IF(M$233=0, 'Adjustment for previous period'!L280, 0)</f>
        <v>0</v>
      </c>
      <c r="M367" s="115">
        <f>IF(N$233=0, 'Adjustment for previous period'!M280, 0)</f>
        <v>0</v>
      </c>
      <c r="N367" s="115">
        <f>IF(O$233=0, 'Adjustment for previous period'!N280, 0)</f>
        <v>0</v>
      </c>
      <c r="O367" s="115">
        <f>IF(P$233=0, 'Adjustment for previous period'!O280, 0)</f>
        <v>0</v>
      </c>
      <c r="P367" s="115">
        <f>IF(Q$233=0, 'Adjustment for previous period'!P280, 0)</f>
        <v>0</v>
      </c>
      <c r="Q367" s="115">
        <f>IF(R$233=0, 'Adjustment for previous period'!Q280, 0)</f>
        <v>0</v>
      </c>
      <c r="R367" s="9"/>
      <c r="S367" s="9"/>
      <c r="T367" s="9"/>
      <c r="U367" s="9"/>
      <c r="V367" s="9"/>
      <c r="W367" s="9"/>
      <c r="X367" s="9"/>
      <c r="Y367" s="9"/>
      <c r="Z367" s="9"/>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row>
    <row r="368" spans="1:64" hidden="1" outlineLevel="1">
      <c r="A368" s="9"/>
      <c r="B368" s="9"/>
      <c r="C368" s="9"/>
      <c r="D368" s="271" t="str">
        <f>Asset7</f>
        <v>Non-network general assets - Other</v>
      </c>
      <c r="E368" s="9"/>
      <c r="F368" s="9"/>
      <c r="G368" s="9"/>
      <c r="H368" s="9"/>
      <c r="I368" s="9"/>
      <c r="J368" s="9"/>
      <c r="K368" s="9"/>
      <c r="L368" s="115">
        <f>IF(M$233=0, 'Adjustment for previous period'!L282, 0)</f>
        <v>0</v>
      </c>
      <c r="M368" s="115">
        <f>IF(N$233=0, 'Adjustment for previous period'!M282, 0)</f>
        <v>0</v>
      </c>
      <c r="N368" s="115">
        <f>IF(O$233=0, 'Adjustment for previous period'!N282, 0)</f>
        <v>0</v>
      </c>
      <c r="O368" s="115">
        <f>IF(P$233=0, 'Adjustment for previous period'!O282, 0)</f>
        <v>0</v>
      </c>
      <c r="P368" s="115">
        <f>IF(Q$233=0, 'Adjustment for previous period'!P282, 0)</f>
        <v>0</v>
      </c>
      <c r="Q368" s="115">
        <f>IF(R$233=0, 'Adjustment for previous period'!Q282, 0)</f>
        <v>0</v>
      </c>
      <c r="R368" s="9"/>
      <c r="S368" s="9"/>
      <c r="T368" s="9"/>
      <c r="U368" s="9"/>
      <c r="V368" s="9"/>
      <c r="W368" s="9"/>
      <c r="X368" s="9"/>
      <c r="Y368" s="9"/>
      <c r="Z368" s="9"/>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row>
    <row r="369" spans="1:64" hidden="1" outlineLevel="1">
      <c r="A369" s="9"/>
      <c r="B369" s="9"/>
      <c r="C369" s="9"/>
      <c r="D369" s="271" t="str">
        <f>Asset8</f>
        <v>Equity Raising Costs</v>
      </c>
      <c r="E369" s="9"/>
      <c r="F369" s="9"/>
      <c r="G369" s="9"/>
      <c r="H369" s="9"/>
      <c r="I369" s="9"/>
      <c r="J369" s="9"/>
      <c r="K369" s="9"/>
      <c r="L369" s="115">
        <f>IF(M$233=0, 'Adjustment for previous period'!L284, 0)</f>
        <v>0</v>
      </c>
      <c r="M369" s="115">
        <f>IF(N$233=0, 'Adjustment for previous period'!M284, 0)</f>
        <v>0</v>
      </c>
      <c r="N369" s="115">
        <f>IF(O$233=0, 'Adjustment for previous period'!N284, 0)</f>
        <v>0</v>
      </c>
      <c r="O369" s="115">
        <f>IF(P$233=0, 'Adjustment for previous period'!O284, 0)</f>
        <v>0</v>
      </c>
      <c r="P369" s="115">
        <f>IF(Q$233=0, 'Adjustment for previous period'!P284, 0)</f>
        <v>0</v>
      </c>
      <c r="Q369" s="115">
        <f>IF(R$233=0, 'Adjustment for previous period'!Q284, 0)</f>
        <v>0</v>
      </c>
      <c r="R369" s="9"/>
      <c r="S369" s="9"/>
      <c r="T369" s="9"/>
      <c r="U369" s="9"/>
      <c r="V369" s="9"/>
      <c r="W369" s="9"/>
      <c r="X369" s="9"/>
      <c r="Y369" s="9"/>
      <c r="Z369" s="9"/>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row>
    <row r="370" spans="1:64" hidden="1" outlineLevel="1">
      <c r="A370" s="9"/>
      <c r="B370" s="9"/>
      <c r="C370" s="9"/>
      <c r="D370" s="271">
        <f>Asset9</f>
        <v>0</v>
      </c>
      <c r="E370" s="9"/>
      <c r="F370" s="9"/>
      <c r="G370" s="9"/>
      <c r="H370" s="9"/>
      <c r="I370" s="9"/>
      <c r="J370" s="9"/>
      <c r="K370" s="9"/>
      <c r="L370" s="115">
        <f>IF(M$233=0, 'Adjustment for previous period'!L286, 0)</f>
        <v>0</v>
      </c>
      <c r="M370" s="115">
        <f>IF(N$233=0, 'Adjustment for previous period'!M286, 0)</f>
        <v>0</v>
      </c>
      <c r="N370" s="115">
        <f>IF(O$233=0, 'Adjustment for previous period'!N286, 0)</f>
        <v>0</v>
      </c>
      <c r="O370" s="115">
        <f>IF(P$233=0, 'Adjustment for previous period'!O286, 0)</f>
        <v>0</v>
      </c>
      <c r="P370" s="115">
        <f>IF(Q$233=0, 'Adjustment for previous period'!P286, 0)</f>
        <v>0</v>
      </c>
      <c r="Q370" s="115">
        <f>IF(R$233=0, 'Adjustment for previous period'!Q286, 0)</f>
        <v>0</v>
      </c>
      <c r="R370" s="9"/>
      <c r="S370" s="9"/>
      <c r="T370" s="9"/>
      <c r="U370" s="9"/>
      <c r="V370" s="9"/>
      <c r="W370" s="9"/>
      <c r="X370" s="9"/>
      <c r="Y370" s="9"/>
      <c r="Z370" s="9"/>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row>
    <row r="371" spans="1:64" hidden="1" outlineLevel="1">
      <c r="A371" s="9"/>
      <c r="B371" s="9"/>
      <c r="C371" s="9"/>
      <c r="D371" s="271">
        <f>Asset10</f>
        <v>0</v>
      </c>
      <c r="E371" s="9"/>
      <c r="F371" s="9"/>
      <c r="G371" s="9"/>
      <c r="H371" s="9"/>
      <c r="I371" s="9"/>
      <c r="J371" s="9"/>
      <c r="K371" s="9"/>
      <c r="L371" s="115">
        <f>IF(M$233=0, 'Adjustment for previous period'!L288, 0)</f>
        <v>0</v>
      </c>
      <c r="M371" s="115">
        <f>IF(N$233=0, 'Adjustment for previous period'!M288, 0)</f>
        <v>0</v>
      </c>
      <c r="N371" s="115">
        <f>IF(O$233=0, 'Adjustment for previous period'!N288, 0)</f>
        <v>0</v>
      </c>
      <c r="O371" s="115">
        <f>IF(P$233=0, 'Adjustment for previous period'!O288, 0)</f>
        <v>0</v>
      </c>
      <c r="P371" s="115">
        <f>IF(Q$233=0, 'Adjustment for previous period'!P288, 0)</f>
        <v>0</v>
      </c>
      <c r="Q371" s="115">
        <f>IF(R$233=0, 'Adjustment for previous period'!Q288, 0)</f>
        <v>0</v>
      </c>
      <c r="R371" s="9"/>
      <c r="S371" s="9"/>
      <c r="T371" s="9"/>
      <c r="U371" s="9"/>
      <c r="V371" s="9"/>
      <c r="W371" s="9"/>
      <c r="X371" s="9"/>
      <c r="Y371" s="9"/>
      <c r="Z371" s="9"/>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row>
    <row r="372" spans="1:64" hidden="1" outlineLevel="1">
      <c r="A372" s="9"/>
      <c r="B372" s="9"/>
      <c r="C372" s="9"/>
      <c r="D372" s="271">
        <f>Asset11</f>
        <v>0</v>
      </c>
      <c r="E372" s="9"/>
      <c r="F372" s="9"/>
      <c r="G372" s="9"/>
      <c r="H372" s="9"/>
      <c r="I372" s="9"/>
      <c r="J372" s="9"/>
      <c r="K372" s="9"/>
      <c r="L372" s="115">
        <f>IF(M$233=0, 'Adjustment for previous period'!L290, 0)</f>
        <v>0</v>
      </c>
      <c r="M372" s="115">
        <f>IF(N$233=0, 'Adjustment for previous period'!M290, 0)</f>
        <v>0</v>
      </c>
      <c r="N372" s="115">
        <f>IF(O$233=0, 'Adjustment for previous period'!N290, 0)</f>
        <v>0</v>
      </c>
      <c r="O372" s="115">
        <f>IF(P$233=0, 'Adjustment for previous period'!O290, 0)</f>
        <v>0</v>
      </c>
      <c r="P372" s="115">
        <f>IF(Q$233=0, 'Adjustment for previous period'!P290, 0)</f>
        <v>0</v>
      </c>
      <c r="Q372" s="115">
        <f>IF(R$233=0, 'Adjustment for previous period'!Q290, 0)</f>
        <v>0</v>
      </c>
      <c r="R372" s="9"/>
      <c r="S372" s="9"/>
      <c r="T372" s="9"/>
      <c r="U372" s="9"/>
      <c r="V372" s="9"/>
      <c r="W372" s="9"/>
      <c r="X372" s="9"/>
      <c r="Y372" s="9"/>
      <c r="Z372" s="9"/>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row>
    <row r="373" spans="1:64" hidden="1" outlineLevel="1">
      <c r="A373" s="9"/>
      <c r="B373" s="9"/>
      <c r="C373" s="9"/>
      <c r="D373" s="271">
        <f>Asset12</f>
        <v>0</v>
      </c>
      <c r="E373" s="9"/>
      <c r="F373" s="9"/>
      <c r="G373" s="9"/>
      <c r="H373" s="9"/>
      <c r="I373" s="9"/>
      <c r="J373" s="9"/>
      <c r="K373" s="9"/>
      <c r="L373" s="115">
        <f>IF(M$233=0, 'Adjustment for previous period'!L292, 0)</f>
        <v>0</v>
      </c>
      <c r="M373" s="115">
        <f>IF(N$233=0, 'Adjustment for previous period'!M292, 0)</f>
        <v>0</v>
      </c>
      <c r="N373" s="115">
        <f>IF(O$233=0, 'Adjustment for previous period'!N292, 0)</f>
        <v>0</v>
      </c>
      <c r="O373" s="115">
        <f>IF(P$233=0, 'Adjustment for previous period'!O292, 0)</f>
        <v>0</v>
      </c>
      <c r="P373" s="115">
        <f>IF(Q$233=0, 'Adjustment for previous period'!P292, 0)</f>
        <v>0</v>
      </c>
      <c r="Q373" s="115">
        <f>IF(R$233=0, 'Adjustment for previous period'!Q292, 0)</f>
        <v>0</v>
      </c>
      <c r="R373" s="9"/>
      <c r="S373" s="9"/>
      <c r="T373" s="9"/>
      <c r="U373" s="9"/>
      <c r="V373" s="9"/>
      <c r="W373" s="9"/>
      <c r="X373" s="9"/>
      <c r="Y373" s="9"/>
      <c r="Z373" s="9"/>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row>
    <row r="374" spans="1:64" hidden="1" outlineLevel="1">
      <c r="A374" s="9"/>
      <c r="B374" s="9"/>
      <c r="C374" s="9"/>
      <c r="D374" s="271">
        <f>Asset13</f>
        <v>0</v>
      </c>
      <c r="E374" s="9"/>
      <c r="F374" s="9"/>
      <c r="G374" s="9"/>
      <c r="H374" s="9"/>
      <c r="I374" s="9"/>
      <c r="J374" s="9"/>
      <c r="K374" s="9"/>
      <c r="L374" s="115">
        <f>IF(M$233=0, 'Adjustment for previous period'!L294, 0)</f>
        <v>0</v>
      </c>
      <c r="M374" s="115">
        <f>IF(N$233=0, 'Adjustment for previous period'!M294, 0)</f>
        <v>0</v>
      </c>
      <c r="N374" s="115">
        <f>IF(O$233=0, 'Adjustment for previous period'!N294, 0)</f>
        <v>0</v>
      </c>
      <c r="O374" s="115">
        <f>IF(P$233=0, 'Adjustment for previous period'!O294, 0)</f>
        <v>0</v>
      </c>
      <c r="P374" s="115">
        <f>IF(Q$233=0, 'Adjustment for previous period'!P294, 0)</f>
        <v>0</v>
      </c>
      <c r="Q374" s="115">
        <f>IF(R$233=0, 'Adjustment for previous period'!Q294, 0)</f>
        <v>0</v>
      </c>
      <c r="R374" s="9"/>
      <c r="S374" s="9"/>
      <c r="T374" s="9"/>
      <c r="U374" s="9"/>
      <c r="V374" s="9"/>
      <c r="W374" s="9"/>
      <c r="X374" s="9"/>
      <c r="Y374" s="9"/>
      <c r="Z374" s="9"/>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row>
    <row r="375" spans="1:64" hidden="1" outlineLevel="1">
      <c r="A375" s="9"/>
      <c r="B375" s="9"/>
      <c r="C375" s="9"/>
      <c r="D375" s="271">
        <f>Asset14</f>
        <v>0</v>
      </c>
      <c r="E375" s="9"/>
      <c r="F375" s="9"/>
      <c r="G375" s="9"/>
      <c r="H375" s="9"/>
      <c r="I375" s="9"/>
      <c r="J375" s="9"/>
      <c r="K375" s="9"/>
      <c r="L375" s="115">
        <f>IF(M$233=0, 'Adjustment for previous period'!L296, 0)</f>
        <v>0</v>
      </c>
      <c r="M375" s="115">
        <f>IF(N$233=0, 'Adjustment for previous period'!M296, 0)</f>
        <v>0</v>
      </c>
      <c r="N375" s="115">
        <f>IF(O$233=0, 'Adjustment for previous period'!N296, 0)</f>
        <v>0</v>
      </c>
      <c r="O375" s="115">
        <f>IF(P$233=0, 'Adjustment for previous period'!O296, 0)</f>
        <v>0</v>
      </c>
      <c r="P375" s="115">
        <f>IF(Q$233=0, 'Adjustment for previous period'!P296, 0)</f>
        <v>0</v>
      </c>
      <c r="Q375" s="115">
        <f>IF(R$233=0, 'Adjustment for previous period'!Q296, 0)</f>
        <v>0</v>
      </c>
      <c r="R375" s="9"/>
      <c r="S375" s="9"/>
      <c r="T375" s="9"/>
      <c r="U375" s="9"/>
      <c r="V375" s="9"/>
      <c r="W375" s="9"/>
      <c r="X375" s="9"/>
      <c r="Y375" s="9"/>
      <c r="Z375" s="9"/>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row>
    <row r="376" spans="1:64" hidden="1" outlineLevel="1">
      <c r="A376" s="9"/>
      <c r="B376" s="9"/>
      <c r="C376" s="9"/>
      <c r="D376" s="271">
        <f>Asset15</f>
        <v>0</v>
      </c>
      <c r="E376" s="9"/>
      <c r="F376" s="9"/>
      <c r="G376" s="9"/>
      <c r="H376" s="9"/>
      <c r="I376" s="9"/>
      <c r="J376" s="9"/>
      <c r="K376" s="9"/>
      <c r="L376" s="115">
        <f>IF(M$233=0, 'Adjustment for previous period'!L298, 0)</f>
        <v>0</v>
      </c>
      <c r="M376" s="115">
        <f>IF(N$233=0, 'Adjustment for previous period'!M298, 0)</f>
        <v>0</v>
      </c>
      <c r="N376" s="115">
        <f>IF(O$233=0, 'Adjustment for previous period'!N298, 0)</f>
        <v>0</v>
      </c>
      <c r="O376" s="115">
        <f>IF(P$233=0, 'Adjustment for previous period'!O298, 0)</f>
        <v>0</v>
      </c>
      <c r="P376" s="115">
        <f>IF(Q$233=0, 'Adjustment for previous period'!P298, 0)</f>
        <v>0</v>
      </c>
      <c r="Q376" s="115">
        <f>IF(R$233=0, 'Adjustment for previous period'!Q298, 0)</f>
        <v>0</v>
      </c>
      <c r="R376" s="9"/>
      <c r="S376" s="9"/>
      <c r="T376" s="9"/>
      <c r="U376" s="9"/>
      <c r="V376" s="9"/>
      <c r="W376" s="9"/>
      <c r="X376" s="9"/>
      <c r="Y376" s="9"/>
      <c r="Z376" s="9"/>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row>
    <row r="377" spans="1:64" hidden="1" outlineLevel="1">
      <c r="A377" s="9"/>
      <c r="B377" s="9"/>
      <c r="C377" s="9"/>
      <c r="D377" s="271">
        <f>Asset16</f>
        <v>0</v>
      </c>
      <c r="E377" s="9"/>
      <c r="F377" s="9"/>
      <c r="G377" s="9"/>
      <c r="H377" s="9"/>
      <c r="I377" s="9"/>
      <c r="J377" s="9"/>
      <c r="K377" s="9"/>
      <c r="L377" s="115">
        <f>IF(M$233=0, 'Adjustment for previous period'!L300, 0)</f>
        <v>0</v>
      </c>
      <c r="M377" s="115">
        <f>IF(N$233=0, 'Adjustment for previous period'!M300, 0)</f>
        <v>0</v>
      </c>
      <c r="N377" s="115">
        <f>IF(O$233=0, 'Adjustment for previous period'!N300, 0)</f>
        <v>0</v>
      </c>
      <c r="O377" s="115">
        <f>IF(P$233=0, 'Adjustment for previous period'!O300, 0)</f>
        <v>0</v>
      </c>
      <c r="P377" s="115">
        <f>IF(Q$233=0, 'Adjustment for previous period'!P300, 0)</f>
        <v>0</v>
      </c>
      <c r="Q377" s="115">
        <f>IF(R$233=0, 'Adjustment for previous period'!Q300, 0)</f>
        <v>0</v>
      </c>
      <c r="R377" s="9"/>
      <c r="S377" s="9"/>
      <c r="T377" s="9"/>
      <c r="U377" s="9"/>
      <c r="V377" s="9"/>
      <c r="W377" s="9"/>
      <c r="X377" s="9"/>
      <c r="Y377" s="9"/>
      <c r="Z377" s="9"/>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row>
    <row r="378" spans="1:64" hidden="1" outlineLevel="1">
      <c r="A378" s="9"/>
      <c r="B378" s="9"/>
      <c r="C378" s="9"/>
      <c r="D378" s="271">
        <f>Asset17</f>
        <v>0</v>
      </c>
      <c r="E378" s="9"/>
      <c r="F378" s="9"/>
      <c r="G378" s="9"/>
      <c r="H378" s="9"/>
      <c r="I378" s="9"/>
      <c r="J378" s="9"/>
      <c r="K378" s="9"/>
      <c r="L378" s="115">
        <f>IF(M$233=0, 'Adjustment for previous period'!L302, 0)</f>
        <v>0</v>
      </c>
      <c r="M378" s="115">
        <f>IF(N$233=0, 'Adjustment for previous period'!M302, 0)</f>
        <v>0</v>
      </c>
      <c r="N378" s="115">
        <f>IF(O$233=0, 'Adjustment for previous period'!N302, 0)</f>
        <v>0</v>
      </c>
      <c r="O378" s="115">
        <f>IF(P$233=0, 'Adjustment for previous period'!O302, 0)</f>
        <v>0</v>
      </c>
      <c r="P378" s="115">
        <f>IF(Q$233=0, 'Adjustment for previous period'!P302, 0)</f>
        <v>0</v>
      </c>
      <c r="Q378" s="115">
        <f>IF(R$233=0, 'Adjustment for previous period'!Q302, 0)</f>
        <v>0</v>
      </c>
      <c r="R378" s="9"/>
      <c r="S378" s="9"/>
      <c r="T378" s="9"/>
      <c r="U378" s="9"/>
      <c r="V378" s="9"/>
      <c r="W378" s="9"/>
      <c r="X378" s="9"/>
      <c r="Y378" s="9"/>
      <c r="Z378" s="9"/>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row>
    <row r="379" spans="1:64" hidden="1" outlineLevel="1">
      <c r="A379" s="9"/>
      <c r="B379" s="9"/>
      <c r="C379" s="9"/>
      <c r="D379" s="271">
        <f>Asset18</f>
        <v>0</v>
      </c>
      <c r="E379" s="9"/>
      <c r="F379" s="9"/>
      <c r="G379" s="9"/>
      <c r="H379" s="9"/>
      <c r="I379" s="9"/>
      <c r="J379" s="9"/>
      <c r="K379" s="9"/>
      <c r="L379" s="115">
        <f>IF(M$233=0, 'Adjustment for previous period'!L304, 0)</f>
        <v>0</v>
      </c>
      <c r="M379" s="115">
        <f>IF(N$233=0, 'Adjustment for previous period'!M304, 0)</f>
        <v>0</v>
      </c>
      <c r="N379" s="115">
        <f>IF(O$233=0, 'Adjustment for previous period'!N304, 0)</f>
        <v>0</v>
      </c>
      <c r="O379" s="115">
        <f>IF(P$233=0, 'Adjustment for previous period'!O304, 0)</f>
        <v>0</v>
      </c>
      <c r="P379" s="115">
        <f>IF(Q$233=0, 'Adjustment for previous period'!P304, 0)</f>
        <v>0</v>
      </c>
      <c r="Q379" s="115">
        <f>IF(R$233=0, 'Adjustment for previous period'!Q304, 0)</f>
        <v>0</v>
      </c>
      <c r="R379" s="9"/>
      <c r="S379" s="9"/>
      <c r="T379" s="9"/>
      <c r="U379" s="9"/>
      <c r="V379" s="9"/>
      <c r="W379" s="9"/>
      <c r="X379" s="9"/>
      <c r="Y379" s="9"/>
      <c r="Z379" s="9"/>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row>
    <row r="380" spans="1:64" hidden="1" outlineLevel="1">
      <c r="A380" s="9"/>
      <c r="B380" s="9"/>
      <c r="C380" s="9"/>
      <c r="D380" s="271">
        <f>Asset19</f>
        <v>0</v>
      </c>
      <c r="E380" s="9"/>
      <c r="F380" s="9"/>
      <c r="G380" s="9"/>
      <c r="H380" s="9"/>
      <c r="I380" s="9"/>
      <c r="J380" s="9"/>
      <c r="K380" s="9"/>
      <c r="L380" s="115">
        <f>IF(M$233=0, 'Adjustment for previous period'!L306, 0)</f>
        <v>0</v>
      </c>
      <c r="M380" s="115">
        <f>IF(N$233=0, 'Adjustment for previous period'!M306, 0)</f>
        <v>0</v>
      </c>
      <c r="N380" s="115">
        <f>IF(O$233=0, 'Adjustment for previous period'!N306, 0)</f>
        <v>0</v>
      </c>
      <c r="O380" s="115">
        <f>IF(P$233=0, 'Adjustment for previous period'!O306, 0)</f>
        <v>0</v>
      </c>
      <c r="P380" s="115">
        <f>IF(Q$233=0, 'Adjustment for previous period'!P306, 0)</f>
        <v>0</v>
      </c>
      <c r="Q380" s="115">
        <f>IF(R$233=0, 'Adjustment for previous period'!Q306, 0)</f>
        <v>0</v>
      </c>
      <c r="R380" s="9"/>
      <c r="S380" s="9"/>
      <c r="T380" s="9"/>
      <c r="U380" s="9"/>
      <c r="V380" s="9"/>
      <c r="W380" s="9"/>
      <c r="X380" s="9"/>
      <c r="Y380" s="9"/>
      <c r="Z380" s="9"/>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row>
    <row r="381" spans="1:64" hidden="1" outlineLevel="1">
      <c r="A381" s="9"/>
      <c r="B381" s="9"/>
      <c r="C381" s="9"/>
      <c r="D381" s="271">
        <f>Asset20</f>
        <v>0</v>
      </c>
      <c r="E381" s="9"/>
      <c r="F381" s="9"/>
      <c r="G381" s="9"/>
      <c r="H381" s="9"/>
      <c r="I381" s="9"/>
      <c r="J381" s="9"/>
      <c r="K381" s="9"/>
      <c r="L381" s="115">
        <f>IF(M$233=0, 'Adjustment for previous period'!L308, 0)</f>
        <v>0</v>
      </c>
      <c r="M381" s="115">
        <f>IF(N$233=0, 'Adjustment for previous period'!M308, 0)</f>
        <v>0</v>
      </c>
      <c r="N381" s="115">
        <f>IF(O$233=0, 'Adjustment for previous period'!N308, 0)</f>
        <v>0</v>
      </c>
      <c r="O381" s="115">
        <f>IF(P$233=0, 'Adjustment for previous period'!O308, 0)</f>
        <v>0</v>
      </c>
      <c r="P381" s="115">
        <f>IF(Q$233=0, 'Adjustment for previous period'!P308, 0)</f>
        <v>0</v>
      </c>
      <c r="Q381" s="115">
        <f>IF(R$233=0, 'Adjustment for previous period'!Q308, 0)</f>
        <v>0</v>
      </c>
      <c r="R381" s="9"/>
      <c r="S381" s="9"/>
      <c r="T381" s="9"/>
      <c r="U381" s="9"/>
      <c r="V381" s="9"/>
      <c r="W381" s="9"/>
      <c r="X381" s="9"/>
      <c r="Y381" s="9"/>
      <c r="Z381" s="9"/>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row>
    <row r="382" spans="1:64" hidden="1" outlineLevel="1">
      <c r="A382" s="9"/>
      <c r="B382" s="9"/>
      <c r="C382" s="9"/>
      <c r="D382" s="271">
        <f>Asset21</f>
        <v>0</v>
      </c>
      <c r="E382" s="9"/>
      <c r="F382" s="9"/>
      <c r="G382" s="9"/>
      <c r="H382" s="9"/>
      <c r="I382" s="9"/>
      <c r="J382" s="9"/>
      <c r="K382" s="9"/>
      <c r="L382" s="115">
        <f>IF(M$233=0, 'Adjustment for previous period'!L310, 0)</f>
        <v>0</v>
      </c>
      <c r="M382" s="115">
        <f>IF(N$233=0, 'Adjustment for previous period'!M310, 0)</f>
        <v>0</v>
      </c>
      <c r="N382" s="115">
        <f>IF(O$233=0, 'Adjustment for previous period'!N310, 0)</f>
        <v>0</v>
      </c>
      <c r="O382" s="115">
        <f>IF(P$233=0, 'Adjustment for previous period'!O310, 0)</f>
        <v>0</v>
      </c>
      <c r="P382" s="115">
        <f>IF(Q$233=0, 'Adjustment for previous period'!P310, 0)</f>
        <v>0</v>
      </c>
      <c r="Q382" s="115">
        <f>IF(R$233=0, 'Adjustment for previous period'!Q310, 0)</f>
        <v>0</v>
      </c>
      <c r="R382" s="9"/>
      <c r="S382" s="9"/>
      <c r="T382" s="9"/>
      <c r="U382" s="9"/>
      <c r="V382" s="9"/>
      <c r="W382" s="9"/>
      <c r="X382" s="9"/>
      <c r="Y382" s="9"/>
      <c r="Z382" s="9"/>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row>
    <row r="383" spans="1:64" hidden="1" outlineLevel="1">
      <c r="A383" s="9"/>
      <c r="B383" s="9"/>
      <c r="C383" s="9"/>
      <c r="D383" s="271">
        <f>Asset22</f>
        <v>0</v>
      </c>
      <c r="E383" s="9"/>
      <c r="F383" s="9"/>
      <c r="G383" s="9"/>
      <c r="H383" s="9"/>
      <c r="I383" s="9"/>
      <c r="J383" s="9"/>
      <c r="K383" s="9"/>
      <c r="L383" s="115">
        <f>IF(M$233=0, 'Adjustment for previous period'!L312, 0)</f>
        <v>0</v>
      </c>
      <c r="M383" s="115">
        <f>IF(N$233=0, 'Adjustment for previous period'!M312, 0)</f>
        <v>0</v>
      </c>
      <c r="N383" s="115">
        <f>IF(O$233=0, 'Adjustment for previous period'!N312, 0)</f>
        <v>0</v>
      </c>
      <c r="O383" s="115">
        <f>IF(P$233=0, 'Adjustment for previous period'!O312, 0)</f>
        <v>0</v>
      </c>
      <c r="P383" s="115">
        <f>IF(Q$233=0, 'Adjustment for previous period'!P312, 0)</f>
        <v>0</v>
      </c>
      <c r="Q383" s="115">
        <f>IF(R$233=0, 'Adjustment for previous period'!Q312, 0)</f>
        <v>0</v>
      </c>
      <c r="R383" s="9"/>
      <c r="S383" s="9"/>
      <c r="T383" s="9"/>
      <c r="U383" s="9"/>
      <c r="V383" s="9"/>
      <c r="W383" s="9"/>
      <c r="X383" s="9"/>
      <c r="Y383" s="9"/>
      <c r="Z383" s="9"/>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row>
    <row r="384" spans="1:64" hidden="1" outlineLevel="1">
      <c r="A384" s="9"/>
      <c r="B384" s="9"/>
      <c r="C384" s="9"/>
      <c r="D384" s="271">
        <f>Asset23</f>
        <v>0</v>
      </c>
      <c r="E384" s="9"/>
      <c r="F384" s="9"/>
      <c r="G384" s="9"/>
      <c r="H384" s="9"/>
      <c r="I384" s="9"/>
      <c r="J384" s="9"/>
      <c r="K384" s="9"/>
      <c r="L384" s="115">
        <f>IF(M$233=0, 'Adjustment for previous period'!L314, 0)</f>
        <v>0</v>
      </c>
      <c r="M384" s="115">
        <f>IF(N$233=0, 'Adjustment for previous period'!M314, 0)</f>
        <v>0</v>
      </c>
      <c r="N384" s="115">
        <f>IF(O$233=0, 'Adjustment for previous period'!N314, 0)</f>
        <v>0</v>
      </c>
      <c r="O384" s="115">
        <f>IF(P$233=0, 'Adjustment for previous period'!O314, 0)</f>
        <v>0</v>
      </c>
      <c r="P384" s="115">
        <f>IF(Q$233=0, 'Adjustment for previous period'!P314, 0)</f>
        <v>0</v>
      </c>
      <c r="Q384" s="115">
        <f>IF(R$233=0, 'Adjustment for previous period'!Q314, 0)</f>
        <v>0</v>
      </c>
      <c r="R384" s="9"/>
      <c r="S384" s="9"/>
      <c r="T384" s="9"/>
      <c r="U384" s="9"/>
      <c r="V384" s="9"/>
      <c r="W384" s="9"/>
      <c r="X384" s="9"/>
      <c r="Y384" s="9"/>
      <c r="Z384" s="9"/>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row>
    <row r="385" spans="1:64" hidden="1" outlineLevel="1">
      <c r="A385" s="9"/>
      <c r="B385" s="9"/>
      <c r="C385" s="9"/>
      <c r="D385" s="271">
        <f>Asset24</f>
        <v>0</v>
      </c>
      <c r="E385" s="9"/>
      <c r="F385" s="9"/>
      <c r="G385" s="9"/>
      <c r="H385" s="9"/>
      <c r="I385" s="9"/>
      <c r="J385" s="9"/>
      <c r="K385" s="9"/>
      <c r="L385" s="115">
        <f>IF(M$233=0, 'Adjustment for previous period'!L316, 0)</f>
        <v>0</v>
      </c>
      <c r="M385" s="115">
        <f>IF(N$233=0, 'Adjustment for previous period'!M316, 0)</f>
        <v>0</v>
      </c>
      <c r="N385" s="115">
        <f>IF(O$233=0, 'Adjustment for previous period'!N316, 0)</f>
        <v>0</v>
      </c>
      <c r="O385" s="115">
        <f>IF(P$233=0, 'Adjustment for previous period'!O316, 0)</f>
        <v>0</v>
      </c>
      <c r="P385" s="115">
        <f>IF(Q$233=0, 'Adjustment for previous period'!P316, 0)</f>
        <v>0</v>
      </c>
      <c r="Q385" s="115">
        <f>IF(R$233=0, 'Adjustment for previous period'!Q316, 0)</f>
        <v>0</v>
      </c>
      <c r="R385" s="9"/>
      <c r="S385" s="9"/>
      <c r="T385" s="9"/>
      <c r="U385" s="9"/>
      <c r="V385" s="9"/>
      <c r="W385" s="9"/>
      <c r="X385" s="9"/>
      <c r="Y385" s="9"/>
      <c r="Z385" s="9"/>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row>
    <row r="386" spans="1:64" hidden="1" outlineLevel="1">
      <c r="A386" s="9"/>
      <c r="B386" s="9"/>
      <c r="C386" s="9"/>
      <c r="D386" s="271">
        <f>Asset25</f>
        <v>0</v>
      </c>
      <c r="E386" s="9"/>
      <c r="F386" s="9"/>
      <c r="G386" s="9"/>
      <c r="H386" s="9"/>
      <c r="I386" s="9"/>
      <c r="J386" s="9"/>
      <c r="K386" s="9"/>
      <c r="L386" s="115">
        <f>IF(M$233=0, 'Adjustment for previous period'!L318, 0)</f>
        <v>0</v>
      </c>
      <c r="M386" s="115">
        <f>IF(N$233=0, 'Adjustment for previous period'!M318, 0)</f>
        <v>0</v>
      </c>
      <c r="N386" s="115">
        <f>IF(O$233=0, 'Adjustment for previous period'!N318, 0)</f>
        <v>0</v>
      </c>
      <c r="O386" s="115">
        <f>IF(P$233=0, 'Adjustment for previous period'!O318, 0)</f>
        <v>0</v>
      </c>
      <c r="P386" s="115">
        <f>IF(Q$233=0, 'Adjustment for previous period'!P318, 0)</f>
        <v>0</v>
      </c>
      <c r="Q386" s="115">
        <f>IF(R$233=0, 'Adjustment for previous period'!Q318, 0)</f>
        <v>0</v>
      </c>
      <c r="R386" s="9"/>
      <c r="S386" s="9"/>
      <c r="T386" s="9"/>
      <c r="U386" s="9"/>
      <c r="V386" s="9"/>
      <c r="W386" s="9"/>
      <c r="X386" s="9"/>
      <c r="Y386" s="9"/>
      <c r="Z386" s="9"/>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row>
    <row r="387" spans="1:64" hidden="1" outlineLevel="1">
      <c r="A387" s="9"/>
      <c r="B387" s="9"/>
      <c r="C387" s="9"/>
      <c r="D387" s="271">
        <f>Asset26</f>
        <v>0</v>
      </c>
      <c r="E387" s="9"/>
      <c r="F387" s="9"/>
      <c r="G387" s="9"/>
      <c r="H387" s="9"/>
      <c r="I387" s="9"/>
      <c r="J387" s="9"/>
      <c r="K387" s="9"/>
      <c r="L387" s="115">
        <f>IF(M$233=0, 'Adjustment for previous period'!L320, 0)</f>
        <v>0</v>
      </c>
      <c r="M387" s="115">
        <f>IF(N$233=0, 'Adjustment for previous period'!M320, 0)</f>
        <v>0</v>
      </c>
      <c r="N387" s="115">
        <f>IF(O$233=0, 'Adjustment for previous period'!N320, 0)</f>
        <v>0</v>
      </c>
      <c r="O387" s="115">
        <f>IF(P$233=0, 'Adjustment for previous period'!O320, 0)</f>
        <v>0</v>
      </c>
      <c r="P387" s="115">
        <f>IF(Q$233=0, 'Adjustment for previous period'!P320, 0)</f>
        <v>0</v>
      </c>
      <c r="Q387" s="115">
        <f>IF(R$233=0, 'Adjustment for previous period'!Q320, 0)</f>
        <v>0</v>
      </c>
      <c r="R387" s="9"/>
      <c r="S387" s="9"/>
      <c r="T387" s="9"/>
      <c r="U387" s="9"/>
      <c r="V387" s="9"/>
      <c r="W387" s="9"/>
      <c r="X387" s="9"/>
      <c r="Y387" s="9"/>
      <c r="Z387" s="9"/>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row>
    <row r="388" spans="1:64" hidden="1" outlineLevel="1">
      <c r="A388" s="9"/>
      <c r="B388" s="9"/>
      <c r="C388" s="9"/>
      <c r="D388" s="271">
        <f>Asset27</f>
        <v>0</v>
      </c>
      <c r="E388" s="9"/>
      <c r="F388" s="9"/>
      <c r="G388" s="9"/>
      <c r="H388" s="9"/>
      <c r="I388" s="9"/>
      <c r="J388" s="9"/>
      <c r="K388" s="9"/>
      <c r="L388" s="115">
        <f>IF(M$233=0, 'Adjustment for previous period'!L322, 0)</f>
        <v>0</v>
      </c>
      <c r="M388" s="115">
        <f>IF(N$233=0, 'Adjustment for previous period'!M322, 0)</f>
        <v>0</v>
      </c>
      <c r="N388" s="115">
        <f>IF(O$233=0, 'Adjustment for previous period'!N322, 0)</f>
        <v>0</v>
      </c>
      <c r="O388" s="115">
        <f>IF(P$233=0, 'Adjustment for previous period'!O322, 0)</f>
        <v>0</v>
      </c>
      <c r="P388" s="115">
        <f>IF(Q$233=0, 'Adjustment for previous period'!P322, 0)</f>
        <v>0</v>
      </c>
      <c r="Q388" s="115">
        <f>IF(R$233=0, 'Adjustment for previous period'!Q322, 0)</f>
        <v>0</v>
      </c>
      <c r="R388" s="9"/>
      <c r="S388" s="9"/>
      <c r="T388" s="9"/>
      <c r="U388" s="9"/>
      <c r="V388" s="9"/>
      <c r="W388" s="9"/>
      <c r="X388" s="9"/>
      <c r="Y388" s="9"/>
      <c r="Z388" s="9"/>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row>
    <row r="389" spans="1:64" hidden="1" outlineLevel="1">
      <c r="A389" s="9"/>
      <c r="B389" s="9"/>
      <c r="C389" s="9"/>
      <c r="D389" s="271">
        <f>Asset28</f>
        <v>0</v>
      </c>
      <c r="E389" s="9"/>
      <c r="F389" s="9"/>
      <c r="G389" s="9"/>
      <c r="H389" s="9"/>
      <c r="I389" s="9"/>
      <c r="J389" s="9"/>
      <c r="K389" s="9"/>
      <c r="L389" s="115">
        <f>IF(M$233=0, 'Adjustment for previous period'!L324, 0)</f>
        <v>0</v>
      </c>
      <c r="M389" s="115">
        <f>IF(N$233=0, 'Adjustment for previous period'!M324, 0)</f>
        <v>0</v>
      </c>
      <c r="N389" s="115">
        <f>IF(O$233=0, 'Adjustment for previous period'!N324, 0)</f>
        <v>0</v>
      </c>
      <c r="O389" s="115">
        <f>IF(P$233=0, 'Adjustment for previous period'!O324, 0)</f>
        <v>0</v>
      </c>
      <c r="P389" s="115">
        <f>IF(Q$233=0, 'Adjustment for previous period'!P324, 0)</f>
        <v>0</v>
      </c>
      <c r="Q389" s="115">
        <f>IF(R$233=0, 'Adjustment for previous period'!Q324, 0)</f>
        <v>0</v>
      </c>
      <c r="R389" s="9"/>
      <c r="S389" s="9"/>
      <c r="T389" s="9"/>
      <c r="U389" s="9"/>
      <c r="V389" s="9"/>
      <c r="W389" s="9"/>
      <c r="X389" s="9"/>
      <c r="Y389" s="9"/>
      <c r="Z389" s="9"/>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row>
    <row r="390" spans="1:64" hidden="1" outlineLevel="1">
      <c r="A390" s="9"/>
      <c r="B390" s="9"/>
      <c r="C390" s="9"/>
      <c r="D390" s="271">
        <f>Asset29</f>
        <v>0</v>
      </c>
      <c r="E390" s="9"/>
      <c r="F390" s="9"/>
      <c r="G390" s="9"/>
      <c r="H390" s="9"/>
      <c r="I390" s="9"/>
      <c r="J390" s="9"/>
      <c r="K390" s="9"/>
      <c r="L390" s="115">
        <f>IF(M$233=0, 'Adjustment for previous period'!L326, 0)</f>
        <v>0</v>
      </c>
      <c r="M390" s="115">
        <f>IF(N$233=0, 'Adjustment for previous period'!M326, 0)</f>
        <v>0</v>
      </c>
      <c r="N390" s="115">
        <f>IF(O$233=0, 'Adjustment for previous period'!N326, 0)</f>
        <v>0</v>
      </c>
      <c r="O390" s="115">
        <f>IF(P$233=0, 'Adjustment for previous period'!O326, 0)</f>
        <v>0</v>
      </c>
      <c r="P390" s="115">
        <f>IF(Q$233=0, 'Adjustment for previous period'!P326, 0)</f>
        <v>0</v>
      </c>
      <c r="Q390" s="115">
        <f>IF(R$233=0, 'Adjustment for previous period'!Q326, 0)</f>
        <v>0</v>
      </c>
      <c r="R390" s="9"/>
      <c r="S390" s="9"/>
      <c r="T390" s="9"/>
      <c r="U390" s="9"/>
      <c r="V390" s="9"/>
      <c r="W390" s="9"/>
      <c r="X390" s="9"/>
      <c r="Y390" s="9"/>
      <c r="Z390" s="9"/>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row>
    <row r="391" spans="1:64" hidden="1" outlineLevel="1">
      <c r="A391" s="9"/>
      <c r="B391" s="9"/>
      <c r="C391" s="9"/>
      <c r="D391" s="271">
        <f>Asset30</f>
        <v>0</v>
      </c>
      <c r="E391" s="9"/>
      <c r="F391" s="9"/>
      <c r="G391" s="9"/>
      <c r="H391" s="9"/>
      <c r="I391" s="9"/>
      <c r="J391" s="9"/>
      <c r="K391" s="9"/>
      <c r="L391" s="115">
        <f>IF(M$233=0, 'Adjustment for previous period'!L328, 0)</f>
        <v>0</v>
      </c>
      <c r="M391" s="115">
        <f>IF(N$233=0, 'Adjustment for previous period'!M328, 0)</f>
        <v>0</v>
      </c>
      <c r="N391" s="115">
        <f>IF(O$233=0, 'Adjustment for previous period'!N328, 0)</f>
        <v>0</v>
      </c>
      <c r="O391" s="115">
        <f>IF(P$233=0, 'Adjustment for previous period'!O328, 0)</f>
        <v>0</v>
      </c>
      <c r="P391" s="115">
        <f>IF(Q$233=0, 'Adjustment for previous period'!P328, 0)</f>
        <v>0</v>
      </c>
      <c r="Q391" s="115">
        <f>IF(R$233=0, 'Adjustment for previous period'!Q328, 0)</f>
        <v>0</v>
      </c>
      <c r="R391" s="9"/>
      <c r="S391" s="9"/>
      <c r="T391" s="9"/>
      <c r="U391" s="9"/>
      <c r="V391" s="9"/>
      <c r="W391" s="9"/>
      <c r="X391" s="9"/>
      <c r="Y391" s="9"/>
      <c r="Z391" s="9"/>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row>
    <row r="392" spans="1:64" collapsed="1">
      <c r="A392" s="9"/>
      <c r="B392" s="9"/>
      <c r="C392" s="9"/>
      <c r="D392" s="9"/>
      <c r="E392" s="9"/>
      <c r="F392" s="9"/>
      <c r="G392" s="9"/>
      <c r="H392" s="9"/>
      <c r="I392" s="9"/>
      <c r="J392" s="9"/>
      <c r="K392" s="9"/>
      <c r="L392" s="294">
        <v>5</v>
      </c>
      <c r="M392" s="294">
        <v>6</v>
      </c>
      <c r="N392" s="296">
        <v>7</v>
      </c>
      <c r="O392" s="294">
        <v>8</v>
      </c>
      <c r="P392" s="294">
        <v>9</v>
      </c>
      <c r="Q392" s="294">
        <v>10</v>
      </c>
      <c r="R392" s="9"/>
      <c r="S392" s="9"/>
      <c r="T392" s="9"/>
      <c r="U392" s="9"/>
      <c r="V392" s="9"/>
      <c r="W392" s="9"/>
      <c r="X392" s="9"/>
      <c r="Y392" s="9"/>
      <c r="Z392" s="9"/>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row>
    <row r="393" spans="1:64">
      <c r="A393" s="9"/>
      <c r="B393" s="9"/>
      <c r="C393" s="474" t="s">
        <v>104</v>
      </c>
      <c r="D393" s="474"/>
      <c r="E393" s="474"/>
      <c r="F393" s="474"/>
      <c r="G393" s="474"/>
      <c r="H393" s="474"/>
      <c r="I393" s="474"/>
      <c r="J393" s="474"/>
      <c r="K393" s="474"/>
      <c r="L393" s="334"/>
      <c r="M393" s="333">
        <f>SUM(M394:M413)</f>
        <v>0</v>
      </c>
      <c r="N393" s="35">
        <f t="shared" ref="N393:Q393" si="20">SUM(N394:N413)</f>
        <v>0</v>
      </c>
      <c r="O393" s="35">
        <f t="shared" si="20"/>
        <v>0</v>
      </c>
      <c r="P393" s="35">
        <f t="shared" si="20"/>
        <v>0</v>
      </c>
      <c r="Q393" s="35">
        <f t="shared" si="20"/>
        <v>0</v>
      </c>
      <c r="R393" s="9"/>
      <c r="S393" s="9"/>
      <c r="T393" s="9"/>
      <c r="U393" s="9"/>
      <c r="V393" s="9"/>
      <c r="W393" s="9"/>
      <c r="X393" s="9"/>
      <c r="Y393" s="9"/>
      <c r="Z393" s="9"/>
      <c r="AA393" s="9"/>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row>
    <row r="394" spans="1:64" hidden="1" outlineLevel="1">
      <c r="A394" s="9"/>
      <c r="B394" s="9"/>
      <c r="C394" s="474"/>
      <c r="D394" s="473" t="str">
        <f>Asset1</f>
        <v>Subtransmission</v>
      </c>
      <c r="E394" s="474"/>
      <c r="F394" s="474"/>
      <c r="G394" s="474"/>
      <c r="H394" s="474"/>
      <c r="I394" s="474"/>
      <c r="J394" s="474"/>
      <c r="K394" s="474"/>
      <c r="L394" s="334"/>
      <c r="M394" s="334">
        <f>IF(M$233&gt;0, IF(N$233=0,'Adjustment for previous period'!G398, 0), 0)</f>
        <v>0</v>
      </c>
      <c r="N394" s="115">
        <f>'Adjustment for previous period'!I398</f>
        <v>0</v>
      </c>
      <c r="O394" s="115">
        <f>'Adjustment for previous period'!J398</f>
        <v>0</v>
      </c>
      <c r="P394" s="115">
        <f>'Adjustment for previous period'!K398</f>
        <v>0</v>
      </c>
      <c r="Q394" s="115">
        <f>'Adjustment for previous period'!L398</f>
        <v>0</v>
      </c>
      <c r="R394" s="9"/>
      <c r="S394" s="9"/>
      <c r="T394" s="9"/>
      <c r="U394" s="9"/>
      <c r="V394" s="9"/>
      <c r="W394" s="9"/>
      <c r="X394" s="9"/>
      <c r="Y394" s="9"/>
      <c r="Z394" s="9"/>
      <c r="AA394" s="9"/>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row>
    <row r="395" spans="1:64" hidden="1" outlineLevel="1">
      <c r="A395" s="9"/>
      <c r="B395" s="9"/>
      <c r="C395" s="474"/>
      <c r="D395" s="473" t="str">
        <f>Asset2</f>
        <v>Distribution system assets</v>
      </c>
      <c r="E395" s="474"/>
      <c r="F395" s="474"/>
      <c r="G395" s="474"/>
      <c r="H395" s="474"/>
      <c r="I395" s="474"/>
      <c r="J395" s="474"/>
      <c r="K395" s="474"/>
      <c r="L395" s="334"/>
      <c r="M395" s="334">
        <f>IF(M$233&gt;0, IF(N$233=0,'Adjustment for previous period'!G399, 0), 0)</f>
        <v>0</v>
      </c>
      <c r="N395" s="115">
        <f>'Adjustment for previous period'!I399</f>
        <v>0</v>
      </c>
      <c r="O395" s="115">
        <f>'Adjustment for previous period'!J399</f>
        <v>0</v>
      </c>
      <c r="P395" s="115">
        <f>'Adjustment for previous period'!K399</f>
        <v>0</v>
      </c>
      <c r="Q395" s="115">
        <f>'Adjustment for previous period'!L399</f>
        <v>0</v>
      </c>
      <c r="R395" s="9"/>
      <c r="S395" s="9"/>
      <c r="T395" s="9"/>
      <c r="U395" s="9"/>
      <c r="V395" s="9"/>
      <c r="W395" s="9"/>
      <c r="X395" s="9"/>
      <c r="Y395" s="9"/>
      <c r="Z395" s="9"/>
      <c r="AA395" s="9"/>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row>
    <row r="396" spans="1:64" hidden="1" outlineLevel="1">
      <c r="A396" s="9"/>
      <c r="B396" s="9"/>
      <c r="C396" s="474"/>
      <c r="D396" s="473" t="str">
        <f>Asset3</f>
        <v>Standard metering</v>
      </c>
      <c r="E396" s="474"/>
      <c r="F396" s="474"/>
      <c r="G396" s="474"/>
      <c r="H396" s="474"/>
      <c r="I396" s="474"/>
      <c r="J396" s="474"/>
      <c r="K396" s="474"/>
      <c r="L396" s="334"/>
      <c r="M396" s="334">
        <f>IF(M$233&gt;0, IF(N$233=0,'Adjustment for previous period'!G400, 0), 0)</f>
        <v>0</v>
      </c>
      <c r="N396" s="115">
        <f>'Adjustment for previous period'!I400</f>
        <v>0</v>
      </c>
      <c r="O396" s="115">
        <f>'Adjustment for previous period'!J400</f>
        <v>0</v>
      </c>
      <c r="P396" s="115">
        <f>'Adjustment for previous period'!K400</f>
        <v>0</v>
      </c>
      <c r="Q396" s="115">
        <f>'Adjustment for previous period'!L400</f>
        <v>0</v>
      </c>
      <c r="R396" s="9"/>
      <c r="S396" s="9"/>
      <c r="T396" s="9"/>
      <c r="U396" s="9"/>
      <c r="V396" s="9"/>
      <c r="W396" s="9"/>
      <c r="X396" s="9"/>
      <c r="Y396" s="9"/>
      <c r="Z396" s="9"/>
      <c r="AA396" s="9"/>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row>
    <row r="397" spans="1:64" hidden="1" outlineLevel="1">
      <c r="A397" s="9"/>
      <c r="B397" s="9"/>
      <c r="C397" s="474"/>
      <c r="D397" s="473" t="str">
        <f>Asset4</f>
        <v>Public lighting</v>
      </c>
      <c r="E397" s="474"/>
      <c r="F397" s="474"/>
      <c r="G397" s="474"/>
      <c r="H397" s="474"/>
      <c r="I397" s="474"/>
      <c r="J397" s="474"/>
      <c r="K397" s="474"/>
      <c r="L397" s="334"/>
      <c r="M397" s="334">
        <f>IF(M$233&gt;0, IF(N$233=0,'Adjustment for previous period'!G401, 0), 0)</f>
        <v>0</v>
      </c>
      <c r="N397" s="115">
        <f>'Adjustment for previous period'!I401</f>
        <v>0</v>
      </c>
      <c r="O397" s="115">
        <f>'Adjustment for previous period'!J401</f>
        <v>0</v>
      </c>
      <c r="P397" s="115">
        <f>'Adjustment for previous period'!K401</f>
        <v>0</v>
      </c>
      <c r="Q397" s="115">
        <f>'Adjustment for previous period'!L401</f>
        <v>0</v>
      </c>
      <c r="R397" s="9"/>
      <c r="S397" s="9"/>
      <c r="T397" s="9"/>
      <c r="U397" s="9"/>
      <c r="V397" s="9"/>
      <c r="W397" s="9"/>
      <c r="X397" s="9"/>
      <c r="Y397" s="9"/>
      <c r="Z397" s="9"/>
      <c r="AA397" s="9"/>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row>
    <row r="398" spans="1:64" hidden="1" outlineLevel="1">
      <c r="A398" s="9"/>
      <c r="B398" s="9"/>
      <c r="C398" s="474"/>
      <c r="D398" s="473" t="str">
        <f>Asset5</f>
        <v>SCADA/Network control</v>
      </c>
      <c r="E398" s="474"/>
      <c r="F398" s="474"/>
      <c r="G398" s="474"/>
      <c r="H398" s="474"/>
      <c r="I398" s="474"/>
      <c r="J398" s="474"/>
      <c r="K398" s="474"/>
      <c r="L398" s="334"/>
      <c r="M398" s="334">
        <f>IF(M$233&gt;0, IF(N$233=0,'Adjustment for previous period'!G402, 0), 0)</f>
        <v>0</v>
      </c>
      <c r="N398" s="115">
        <f>'Adjustment for previous period'!I402</f>
        <v>0</v>
      </c>
      <c r="O398" s="115">
        <f>'Adjustment for previous period'!J402</f>
        <v>0</v>
      </c>
      <c r="P398" s="115">
        <f>'Adjustment for previous period'!K402</f>
        <v>0</v>
      </c>
      <c r="Q398" s="115">
        <f>'Adjustment for previous period'!L402</f>
        <v>0</v>
      </c>
      <c r="R398" s="9"/>
      <c r="S398" s="9"/>
      <c r="T398" s="9"/>
      <c r="U398" s="9"/>
      <c r="V398" s="9"/>
      <c r="W398" s="9"/>
      <c r="X398" s="9"/>
      <c r="Y398" s="9"/>
      <c r="Z398" s="9"/>
      <c r="AA398" s="9"/>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row>
    <row r="399" spans="1:64" hidden="1" outlineLevel="1">
      <c r="A399" s="9"/>
      <c r="B399" s="9"/>
      <c r="C399" s="474"/>
      <c r="D399" s="473" t="str">
        <f>Asset6</f>
        <v>Non-network general assets - IT</v>
      </c>
      <c r="E399" s="474"/>
      <c r="F399" s="474"/>
      <c r="G399" s="474"/>
      <c r="H399" s="474"/>
      <c r="I399" s="474"/>
      <c r="J399" s="474"/>
      <c r="K399" s="474"/>
      <c r="L399" s="334"/>
      <c r="M399" s="334">
        <f>IF(M$233&gt;0, IF(N$233=0,'Adjustment for previous period'!G403, 0), 0)</f>
        <v>0</v>
      </c>
      <c r="N399" s="115">
        <f>'Adjustment for previous period'!I403</f>
        <v>0</v>
      </c>
      <c r="O399" s="115">
        <f>'Adjustment for previous period'!J403</f>
        <v>0</v>
      </c>
      <c r="P399" s="115">
        <f>'Adjustment for previous period'!K403</f>
        <v>0</v>
      </c>
      <c r="Q399" s="115">
        <f>'Adjustment for previous period'!L403</f>
        <v>0</v>
      </c>
      <c r="R399" s="9"/>
      <c r="S399" s="9"/>
      <c r="T399" s="9"/>
      <c r="U399" s="9"/>
      <c r="V399" s="9"/>
      <c r="W399" s="9"/>
      <c r="X399" s="9"/>
      <c r="Y399" s="9"/>
      <c r="Z399" s="9"/>
      <c r="AA399" s="9"/>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row>
    <row r="400" spans="1:64" hidden="1" outlineLevel="1">
      <c r="A400" s="9"/>
      <c r="B400" s="9"/>
      <c r="C400" s="474"/>
      <c r="D400" s="473" t="str">
        <f>Asset7</f>
        <v>Non-network general assets - Other</v>
      </c>
      <c r="E400" s="474"/>
      <c r="F400" s="474"/>
      <c r="G400" s="474"/>
      <c r="H400" s="474"/>
      <c r="I400" s="474"/>
      <c r="J400" s="474"/>
      <c r="K400" s="474"/>
      <c r="L400" s="334"/>
      <c r="M400" s="334">
        <f>IF(M$233&gt;0, IF(N$233=0,'Adjustment for previous period'!G404, 0), 0)</f>
        <v>0</v>
      </c>
      <c r="N400" s="115">
        <f>'Adjustment for previous period'!I404</f>
        <v>0</v>
      </c>
      <c r="O400" s="115">
        <f>'Adjustment for previous period'!J404</f>
        <v>0</v>
      </c>
      <c r="P400" s="115">
        <f>'Adjustment for previous period'!K404</f>
        <v>0</v>
      </c>
      <c r="Q400" s="115">
        <f>'Adjustment for previous period'!L404</f>
        <v>0</v>
      </c>
      <c r="R400" s="9"/>
      <c r="S400" s="9"/>
      <c r="T400" s="9"/>
      <c r="U400" s="9"/>
      <c r="V400" s="9"/>
      <c r="W400" s="9"/>
      <c r="X400" s="9"/>
      <c r="Y400" s="9"/>
      <c r="Z400" s="9"/>
      <c r="AA400" s="9"/>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row>
    <row r="401" spans="1:64" hidden="1" outlineLevel="1">
      <c r="A401" s="9"/>
      <c r="B401" s="9"/>
      <c r="C401" s="474"/>
      <c r="D401" s="473" t="str">
        <f>Asset8</f>
        <v>Equity Raising Costs</v>
      </c>
      <c r="E401" s="474"/>
      <c r="F401" s="474"/>
      <c r="G401" s="474"/>
      <c r="H401" s="474"/>
      <c r="I401" s="474"/>
      <c r="J401" s="474"/>
      <c r="K401" s="474"/>
      <c r="L401" s="334"/>
      <c r="M401" s="334">
        <f>IF(M$233&gt;0, IF(N$233=0,'Adjustment for previous period'!G405, 0), 0)</f>
        <v>0</v>
      </c>
      <c r="N401" s="115">
        <f>'Adjustment for previous period'!I405</f>
        <v>0</v>
      </c>
      <c r="O401" s="115">
        <f>'Adjustment for previous period'!J405</f>
        <v>0</v>
      </c>
      <c r="P401" s="115">
        <f>'Adjustment for previous period'!K405</f>
        <v>0</v>
      </c>
      <c r="Q401" s="115">
        <f>'Adjustment for previous period'!L405</f>
        <v>0</v>
      </c>
      <c r="R401" s="9"/>
      <c r="S401" s="9"/>
      <c r="T401" s="9"/>
      <c r="U401" s="9"/>
      <c r="V401" s="9"/>
      <c r="W401" s="9"/>
      <c r="X401" s="9"/>
      <c r="Y401" s="9"/>
      <c r="Z401" s="9"/>
      <c r="AA401" s="9"/>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row>
    <row r="402" spans="1:64" hidden="1" outlineLevel="1">
      <c r="A402" s="9"/>
      <c r="B402" s="9"/>
      <c r="C402" s="474"/>
      <c r="D402" s="473">
        <f>Asset9</f>
        <v>0</v>
      </c>
      <c r="E402" s="474"/>
      <c r="F402" s="474"/>
      <c r="G402" s="474"/>
      <c r="H402" s="474"/>
      <c r="I402" s="474"/>
      <c r="J402" s="474"/>
      <c r="K402" s="474"/>
      <c r="L402" s="334"/>
      <c r="M402" s="334">
        <f>IF(M$233&gt;0, IF(N$233=0,'Adjustment for previous period'!G406, 0), 0)</f>
        <v>0</v>
      </c>
      <c r="N402" s="115">
        <f>'Adjustment for previous period'!I406</f>
        <v>0</v>
      </c>
      <c r="O402" s="115">
        <f>'Adjustment for previous period'!J406</f>
        <v>0</v>
      </c>
      <c r="P402" s="115">
        <f>'Adjustment for previous period'!K406</f>
        <v>0</v>
      </c>
      <c r="Q402" s="115">
        <f>'Adjustment for previous period'!L406</f>
        <v>0</v>
      </c>
      <c r="R402" s="9"/>
      <c r="S402" s="9"/>
      <c r="T402" s="9"/>
      <c r="U402" s="9"/>
      <c r="V402" s="9"/>
      <c r="W402" s="9"/>
      <c r="X402" s="9"/>
      <c r="Y402" s="9"/>
      <c r="Z402" s="9"/>
      <c r="AA402" s="9"/>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row>
    <row r="403" spans="1:64" hidden="1" outlineLevel="1">
      <c r="A403" s="9"/>
      <c r="B403" s="9"/>
      <c r="C403" s="474"/>
      <c r="D403" s="473">
        <f>Asset10</f>
        <v>0</v>
      </c>
      <c r="E403" s="474"/>
      <c r="F403" s="474"/>
      <c r="G403" s="474"/>
      <c r="H403" s="474"/>
      <c r="I403" s="474"/>
      <c r="J403" s="474"/>
      <c r="K403" s="474"/>
      <c r="L403" s="334"/>
      <c r="M403" s="334">
        <f>IF(M$233&gt;0, IF(N$233=0,'Adjustment for previous period'!G407, 0), 0)</f>
        <v>0</v>
      </c>
      <c r="N403" s="115">
        <f>'Adjustment for previous period'!I407</f>
        <v>0</v>
      </c>
      <c r="O403" s="115">
        <f>'Adjustment for previous period'!J407</f>
        <v>0</v>
      </c>
      <c r="P403" s="115">
        <f>'Adjustment for previous period'!K407</f>
        <v>0</v>
      </c>
      <c r="Q403" s="115">
        <f>'Adjustment for previous period'!L407</f>
        <v>0</v>
      </c>
      <c r="R403" s="9"/>
      <c r="S403" s="9"/>
      <c r="T403" s="9"/>
      <c r="U403" s="9"/>
      <c r="V403" s="9"/>
      <c r="W403" s="9"/>
      <c r="X403" s="9"/>
      <c r="Y403" s="9"/>
      <c r="Z403" s="9"/>
      <c r="AA403" s="9"/>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row>
    <row r="404" spans="1:64" hidden="1" outlineLevel="1">
      <c r="A404" s="9"/>
      <c r="B404" s="9"/>
      <c r="C404" s="474"/>
      <c r="D404" s="473">
        <f>Asset11</f>
        <v>0</v>
      </c>
      <c r="E404" s="474"/>
      <c r="F404" s="474"/>
      <c r="G404" s="474"/>
      <c r="H404" s="474"/>
      <c r="I404" s="474"/>
      <c r="J404" s="474"/>
      <c r="K404" s="474"/>
      <c r="L404" s="334"/>
      <c r="M404" s="334">
        <f>IF(M$233&gt;0, IF(N$233=0,'Adjustment for previous period'!G408, 0), 0)</f>
        <v>0</v>
      </c>
      <c r="N404" s="115">
        <f>'Adjustment for previous period'!I408</f>
        <v>0</v>
      </c>
      <c r="O404" s="115">
        <f>'Adjustment for previous period'!J408</f>
        <v>0</v>
      </c>
      <c r="P404" s="115">
        <f>'Adjustment for previous period'!K408</f>
        <v>0</v>
      </c>
      <c r="Q404" s="115">
        <f>'Adjustment for previous period'!L408</f>
        <v>0</v>
      </c>
      <c r="R404" s="9"/>
      <c r="S404" s="9"/>
      <c r="T404" s="9"/>
      <c r="U404" s="9"/>
      <c r="V404" s="9"/>
      <c r="W404" s="9"/>
      <c r="X404" s="9"/>
      <c r="Y404" s="9"/>
      <c r="Z404" s="9"/>
      <c r="AA404" s="9"/>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row>
    <row r="405" spans="1:64" hidden="1" outlineLevel="1">
      <c r="A405" s="9"/>
      <c r="B405" s="9"/>
      <c r="C405" s="474"/>
      <c r="D405" s="473">
        <f>Asset12</f>
        <v>0</v>
      </c>
      <c r="E405" s="474"/>
      <c r="F405" s="474"/>
      <c r="G405" s="474"/>
      <c r="H405" s="474"/>
      <c r="I405" s="474"/>
      <c r="J405" s="474"/>
      <c r="K405" s="474"/>
      <c r="L405" s="334"/>
      <c r="M405" s="334">
        <f>IF(M$233&gt;0, IF(N$233=0,'Adjustment for previous period'!G409, 0), 0)</f>
        <v>0</v>
      </c>
      <c r="N405" s="115">
        <f>'Adjustment for previous period'!I409</f>
        <v>0</v>
      </c>
      <c r="O405" s="115">
        <f>'Adjustment for previous period'!J409</f>
        <v>0</v>
      </c>
      <c r="P405" s="115">
        <f>'Adjustment for previous period'!K409</f>
        <v>0</v>
      </c>
      <c r="Q405" s="115">
        <f>'Adjustment for previous period'!L409</f>
        <v>0</v>
      </c>
      <c r="R405" s="9"/>
      <c r="S405" s="9"/>
      <c r="T405" s="9"/>
      <c r="U405" s="9"/>
      <c r="V405" s="9"/>
      <c r="W405" s="9"/>
      <c r="X405" s="9"/>
      <c r="Y405" s="9"/>
      <c r="Z405" s="9"/>
      <c r="AA405" s="9"/>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row>
    <row r="406" spans="1:64" hidden="1" outlineLevel="1">
      <c r="A406" s="9"/>
      <c r="B406" s="9"/>
      <c r="C406" s="474"/>
      <c r="D406" s="473">
        <f>Asset13</f>
        <v>0</v>
      </c>
      <c r="E406" s="474"/>
      <c r="F406" s="474"/>
      <c r="G406" s="474"/>
      <c r="H406" s="474"/>
      <c r="I406" s="474"/>
      <c r="J406" s="474"/>
      <c r="K406" s="474"/>
      <c r="L406" s="334"/>
      <c r="M406" s="334">
        <f>IF(M$233&gt;0, IF(N$233=0,'Adjustment for previous period'!G410, 0), 0)</f>
        <v>0</v>
      </c>
      <c r="N406" s="115">
        <f>'Adjustment for previous period'!I410</f>
        <v>0</v>
      </c>
      <c r="O406" s="115">
        <f>'Adjustment for previous period'!J410</f>
        <v>0</v>
      </c>
      <c r="P406" s="115">
        <f>'Adjustment for previous period'!K410</f>
        <v>0</v>
      </c>
      <c r="Q406" s="115">
        <f>'Adjustment for previous period'!L410</f>
        <v>0</v>
      </c>
      <c r="R406" s="9"/>
      <c r="S406" s="9"/>
      <c r="T406" s="9"/>
      <c r="U406" s="9"/>
      <c r="V406" s="9"/>
      <c r="W406" s="9"/>
      <c r="X406" s="9"/>
      <c r="Y406" s="9"/>
      <c r="Z406" s="9"/>
      <c r="AA406" s="9"/>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row>
    <row r="407" spans="1:64" hidden="1" outlineLevel="1">
      <c r="A407" s="9"/>
      <c r="B407" s="9"/>
      <c r="C407" s="474"/>
      <c r="D407" s="473">
        <f>Asset14</f>
        <v>0</v>
      </c>
      <c r="E407" s="474"/>
      <c r="F407" s="474"/>
      <c r="G407" s="474"/>
      <c r="H407" s="474"/>
      <c r="I407" s="474"/>
      <c r="J407" s="474"/>
      <c r="K407" s="474"/>
      <c r="L407" s="334"/>
      <c r="M407" s="334">
        <f>IF(M$233&gt;0, IF(N$233=0,'Adjustment for previous period'!G411, 0), 0)</f>
        <v>0</v>
      </c>
      <c r="N407" s="115">
        <f>'Adjustment for previous period'!I411</f>
        <v>0</v>
      </c>
      <c r="O407" s="115">
        <f>'Adjustment for previous period'!J411</f>
        <v>0</v>
      </c>
      <c r="P407" s="115">
        <f>'Adjustment for previous period'!K411</f>
        <v>0</v>
      </c>
      <c r="Q407" s="115">
        <f>'Adjustment for previous period'!L411</f>
        <v>0</v>
      </c>
      <c r="R407" s="9"/>
      <c r="S407" s="9"/>
      <c r="T407" s="9"/>
      <c r="U407" s="9"/>
      <c r="V407" s="9"/>
      <c r="W407" s="9"/>
      <c r="X407" s="9"/>
      <c r="Y407" s="9"/>
      <c r="Z407" s="9"/>
      <c r="AA407" s="9"/>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row>
    <row r="408" spans="1:64" hidden="1" outlineLevel="1">
      <c r="A408" s="9"/>
      <c r="B408" s="9"/>
      <c r="C408" s="474"/>
      <c r="D408" s="473">
        <f>Asset15</f>
        <v>0</v>
      </c>
      <c r="E408" s="474"/>
      <c r="F408" s="474"/>
      <c r="G408" s="474"/>
      <c r="H408" s="474"/>
      <c r="I408" s="474"/>
      <c r="J408" s="474"/>
      <c r="K408" s="474"/>
      <c r="L408" s="334"/>
      <c r="M408" s="334">
        <f>IF(M$233&gt;0, IF(N$233=0,'Adjustment for previous period'!G412, 0), 0)</f>
        <v>0</v>
      </c>
      <c r="N408" s="115">
        <f>'Adjustment for previous period'!I412</f>
        <v>0</v>
      </c>
      <c r="O408" s="115">
        <f>'Adjustment for previous period'!J412</f>
        <v>0</v>
      </c>
      <c r="P408" s="115">
        <f>'Adjustment for previous period'!K412</f>
        <v>0</v>
      </c>
      <c r="Q408" s="115">
        <f>'Adjustment for previous period'!L412</f>
        <v>0</v>
      </c>
      <c r="R408" s="9"/>
      <c r="S408" s="9"/>
      <c r="T408" s="9"/>
      <c r="U408" s="9"/>
      <c r="V408" s="9"/>
      <c r="W408" s="9"/>
      <c r="X408" s="9"/>
      <c r="Y408" s="9"/>
      <c r="Z408" s="9"/>
      <c r="AA408" s="9"/>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row>
    <row r="409" spans="1:64" hidden="1" outlineLevel="1">
      <c r="A409" s="9"/>
      <c r="B409" s="9"/>
      <c r="C409" s="474"/>
      <c r="D409" s="473">
        <f>Asset16</f>
        <v>0</v>
      </c>
      <c r="E409" s="474"/>
      <c r="F409" s="474"/>
      <c r="G409" s="474"/>
      <c r="H409" s="474"/>
      <c r="I409" s="474"/>
      <c r="J409" s="474"/>
      <c r="K409" s="474"/>
      <c r="L409" s="334"/>
      <c r="M409" s="334">
        <f>IF(M$233&gt;0, IF(N$233=0,'Adjustment for previous period'!G413, 0), 0)</f>
        <v>0</v>
      </c>
      <c r="N409" s="115">
        <f>'Adjustment for previous period'!I413</f>
        <v>0</v>
      </c>
      <c r="O409" s="115">
        <f>'Adjustment for previous period'!J413</f>
        <v>0</v>
      </c>
      <c r="P409" s="115">
        <f>'Adjustment for previous period'!K413</f>
        <v>0</v>
      </c>
      <c r="Q409" s="115">
        <f>'Adjustment for previous period'!L413</f>
        <v>0</v>
      </c>
      <c r="R409" s="9"/>
      <c r="S409" s="9"/>
      <c r="T409" s="9"/>
      <c r="U409" s="9"/>
      <c r="V409" s="9"/>
      <c r="W409" s="9"/>
      <c r="X409" s="9"/>
      <c r="Y409" s="9"/>
      <c r="Z409" s="9"/>
      <c r="AA409" s="9"/>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row>
    <row r="410" spans="1:64" hidden="1" outlineLevel="1">
      <c r="A410" s="9"/>
      <c r="B410" s="9"/>
      <c r="C410" s="474"/>
      <c r="D410" s="473">
        <f>Asset17</f>
        <v>0</v>
      </c>
      <c r="E410" s="474"/>
      <c r="F410" s="474"/>
      <c r="G410" s="474"/>
      <c r="H410" s="474"/>
      <c r="I410" s="474"/>
      <c r="J410" s="474"/>
      <c r="K410" s="474"/>
      <c r="L410" s="334"/>
      <c r="M410" s="334">
        <f>IF(M$233&gt;0, IF(N$233=0,'Adjustment for previous period'!G414, 0), 0)</f>
        <v>0</v>
      </c>
      <c r="N410" s="115">
        <f>'Adjustment for previous period'!I414</f>
        <v>0</v>
      </c>
      <c r="O410" s="115">
        <f>'Adjustment for previous period'!J414</f>
        <v>0</v>
      </c>
      <c r="P410" s="115">
        <f>'Adjustment for previous period'!K414</f>
        <v>0</v>
      </c>
      <c r="Q410" s="115">
        <f>'Adjustment for previous period'!L414</f>
        <v>0</v>
      </c>
      <c r="R410" s="9"/>
      <c r="S410" s="9"/>
      <c r="T410" s="9"/>
      <c r="U410" s="9"/>
      <c r="V410" s="9"/>
      <c r="W410" s="9"/>
      <c r="X410" s="9"/>
      <c r="Y410" s="9"/>
      <c r="Z410" s="9"/>
      <c r="AA410" s="9"/>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row>
    <row r="411" spans="1:64" hidden="1" outlineLevel="1">
      <c r="A411" s="9"/>
      <c r="B411" s="9"/>
      <c r="C411" s="474"/>
      <c r="D411" s="473">
        <f>Asset18</f>
        <v>0</v>
      </c>
      <c r="E411" s="474"/>
      <c r="F411" s="474"/>
      <c r="G411" s="474"/>
      <c r="H411" s="474"/>
      <c r="I411" s="474"/>
      <c r="J411" s="474"/>
      <c r="K411" s="474"/>
      <c r="L411" s="334"/>
      <c r="M411" s="334">
        <f>IF(M$233&gt;0, IF(N$233=0,'Adjustment for previous period'!G415, 0), 0)</f>
        <v>0</v>
      </c>
      <c r="N411" s="115">
        <f>'Adjustment for previous period'!I415</f>
        <v>0</v>
      </c>
      <c r="O411" s="115">
        <f>'Adjustment for previous period'!J415</f>
        <v>0</v>
      </c>
      <c r="P411" s="115">
        <f>'Adjustment for previous period'!K415</f>
        <v>0</v>
      </c>
      <c r="Q411" s="115">
        <f>'Adjustment for previous period'!L415</f>
        <v>0</v>
      </c>
      <c r="R411" s="9"/>
      <c r="S411" s="9"/>
      <c r="T411" s="9"/>
      <c r="U411" s="9"/>
      <c r="V411" s="9"/>
      <c r="W411" s="9"/>
      <c r="X411" s="9"/>
      <c r="Y411" s="9"/>
      <c r="Z411" s="9"/>
      <c r="AA411" s="9"/>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row>
    <row r="412" spans="1:64" hidden="1" outlineLevel="1">
      <c r="A412" s="9"/>
      <c r="B412" s="9"/>
      <c r="C412" s="474"/>
      <c r="D412" s="473">
        <f>Asset19</f>
        <v>0</v>
      </c>
      <c r="E412" s="474"/>
      <c r="F412" s="474"/>
      <c r="G412" s="474"/>
      <c r="H412" s="474"/>
      <c r="I412" s="474"/>
      <c r="J412" s="474"/>
      <c r="K412" s="474"/>
      <c r="L412" s="334"/>
      <c r="M412" s="334">
        <f>IF(M$233&gt;0, IF(N$233=0,'Adjustment for previous period'!G416, 0), 0)</f>
        <v>0</v>
      </c>
      <c r="N412" s="115">
        <f>'Adjustment for previous period'!I416</f>
        <v>0</v>
      </c>
      <c r="O412" s="115">
        <f>'Adjustment for previous period'!J416</f>
        <v>0</v>
      </c>
      <c r="P412" s="115">
        <f>'Adjustment for previous period'!K416</f>
        <v>0</v>
      </c>
      <c r="Q412" s="115">
        <f>'Adjustment for previous period'!L416</f>
        <v>0</v>
      </c>
      <c r="R412" s="9"/>
      <c r="S412" s="9"/>
      <c r="T412" s="9"/>
      <c r="U412" s="9"/>
      <c r="V412" s="9"/>
      <c r="W412" s="9"/>
      <c r="X412" s="9"/>
      <c r="Y412" s="9"/>
      <c r="Z412" s="9"/>
      <c r="AA412" s="9"/>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row>
    <row r="413" spans="1:64" hidden="1" outlineLevel="1">
      <c r="A413" s="9"/>
      <c r="B413" s="9"/>
      <c r="C413" s="474"/>
      <c r="D413" s="473">
        <f>Asset20</f>
        <v>0</v>
      </c>
      <c r="E413" s="474"/>
      <c r="F413" s="474"/>
      <c r="G413" s="474"/>
      <c r="H413" s="474"/>
      <c r="I413" s="474"/>
      <c r="J413" s="474"/>
      <c r="K413" s="474"/>
      <c r="L413" s="334"/>
      <c r="M413" s="334">
        <f>IF(M$233&gt;0, IF(N$233=0,'Adjustment for previous period'!G417, 0), 0)</f>
        <v>0</v>
      </c>
      <c r="N413" s="115">
        <f>'Adjustment for previous period'!I417</f>
        <v>0</v>
      </c>
      <c r="O413" s="115">
        <f>'Adjustment for previous period'!J417</f>
        <v>0</v>
      </c>
      <c r="P413" s="115">
        <f>'Adjustment for previous period'!K417</f>
        <v>0</v>
      </c>
      <c r="Q413" s="115">
        <f>'Adjustment for previous period'!L417</f>
        <v>0</v>
      </c>
      <c r="R413" s="9"/>
      <c r="S413" s="9"/>
      <c r="T413" s="9"/>
      <c r="U413" s="9"/>
      <c r="V413" s="9"/>
      <c r="W413" s="9"/>
      <c r="X413" s="9"/>
      <c r="Y413" s="9"/>
      <c r="Z413" s="9"/>
      <c r="AA413" s="9"/>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row>
    <row r="414" spans="1:64" hidden="1" outlineLevel="1">
      <c r="A414" s="9"/>
      <c r="B414" s="9"/>
      <c r="C414" s="474"/>
      <c r="D414" s="131">
        <f>Asset21</f>
        <v>0</v>
      </c>
      <c r="E414" s="474"/>
      <c r="F414" s="474"/>
      <c r="G414" s="474"/>
      <c r="H414" s="474"/>
      <c r="I414" s="474"/>
      <c r="J414" s="474"/>
      <c r="K414" s="474"/>
      <c r="L414" s="334"/>
      <c r="M414" s="334">
        <f>IF(M$233&gt;0, IF(N$233=0,'Adjustment for previous period'!G418, 0), 0)</f>
        <v>0</v>
      </c>
      <c r="N414" s="115">
        <f>'Adjustment for previous period'!I418</f>
        <v>0</v>
      </c>
      <c r="O414" s="115">
        <f>'Adjustment for previous period'!J418</f>
        <v>0</v>
      </c>
      <c r="P414" s="115">
        <f>'Adjustment for previous period'!K418</f>
        <v>0</v>
      </c>
      <c r="Q414" s="115">
        <f>'Adjustment for previous period'!L418</f>
        <v>0</v>
      </c>
      <c r="R414" s="9"/>
      <c r="S414" s="9"/>
      <c r="T414" s="9"/>
      <c r="U414" s="9"/>
      <c r="V414" s="9"/>
      <c r="W414" s="9"/>
      <c r="X414" s="9"/>
      <c r="Y414" s="9"/>
      <c r="Z414" s="9"/>
      <c r="AA414" s="9"/>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row>
    <row r="415" spans="1:64" hidden="1" outlineLevel="1">
      <c r="A415" s="9"/>
      <c r="B415" s="9"/>
      <c r="C415" s="474"/>
      <c r="D415" s="131">
        <f>Asset22</f>
        <v>0</v>
      </c>
      <c r="E415" s="474"/>
      <c r="F415" s="474"/>
      <c r="G415" s="474"/>
      <c r="H415" s="474"/>
      <c r="I415" s="474"/>
      <c r="J415" s="474"/>
      <c r="K415" s="474"/>
      <c r="L415" s="334"/>
      <c r="M415" s="334">
        <f>IF(M$233&gt;0, IF(N$233=0,'Adjustment for previous period'!G419, 0), 0)</f>
        <v>0</v>
      </c>
      <c r="N415" s="115">
        <f>'Adjustment for previous period'!I419</f>
        <v>0</v>
      </c>
      <c r="O415" s="115">
        <f>'Adjustment for previous period'!J419</f>
        <v>0</v>
      </c>
      <c r="P415" s="115">
        <f>'Adjustment for previous period'!K419</f>
        <v>0</v>
      </c>
      <c r="Q415" s="115">
        <f>'Adjustment for previous period'!L419</f>
        <v>0</v>
      </c>
      <c r="R415" s="9"/>
      <c r="S415" s="9"/>
      <c r="T415" s="9"/>
      <c r="U415" s="9"/>
      <c r="V415" s="9"/>
      <c r="W415" s="9"/>
      <c r="X415" s="9"/>
      <c r="Y415" s="9"/>
      <c r="Z415" s="9"/>
      <c r="AA415" s="9"/>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row>
    <row r="416" spans="1:64" hidden="1" outlineLevel="1">
      <c r="A416" s="9"/>
      <c r="B416" s="9"/>
      <c r="C416" s="474"/>
      <c r="D416" s="131">
        <f>Asset23</f>
        <v>0</v>
      </c>
      <c r="E416" s="474"/>
      <c r="F416" s="474"/>
      <c r="G416" s="474"/>
      <c r="H416" s="474"/>
      <c r="I416" s="474"/>
      <c r="J416" s="474"/>
      <c r="K416" s="474"/>
      <c r="L416" s="334"/>
      <c r="M416" s="334">
        <f>IF(M$233&gt;0, IF(N$233=0,'Adjustment for previous period'!G420, 0), 0)</f>
        <v>0</v>
      </c>
      <c r="N416" s="115">
        <f>'Adjustment for previous period'!I420</f>
        <v>0</v>
      </c>
      <c r="O416" s="115">
        <f>'Adjustment for previous period'!J420</f>
        <v>0</v>
      </c>
      <c r="P416" s="115">
        <f>'Adjustment for previous period'!K420</f>
        <v>0</v>
      </c>
      <c r="Q416" s="115">
        <f>'Adjustment for previous period'!L420</f>
        <v>0</v>
      </c>
      <c r="R416" s="9"/>
      <c r="S416" s="9"/>
      <c r="T416" s="9"/>
      <c r="U416" s="9"/>
      <c r="V416" s="9"/>
      <c r="W416" s="9"/>
      <c r="X416" s="9"/>
      <c r="Y416" s="9"/>
      <c r="Z416" s="9"/>
      <c r="AA416" s="9"/>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row>
    <row r="417" spans="1:64" hidden="1" outlineLevel="1">
      <c r="A417" s="9"/>
      <c r="B417" s="9"/>
      <c r="C417" s="474"/>
      <c r="D417" s="131">
        <f>Asset24</f>
        <v>0</v>
      </c>
      <c r="E417" s="474"/>
      <c r="F417" s="474"/>
      <c r="G417" s="474"/>
      <c r="H417" s="474"/>
      <c r="I417" s="474"/>
      <c r="J417" s="474"/>
      <c r="K417" s="474"/>
      <c r="L417" s="334"/>
      <c r="M417" s="334">
        <f>IF(M$233&gt;0, IF(N$233=0,'Adjustment for previous period'!G421, 0), 0)</f>
        <v>0</v>
      </c>
      <c r="N417" s="115">
        <f>'Adjustment for previous period'!I421</f>
        <v>0</v>
      </c>
      <c r="O417" s="115">
        <f>'Adjustment for previous period'!J421</f>
        <v>0</v>
      </c>
      <c r="P417" s="115">
        <f>'Adjustment for previous period'!K421</f>
        <v>0</v>
      </c>
      <c r="Q417" s="115">
        <f>'Adjustment for previous period'!L421</f>
        <v>0</v>
      </c>
      <c r="R417" s="9"/>
      <c r="S417" s="9"/>
      <c r="T417" s="9"/>
      <c r="U417" s="9"/>
      <c r="V417" s="9"/>
      <c r="W417" s="9"/>
      <c r="X417" s="9"/>
      <c r="Y417" s="9"/>
      <c r="Z417" s="9"/>
      <c r="AA417" s="9"/>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row>
    <row r="418" spans="1:64" hidden="1" outlineLevel="1">
      <c r="A418" s="9"/>
      <c r="B418" s="9"/>
      <c r="C418" s="474"/>
      <c r="D418" s="131">
        <f>Asset25</f>
        <v>0</v>
      </c>
      <c r="E418" s="474"/>
      <c r="F418" s="474"/>
      <c r="G418" s="474"/>
      <c r="H418" s="474"/>
      <c r="I418" s="474"/>
      <c r="J418" s="474"/>
      <c r="K418" s="474"/>
      <c r="L418" s="334"/>
      <c r="M418" s="334">
        <f>IF(M$233&gt;0, IF(N$233=0,'Adjustment for previous period'!G422, 0), 0)</f>
        <v>0</v>
      </c>
      <c r="N418" s="115">
        <f>'Adjustment for previous period'!I422</f>
        <v>0</v>
      </c>
      <c r="O418" s="115">
        <f>'Adjustment for previous period'!J422</f>
        <v>0</v>
      </c>
      <c r="P418" s="115">
        <f>'Adjustment for previous period'!K422</f>
        <v>0</v>
      </c>
      <c r="Q418" s="115">
        <f>'Adjustment for previous period'!L422</f>
        <v>0</v>
      </c>
      <c r="R418" s="9"/>
      <c r="S418" s="9"/>
      <c r="T418" s="9"/>
      <c r="U418" s="9"/>
      <c r="V418" s="9"/>
      <c r="W418" s="9"/>
      <c r="X418" s="9"/>
      <c r="Y418" s="9"/>
      <c r="Z418" s="9"/>
      <c r="AA418" s="9"/>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row>
    <row r="419" spans="1:64" hidden="1" outlineLevel="1">
      <c r="A419" s="9"/>
      <c r="B419" s="9"/>
      <c r="C419" s="474"/>
      <c r="D419" s="131">
        <f>Asset26</f>
        <v>0</v>
      </c>
      <c r="E419" s="474"/>
      <c r="F419" s="474"/>
      <c r="G419" s="474"/>
      <c r="H419" s="474"/>
      <c r="I419" s="474"/>
      <c r="J419" s="474"/>
      <c r="K419" s="474"/>
      <c r="L419" s="334"/>
      <c r="M419" s="334">
        <f>IF(M$233&gt;0, IF(N$233=0,'Adjustment for previous period'!G423, 0), 0)</f>
        <v>0</v>
      </c>
      <c r="N419" s="115">
        <f>'Adjustment for previous period'!I423</f>
        <v>0</v>
      </c>
      <c r="O419" s="115">
        <f>'Adjustment for previous period'!J423</f>
        <v>0</v>
      </c>
      <c r="P419" s="115">
        <f>'Adjustment for previous period'!K423</f>
        <v>0</v>
      </c>
      <c r="Q419" s="115">
        <f>'Adjustment for previous period'!L423</f>
        <v>0</v>
      </c>
      <c r="R419" s="9"/>
      <c r="S419" s="9"/>
      <c r="T419" s="9"/>
      <c r="U419" s="9"/>
      <c r="V419" s="9"/>
      <c r="W419" s="9"/>
      <c r="X419" s="9"/>
      <c r="Y419" s="9"/>
      <c r="Z419" s="9"/>
      <c r="AA419" s="9"/>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row>
    <row r="420" spans="1:64" hidden="1" outlineLevel="1">
      <c r="A420" s="9"/>
      <c r="B420" s="9"/>
      <c r="C420" s="474"/>
      <c r="D420" s="131">
        <f>Asset27</f>
        <v>0</v>
      </c>
      <c r="E420" s="474"/>
      <c r="F420" s="474"/>
      <c r="G420" s="474"/>
      <c r="H420" s="474"/>
      <c r="I420" s="474"/>
      <c r="J420" s="474"/>
      <c r="K420" s="474"/>
      <c r="L420" s="334"/>
      <c r="M420" s="334">
        <f>IF(M$233&gt;0, IF(N$233=0,'Adjustment for previous period'!G424, 0), 0)</f>
        <v>0</v>
      </c>
      <c r="N420" s="115">
        <f>'Adjustment for previous period'!I424</f>
        <v>0</v>
      </c>
      <c r="O420" s="115">
        <f>'Adjustment for previous period'!J424</f>
        <v>0</v>
      </c>
      <c r="P420" s="115">
        <f>'Adjustment for previous period'!K424</f>
        <v>0</v>
      </c>
      <c r="Q420" s="115">
        <f>'Adjustment for previous period'!L424</f>
        <v>0</v>
      </c>
      <c r="R420" s="9"/>
      <c r="S420" s="9"/>
      <c r="T420" s="9"/>
      <c r="U420" s="9"/>
      <c r="V420" s="9"/>
      <c r="W420" s="9"/>
      <c r="X420" s="9"/>
      <c r="Y420" s="9"/>
      <c r="Z420" s="9"/>
      <c r="AA420" s="9"/>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row>
    <row r="421" spans="1:64" hidden="1" outlineLevel="1">
      <c r="A421" s="9"/>
      <c r="B421" s="9"/>
      <c r="C421" s="474"/>
      <c r="D421" s="131">
        <f>Asset28</f>
        <v>0</v>
      </c>
      <c r="E421" s="474"/>
      <c r="F421" s="474"/>
      <c r="G421" s="474"/>
      <c r="H421" s="474"/>
      <c r="I421" s="474"/>
      <c r="J421" s="474"/>
      <c r="K421" s="474"/>
      <c r="L421" s="334"/>
      <c r="M421" s="334">
        <f>IF(M$233&gt;0, IF(N$233=0,'Adjustment for previous period'!G425, 0), 0)</f>
        <v>0</v>
      </c>
      <c r="N421" s="115">
        <f>'Adjustment for previous period'!I425</f>
        <v>0</v>
      </c>
      <c r="O421" s="115">
        <f>'Adjustment for previous period'!J425</f>
        <v>0</v>
      </c>
      <c r="P421" s="115">
        <f>'Adjustment for previous period'!K425</f>
        <v>0</v>
      </c>
      <c r="Q421" s="115">
        <f>'Adjustment for previous period'!L425</f>
        <v>0</v>
      </c>
      <c r="R421" s="9"/>
      <c r="S421" s="9"/>
      <c r="T421" s="9"/>
      <c r="U421" s="9"/>
      <c r="V421" s="9"/>
      <c r="W421" s="9"/>
      <c r="X421" s="9"/>
      <c r="Y421" s="9"/>
      <c r="Z421" s="9"/>
      <c r="AA421" s="9"/>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row>
    <row r="422" spans="1:64" hidden="1" outlineLevel="1">
      <c r="A422" s="9"/>
      <c r="B422" s="9"/>
      <c r="C422" s="474"/>
      <c r="D422" s="131">
        <f>Asset29</f>
        <v>0</v>
      </c>
      <c r="E422" s="474"/>
      <c r="F422" s="474"/>
      <c r="G422" s="474"/>
      <c r="H422" s="474"/>
      <c r="I422" s="474"/>
      <c r="J422" s="474"/>
      <c r="K422" s="474"/>
      <c r="L422" s="334"/>
      <c r="M422" s="334">
        <f>IF(M$233&gt;0, IF(N$233=0,'Adjustment for previous period'!G426, 0), 0)</f>
        <v>0</v>
      </c>
      <c r="N422" s="115">
        <f>'Adjustment for previous period'!I426</f>
        <v>0</v>
      </c>
      <c r="O422" s="115">
        <f>'Adjustment for previous period'!J426</f>
        <v>0</v>
      </c>
      <c r="P422" s="115">
        <f>'Adjustment for previous period'!K426</f>
        <v>0</v>
      </c>
      <c r="Q422" s="115">
        <f>'Adjustment for previous period'!L426</f>
        <v>0</v>
      </c>
      <c r="R422" s="9"/>
      <c r="S422" s="9"/>
      <c r="T422" s="9"/>
      <c r="U422" s="9"/>
      <c r="V422" s="9"/>
      <c r="W422" s="9"/>
      <c r="X422" s="9"/>
      <c r="Y422" s="9"/>
      <c r="Z422" s="9"/>
      <c r="AA422" s="9"/>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row>
    <row r="423" spans="1:64" hidden="1" outlineLevel="1">
      <c r="A423" s="9"/>
      <c r="B423" s="9"/>
      <c r="C423" s="474"/>
      <c r="D423" s="131">
        <f>Asset30</f>
        <v>0</v>
      </c>
      <c r="E423" s="474"/>
      <c r="F423" s="474"/>
      <c r="G423" s="474"/>
      <c r="H423" s="474"/>
      <c r="I423" s="474"/>
      <c r="J423" s="474"/>
      <c r="K423" s="474"/>
      <c r="L423" s="334"/>
      <c r="M423" s="334">
        <f>IF(M$233&gt;0, IF(N$233=0,'Adjustment for previous period'!G427, 0), 0)</f>
        <v>0</v>
      </c>
      <c r="N423" s="115">
        <f>'Adjustment for previous period'!I427</f>
        <v>0</v>
      </c>
      <c r="O423" s="115">
        <f>'Adjustment for previous period'!J427</f>
        <v>0</v>
      </c>
      <c r="P423" s="115">
        <f>'Adjustment for previous period'!K427</f>
        <v>0</v>
      </c>
      <c r="Q423" s="115">
        <f>'Adjustment for previous period'!L427</f>
        <v>0</v>
      </c>
      <c r="R423" s="9"/>
      <c r="S423" s="9"/>
      <c r="T423" s="9"/>
      <c r="U423" s="9"/>
      <c r="V423" s="9"/>
      <c r="W423" s="9"/>
      <c r="X423" s="9"/>
      <c r="Y423" s="9"/>
      <c r="Z423" s="9"/>
      <c r="AA423" s="9"/>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row>
    <row r="424" spans="1:64" collapsed="1">
      <c r="A424" s="9"/>
      <c r="B424" s="9"/>
      <c r="C424" s="474"/>
      <c r="D424" s="131"/>
      <c r="E424" s="474"/>
      <c r="F424" s="474"/>
      <c r="G424" s="474"/>
      <c r="H424" s="474"/>
      <c r="I424" s="474"/>
      <c r="J424" s="474"/>
      <c r="K424" s="474"/>
      <c r="L424" s="474"/>
      <c r="M424" s="474"/>
      <c r="N424" s="12"/>
      <c r="O424" s="9"/>
      <c r="P424" s="9"/>
      <c r="Q424" s="9"/>
      <c r="R424" s="9"/>
      <c r="S424" s="9"/>
      <c r="T424" s="9"/>
      <c r="U424" s="9"/>
      <c r="V424" s="9"/>
      <c r="W424" s="9"/>
      <c r="X424" s="9"/>
      <c r="Y424" s="9"/>
      <c r="Z424" s="9"/>
      <c r="AA424" s="9"/>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row>
    <row r="425" spans="1:64">
      <c r="A425" s="9"/>
      <c r="B425" s="9"/>
      <c r="C425" s="478" t="s">
        <v>105</v>
      </c>
      <c r="D425" s="474"/>
      <c r="E425" s="474"/>
      <c r="F425" s="474"/>
      <c r="G425" s="474"/>
      <c r="H425" s="474"/>
      <c r="I425" s="474"/>
      <c r="J425" s="474"/>
      <c r="K425" s="474"/>
      <c r="L425" s="333">
        <f t="shared" ref="L425" si="21">SUM(L426:L445)</f>
        <v>0</v>
      </c>
      <c r="M425" s="333">
        <f t="shared" ref="M425:Q425" si="22">SUM(M426:M445)</f>
        <v>0</v>
      </c>
      <c r="N425" s="35">
        <f t="shared" si="22"/>
        <v>0</v>
      </c>
      <c r="O425" s="35">
        <f t="shared" si="22"/>
        <v>0</v>
      </c>
      <c r="P425" s="35">
        <f t="shared" si="22"/>
        <v>0</v>
      </c>
      <c r="Q425" s="35">
        <f t="shared" si="22"/>
        <v>0</v>
      </c>
      <c r="R425" s="9"/>
      <c r="S425" s="9"/>
      <c r="T425" s="9"/>
      <c r="U425" s="9"/>
      <c r="V425" s="9"/>
      <c r="W425" s="9"/>
      <c r="X425" s="9"/>
      <c r="Y425" s="9"/>
      <c r="Z425" s="9"/>
      <c r="AA425" s="9"/>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row>
    <row r="426" spans="1:64" hidden="1" outlineLevel="1">
      <c r="A426" s="9"/>
      <c r="B426" s="9"/>
      <c r="C426" s="9"/>
      <c r="D426" s="131" t="str">
        <f>Asset1</f>
        <v>Subtransmission</v>
      </c>
      <c r="E426" s="9"/>
      <c r="F426" s="9"/>
      <c r="G426" s="9"/>
      <c r="H426" s="9"/>
      <c r="I426" s="9"/>
      <c r="J426" s="9"/>
      <c r="K426" s="9"/>
      <c r="L426" s="330">
        <f>IF(M$233=0,'Adjustment for previous period'!L431, 0)</f>
        <v>0</v>
      </c>
      <c r="M426" s="330">
        <f>IF(N$233=0,'Adjustment for previous period'!M431, 0)</f>
        <v>0</v>
      </c>
      <c r="N426" s="330">
        <f>IF(O$233=0,'Adjustment for previous period'!N431, 0)</f>
        <v>0</v>
      </c>
      <c r="O426" s="330">
        <f>IF(P$233=0,'Adjustment for previous period'!O431, 0)</f>
        <v>0</v>
      </c>
      <c r="P426" s="330">
        <f>IF(Q$233=0,'Adjustment for previous period'!P431, 0)</f>
        <v>0</v>
      </c>
      <c r="Q426" s="330">
        <f>IF(R$233=0,'Adjustment for previous period'!Q431, 0)</f>
        <v>0</v>
      </c>
      <c r="R426" s="9"/>
      <c r="S426" s="9"/>
      <c r="T426" s="9"/>
      <c r="U426" s="9"/>
      <c r="V426" s="9"/>
      <c r="W426" s="9"/>
      <c r="X426" s="9"/>
      <c r="Y426" s="9"/>
      <c r="Z426" s="9"/>
      <c r="AA426" s="9"/>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row>
    <row r="427" spans="1:64" hidden="1" outlineLevel="1">
      <c r="A427" s="9"/>
      <c r="B427" s="9"/>
      <c r="C427" s="9"/>
      <c r="D427" s="131" t="str">
        <f>Asset2</f>
        <v>Distribution system assets</v>
      </c>
      <c r="E427" s="9"/>
      <c r="F427" s="9"/>
      <c r="G427" s="9"/>
      <c r="H427" s="9"/>
      <c r="I427" s="9"/>
      <c r="J427" s="9"/>
      <c r="K427" s="9"/>
      <c r="L427" s="115">
        <f>IF(M$233=0,'Adjustment for previous period'!L433, 0)</f>
        <v>0</v>
      </c>
      <c r="M427" s="330">
        <f>IF(N$233=0,'Adjustment for previous period'!M433, 0)</f>
        <v>0</v>
      </c>
      <c r="N427" s="115">
        <f>IF(O$233=0,'Adjustment for previous period'!N433, 0)</f>
        <v>0</v>
      </c>
      <c r="O427" s="115">
        <f>IF(P$233=0,'Adjustment for previous period'!O433, 0)</f>
        <v>0</v>
      </c>
      <c r="P427" s="115">
        <f>IF(Q$233=0,'Adjustment for previous period'!P433, 0)</f>
        <v>0</v>
      </c>
      <c r="Q427" s="115">
        <f>IF(R$233=0,'Adjustment for previous period'!Q433, 0)</f>
        <v>0</v>
      </c>
      <c r="R427" s="9"/>
      <c r="S427" s="9"/>
      <c r="T427" s="9"/>
      <c r="U427" s="9"/>
      <c r="V427" s="9"/>
      <c r="W427" s="9"/>
      <c r="X427" s="9"/>
      <c r="Y427" s="9"/>
      <c r="Z427" s="9"/>
      <c r="AA427" s="9"/>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row>
    <row r="428" spans="1:64" hidden="1" outlineLevel="1">
      <c r="A428" s="9"/>
      <c r="B428" s="9"/>
      <c r="C428" s="9"/>
      <c r="D428" s="131" t="str">
        <f>Asset3</f>
        <v>Standard metering</v>
      </c>
      <c r="E428" s="9"/>
      <c r="F428" s="9"/>
      <c r="G428" s="9"/>
      <c r="H428" s="9"/>
      <c r="I428" s="9"/>
      <c r="J428" s="9"/>
      <c r="K428" s="9"/>
      <c r="L428" s="115">
        <f>IF(M$233=0,'Adjustment for previous period'!L435, 0)</f>
        <v>0</v>
      </c>
      <c r="M428" s="330">
        <f>IF(N$233=0,'Adjustment for previous period'!M435, 0)</f>
        <v>0</v>
      </c>
      <c r="N428" s="115">
        <f>IF(O$233=0,'Adjustment for previous period'!N435, 0)</f>
        <v>0</v>
      </c>
      <c r="O428" s="115">
        <f>IF(P$233=0,'Adjustment for previous period'!O435, 0)</f>
        <v>0</v>
      </c>
      <c r="P428" s="115">
        <f>IF(Q$233=0,'Adjustment for previous period'!P435, 0)</f>
        <v>0</v>
      </c>
      <c r="Q428" s="115">
        <f>IF(R$233=0,'Adjustment for previous period'!Q435, 0)</f>
        <v>0</v>
      </c>
      <c r="R428" s="9"/>
      <c r="S428" s="9"/>
      <c r="T428" s="9"/>
      <c r="U428" s="9"/>
      <c r="V428" s="9"/>
      <c r="W428" s="9"/>
      <c r="X428" s="9"/>
      <c r="Y428" s="9"/>
      <c r="Z428" s="9"/>
      <c r="AA428" s="9"/>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row>
    <row r="429" spans="1:64" hidden="1" outlineLevel="1">
      <c r="A429" s="9"/>
      <c r="B429" s="9"/>
      <c r="C429" s="9"/>
      <c r="D429" s="131" t="str">
        <f>Asset4</f>
        <v>Public lighting</v>
      </c>
      <c r="E429" s="9"/>
      <c r="F429" s="9"/>
      <c r="G429" s="9"/>
      <c r="H429" s="9"/>
      <c r="I429" s="9"/>
      <c r="J429" s="9"/>
      <c r="K429" s="9"/>
      <c r="L429" s="115">
        <f>IF(M$233=0,'Adjustment for previous period'!L437, 0)</f>
        <v>0</v>
      </c>
      <c r="M429" s="330">
        <f>IF(N$233=0,'Adjustment for previous period'!M437, 0)</f>
        <v>0</v>
      </c>
      <c r="N429" s="115">
        <f>IF(O$233=0,'Adjustment for previous period'!N437, 0)</f>
        <v>0</v>
      </c>
      <c r="O429" s="115">
        <f>IF(P$233=0,'Adjustment for previous period'!O437, 0)</f>
        <v>0</v>
      </c>
      <c r="P429" s="115">
        <f>IF(Q$233=0,'Adjustment for previous period'!P437, 0)</f>
        <v>0</v>
      </c>
      <c r="Q429" s="115">
        <f>IF(R$233=0,'Adjustment for previous period'!Q437, 0)</f>
        <v>0</v>
      </c>
      <c r="R429" s="9"/>
      <c r="S429" s="9"/>
      <c r="T429" s="9"/>
      <c r="U429" s="9"/>
      <c r="V429" s="9"/>
      <c r="W429" s="9"/>
      <c r="X429" s="9"/>
      <c r="Y429" s="9"/>
      <c r="Z429" s="9"/>
      <c r="AA429" s="9"/>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row>
    <row r="430" spans="1:64" hidden="1" outlineLevel="1">
      <c r="A430" s="9"/>
      <c r="B430" s="9"/>
      <c r="C430" s="9"/>
      <c r="D430" s="131" t="str">
        <f>Asset5</f>
        <v>SCADA/Network control</v>
      </c>
      <c r="E430" s="9"/>
      <c r="F430" s="9"/>
      <c r="G430" s="9"/>
      <c r="H430" s="9"/>
      <c r="I430" s="9"/>
      <c r="J430" s="9"/>
      <c r="K430" s="9"/>
      <c r="L430" s="115">
        <f>IF(M$233=0,'Adjustment for previous period'!L439, 0)</f>
        <v>0</v>
      </c>
      <c r="M430" s="330">
        <f>IF(N$233=0,'Adjustment for previous period'!M439, 0)</f>
        <v>0</v>
      </c>
      <c r="N430" s="115">
        <f>IF(O$233=0,'Adjustment for previous period'!N439, 0)</f>
        <v>0</v>
      </c>
      <c r="O430" s="115">
        <f>IF(P$233=0,'Adjustment for previous period'!O439, 0)</f>
        <v>0</v>
      </c>
      <c r="P430" s="115">
        <f>IF(Q$233=0,'Adjustment for previous period'!P439, 0)</f>
        <v>0</v>
      </c>
      <c r="Q430" s="115">
        <f>IF(R$233=0,'Adjustment for previous period'!Q439, 0)</f>
        <v>0</v>
      </c>
      <c r="R430" s="9"/>
      <c r="S430" s="9"/>
      <c r="T430" s="9"/>
      <c r="U430" s="9"/>
      <c r="V430" s="9"/>
      <c r="W430" s="9"/>
      <c r="X430" s="9"/>
      <c r="Y430" s="9"/>
      <c r="Z430" s="9"/>
      <c r="AA430" s="9"/>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row>
    <row r="431" spans="1:64" hidden="1" outlineLevel="1">
      <c r="A431" s="9"/>
      <c r="B431" s="9"/>
      <c r="C431" s="9"/>
      <c r="D431" s="131" t="str">
        <f>Asset6</f>
        <v>Non-network general assets - IT</v>
      </c>
      <c r="E431" s="9"/>
      <c r="F431" s="9"/>
      <c r="G431" s="9"/>
      <c r="H431" s="9"/>
      <c r="I431" s="9"/>
      <c r="J431" s="9"/>
      <c r="K431" s="9"/>
      <c r="L431" s="115">
        <f>IF(M$233=0,'Adjustment for previous period'!L441, 0)</f>
        <v>0</v>
      </c>
      <c r="M431" s="330">
        <f>IF(N$233=0,'Adjustment for previous period'!M441, 0)</f>
        <v>0</v>
      </c>
      <c r="N431" s="115">
        <f>IF(O$233=0,'Adjustment for previous period'!N441, 0)</f>
        <v>0</v>
      </c>
      <c r="O431" s="115">
        <f>IF(P$233=0,'Adjustment for previous period'!O441, 0)</f>
        <v>0</v>
      </c>
      <c r="P431" s="115">
        <f>IF(Q$233=0,'Adjustment for previous period'!P441, 0)</f>
        <v>0</v>
      </c>
      <c r="Q431" s="115">
        <f>IF(R$233=0,'Adjustment for previous period'!Q441, 0)</f>
        <v>0</v>
      </c>
      <c r="R431" s="9"/>
      <c r="S431" s="9"/>
      <c r="T431" s="9"/>
      <c r="U431" s="9"/>
      <c r="V431" s="9"/>
      <c r="W431" s="9"/>
      <c r="X431" s="9"/>
      <c r="Y431" s="9"/>
      <c r="Z431" s="9"/>
      <c r="AA431" s="9"/>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row>
    <row r="432" spans="1:64" hidden="1" outlineLevel="1">
      <c r="A432" s="9"/>
      <c r="B432" s="9"/>
      <c r="C432" s="9"/>
      <c r="D432" s="131" t="str">
        <f>Asset7</f>
        <v>Non-network general assets - Other</v>
      </c>
      <c r="E432" s="9"/>
      <c r="F432" s="9"/>
      <c r="G432" s="9"/>
      <c r="H432" s="9"/>
      <c r="I432" s="9"/>
      <c r="J432" s="9"/>
      <c r="K432" s="9"/>
      <c r="L432" s="115">
        <f>IF(M$233=0,'Adjustment for previous period'!L443, 0)</f>
        <v>0</v>
      </c>
      <c r="M432" s="330">
        <f>IF(N$233=0,'Adjustment for previous period'!M443, 0)</f>
        <v>0</v>
      </c>
      <c r="N432" s="115">
        <f>IF(O$233=0,'Adjustment for previous period'!N443, 0)</f>
        <v>0</v>
      </c>
      <c r="O432" s="115">
        <f>IF(P$233=0,'Adjustment for previous period'!O443, 0)</f>
        <v>0</v>
      </c>
      <c r="P432" s="115">
        <f>IF(Q$233=0,'Adjustment for previous period'!P443, 0)</f>
        <v>0</v>
      </c>
      <c r="Q432" s="115">
        <f>IF(R$233=0,'Adjustment for previous period'!Q443, 0)</f>
        <v>0</v>
      </c>
      <c r="R432" s="9"/>
      <c r="S432" s="9"/>
      <c r="T432" s="9"/>
      <c r="U432" s="9"/>
      <c r="V432" s="9"/>
      <c r="W432" s="9"/>
      <c r="X432" s="9"/>
      <c r="Y432" s="9"/>
      <c r="Z432" s="9"/>
      <c r="AA432" s="9"/>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row>
    <row r="433" spans="1:64" hidden="1" outlineLevel="1">
      <c r="A433" s="9"/>
      <c r="B433" s="9"/>
      <c r="C433" s="9"/>
      <c r="D433" s="131" t="str">
        <f>Asset8</f>
        <v>Equity Raising Costs</v>
      </c>
      <c r="E433" s="9"/>
      <c r="F433" s="9"/>
      <c r="G433" s="9"/>
      <c r="H433" s="9"/>
      <c r="I433" s="9"/>
      <c r="J433" s="9"/>
      <c r="K433" s="9"/>
      <c r="L433" s="115">
        <f>IF(M$233=0,'Adjustment for previous period'!L445, 0)</f>
        <v>0</v>
      </c>
      <c r="M433" s="330">
        <f>IF(N$233=0,'Adjustment for previous period'!M445, 0)</f>
        <v>0</v>
      </c>
      <c r="N433" s="115">
        <f>IF(O$233=0,'Adjustment for previous period'!N445, 0)</f>
        <v>0</v>
      </c>
      <c r="O433" s="115">
        <f>IF(P$233=0,'Adjustment for previous period'!O445, 0)</f>
        <v>0</v>
      </c>
      <c r="P433" s="115">
        <f>IF(Q$233=0,'Adjustment for previous period'!P445, 0)</f>
        <v>0</v>
      </c>
      <c r="Q433" s="115">
        <f>IF(R$233=0,'Adjustment for previous period'!Q445, 0)</f>
        <v>0</v>
      </c>
      <c r="R433" s="9"/>
      <c r="S433" s="9"/>
      <c r="T433" s="9"/>
      <c r="U433" s="9"/>
      <c r="V433" s="9"/>
      <c r="W433" s="9"/>
      <c r="X433" s="9"/>
      <c r="Y433" s="9"/>
      <c r="Z433" s="9"/>
      <c r="AA433" s="9"/>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row>
    <row r="434" spans="1:64" hidden="1" outlineLevel="1">
      <c r="A434" s="9"/>
      <c r="B434" s="9"/>
      <c r="C434" s="9"/>
      <c r="D434" s="131">
        <f>Asset9</f>
        <v>0</v>
      </c>
      <c r="E434" s="9"/>
      <c r="F434" s="9"/>
      <c r="G434" s="9"/>
      <c r="H434" s="9"/>
      <c r="I434" s="9"/>
      <c r="J434" s="9"/>
      <c r="K434" s="9"/>
      <c r="L434" s="115">
        <f>IF(M$233=0,'Adjustment for previous period'!L447, 0)</f>
        <v>0</v>
      </c>
      <c r="M434" s="330">
        <f>IF(N$233=0,'Adjustment for previous period'!M447, 0)</f>
        <v>0</v>
      </c>
      <c r="N434" s="115">
        <f>IF(O$233=0,'Adjustment for previous period'!N447, 0)</f>
        <v>0</v>
      </c>
      <c r="O434" s="115">
        <f>IF(P$233=0,'Adjustment for previous period'!O447, 0)</f>
        <v>0</v>
      </c>
      <c r="P434" s="115">
        <f>IF(Q$233=0,'Adjustment for previous period'!P447, 0)</f>
        <v>0</v>
      </c>
      <c r="Q434" s="115">
        <f>IF(R$233=0,'Adjustment for previous period'!Q447, 0)</f>
        <v>0</v>
      </c>
      <c r="R434" s="9"/>
      <c r="S434" s="9"/>
      <c r="T434" s="9"/>
      <c r="U434" s="9"/>
      <c r="V434" s="9"/>
      <c r="W434" s="9"/>
      <c r="X434" s="9"/>
      <c r="Y434" s="9"/>
      <c r="Z434" s="9"/>
      <c r="AA434" s="9"/>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row>
    <row r="435" spans="1:64" hidden="1" outlineLevel="1">
      <c r="A435" s="9"/>
      <c r="B435" s="9"/>
      <c r="C435" s="9"/>
      <c r="D435" s="131">
        <f>Asset10</f>
        <v>0</v>
      </c>
      <c r="E435" s="9"/>
      <c r="F435" s="9"/>
      <c r="G435" s="9"/>
      <c r="H435" s="9"/>
      <c r="I435" s="9"/>
      <c r="J435" s="9"/>
      <c r="K435" s="9"/>
      <c r="L435" s="115">
        <f>IF(M$233=0,'Adjustment for previous period'!L449, 0)</f>
        <v>0</v>
      </c>
      <c r="M435" s="330">
        <f>IF(N$233=0,'Adjustment for previous period'!M449, 0)</f>
        <v>0</v>
      </c>
      <c r="N435" s="115">
        <f>IF(O$233=0,'Adjustment for previous period'!N449, 0)</f>
        <v>0</v>
      </c>
      <c r="O435" s="115">
        <f>IF(P$233=0,'Adjustment for previous period'!O449, 0)</f>
        <v>0</v>
      </c>
      <c r="P435" s="115">
        <f>IF(Q$233=0,'Adjustment for previous period'!P449, 0)</f>
        <v>0</v>
      </c>
      <c r="Q435" s="115">
        <f>IF(R$233=0,'Adjustment for previous period'!Q449, 0)</f>
        <v>0</v>
      </c>
      <c r="R435" s="9"/>
      <c r="S435" s="9"/>
      <c r="T435" s="9"/>
      <c r="U435" s="9"/>
      <c r="V435" s="9"/>
      <c r="W435" s="9"/>
      <c r="X435" s="9"/>
      <c r="Y435" s="9"/>
      <c r="Z435" s="9"/>
      <c r="AA435" s="9"/>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row>
    <row r="436" spans="1:64" hidden="1" outlineLevel="1">
      <c r="A436" s="9"/>
      <c r="B436" s="9"/>
      <c r="C436" s="9"/>
      <c r="D436" s="131">
        <f>Asset11</f>
        <v>0</v>
      </c>
      <c r="E436" s="9"/>
      <c r="F436" s="9"/>
      <c r="G436" s="9"/>
      <c r="H436" s="9"/>
      <c r="I436" s="9"/>
      <c r="J436" s="9"/>
      <c r="K436" s="9"/>
      <c r="L436" s="115">
        <f>IF(M$233=0,'Adjustment for previous period'!L451, 0)</f>
        <v>0</v>
      </c>
      <c r="M436" s="330">
        <f>IF(N$233=0,'Adjustment for previous period'!M451, 0)</f>
        <v>0</v>
      </c>
      <c r="N436" s="115">
        <f>IF(O$233=0,'Adjustment for previous period'!N451, 0)</f>
        <v>0</v>
      </c>
      <c r="O436" s="115">
        <f>IF(P$233=0,'Adjustment for previous period'!O451, 0)</f>
        <v>0</v>
      </c>
      <c r="P436" s="115">
        <f>IF(Q$233=0,'Adjustment for previous period'!P451, 0)</f>
        <v>0</v>
      </c>
      <c r="Q436" s="115">
        <f>IF(R$233=0,'Adjustment for previous period'!Q451, 0)</f>
        <v>0</v>
      </c>
      <c r="R436" s="9"/>
      <c r="S436" s="9"/>
      <c r="T436" s="9"/>
      <c r="U436" s="9"/>
      <c r="V436" s="9"/>
      <c r="W436" s="9"/>
      <c r="X436" s="9"/>
      <c r="Y436" s="9"/>
      <c r="Z436" s="9"/>
      <c r="AA436" s="9"/>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row>
    <row r="437" spans="1:64" hidden="1" outlineLevel="1">
      <c r="A437" s="9"/>
      <c r="B437" s="9"/>
      <c r="C437" s="9"/>
      <c r="D437" s="131">
        <f>Asset12</f>
        <v>0</v>
      </c>
      <c r="E437" s="9"/>
      <c r="F437" s="9"/>
      <c r="G437" s="9"/>
      <c r="H437" s="9"/>
      <c r="I437" s="9"/>
      <c r="J437" s="9"/>
      <c r="K437" s="9"/>
      <c r="L437" s="115">
        <f>IF(M$233=0,'Adjustment for previous period'!L453, 0)</f>
        <v>0</v>
      </c>
      <c r="M437" s="330">
        <f>IF(N$233=0,'Adjustment for previous period'!M453, 0)</f>
        <v>0</v>
      </c>
      <c r="N437" s="115">
        <f>IF(O$233=0,'Adjustment for previous period'!N453, 0)</f>
        <v>0</v>
      </c>
      <c r="O437" s="115">
        <f>IF(P$233=0,'Adjustment for previous period'!O453, 0)</f>
        <v>0</v>
      </c>
      <c r="P437" s="115">
        <f>IF(Q$233=0,'Adjustment for previous period'!P453, 0)</f>
        <v>0</v>
      </c>
      <c r="Q437" s="115">
        <f>IF(R$233=0,'Adjustment for previous period'!Q453, 0)</f>
        <v>0</v>
      </c>
      <c r="R437" s="9"/>
      <c r="S437" s="9"/>
      <c r="T437" s="9"/>
      <c r="U437" s="9"/>
      <c r="V437" s="9"/>
      <c r="W437" s="9"/>
      <c r="X437" s="9"/>
      <c r="Y437" s="9"/>
      <c r="Z437" s="9"/>
      <c r="AA437" s="9"/>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row>
    <row r="438" spans="1:64" hidden="1" outlineLevel="1">
      <c r="A438" s="9"/>
      <c r="B438" s="9"/>
      <c r="C438" s="9"/>
      <c r="D438" s="131">
        <f>Asset13</f>
        <v>0</v>
      </c>
      <c r="E438" s="9"/>
      <c r="F438" s="9"/>
      <c r="G438" s="9"/>
      <c r="H438" s="9"/>
      <c r="I438" s="9"/>
      <c r="J438" s="9"/>
      <c r="K438" s="9"/>
      <c r="L438" s="115">
        <f>IF(M$233=0,'Adjustment for previous period'!L455, 0)</f>
        <v>0</v>
      </c>
      <c r="M438" s="330">
        <f>IF(N$233=0,'Adjustment for previous period'!M455, 0)</f>
        <v>0</v>
      </c>
      <c r="N438" s="115">
        <f>IF(O$233=0,'Adjustment for previous period'!N455, 0)</f>
        <v>0</v>
      </c>
      <c r="O438" s="115">
        <f>IF(P$233=0,'Adjustment for previous period'!O455, 0)</f>
        <v>0</v>
      </c>
      <c r="P438" s="115">
        <f>IF(Q$233=0,'Adjustment for previous period'!P455, 0)</f>
        <v>0</v>
      </c>
      <c r="Q438" s="115">
        <f>IF(R$233=0,'Adjustment for previous period'!Q455, 0)</f>
        <v>0</v>
      </c>
      <c r="R438" s="9"/>
      <c r="S438" s="9"/>
      <c r="T438" s="9"/>
      <c r="U438" s="9"/>
      <c r="V438" s="9"/>
      <c r="W438" s="9"/>
      <c r="X438" s="9"/>
      <c r="Y438" s="9"/>
      <c r="Z438" s="9"/>
      <c r="AA438" s="9"/>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row>
    <row r="439" spans="1:64" hidden="1" outlineLevel="1">
      <c r="A439" s="9"/>
      <c r="B439" s="9"/>
      <c r="C439" s="9"/>
      <c r="D439" s="131">
        <f>Asset14</f>
        <v>0</v>
      </c>
      <c r="E439" s="9"/>
      <c r="F439" s="9"/>
      <c r="G439" s="9"/>
      <c r="H439" s="9"/>
      <c r="I439" s="9"/>
      <c r="J439" s="9"/>
      <c r="K439" s="9"/>
      <c r="L439" s="115">
        <f>IF(M$233=0,'Adjustment for previous period'!L457, 0)</f>
        <v>0</v>
      </c>
      <c r="M439" s="330">
        <f>IF(N$233=0,'Adjustment for previous period'!M457, 0)</f>
        <v>0</v>
      </c>
      <c r="N439" s="115">
        <f>IF(O$233=0,'Adjustment for previous period'!N457, 0)</f>
        <v>0</v>
      </c>
      <c r="O439" s="115">
        <f>IF(P$233=0,'Adjustment for previous period'!O457, 0)</f>
        <v>0</v>
      </c>
      <c r="P439" s="115">
        <f>IF(Q$233=0,'Adjustment for previous period'!P457, 0)</f>
        <v>0</v>
      </c>
      <c r="Q439" s="115">
        <f>IF(R$233=0,'Adjustment for previous period'!Q457, 0)</f>
        <v>0</v>
      </c>
      <c r="R439" s="9"/>
      <c r="S439" s="9"/>
      <c r="T439" s="9"/>
      <c r="U439" s="9"/>
      <c r="V439" s="9"/>
      <c r="W439" s="9"/>
      <c r="X439" s="9"/>
      <c r="Y439" s="9"/>
      <c r="Z439" s="9"/>
      <c r="AA439" s="9"/>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row>
    <row r="440" spans="1:64" hidden="1" outlineLevel="1">
      <c r="A440" s="9"/>
      <c r="B440" s="9"/>
      <c r="C440" s="9"/>
      <c r="D440" s="131">
        <f>Asset15</f>
        <v>0</v>
      </c>
      <c r="E440" s="9"/>
      <c r="F440" s="9"/>
      <c r="G440" s="9"/>
      <c r="H440" s="9"/>
      <c r="I440" s="9"/>
      <c r="J440" s="9"/>
      <c r="K440" s="9"/>
      <c r="L440" s="115">
        <f>IF(M$233=0,'Adjustment for previous period'!L459, 0)</f>
        <v>0</v>
      </c>
      <c r="M440" s="330">
        <f>IF(N$233=0,'Adjustment for previous period'!M459, 0)</f>
        <v>0</v>
      </c>
      <c r="N440" s="115">
        <f>IF(O$233=0,'Adjustment for previous period'!N459, 0)</f>
        <v>0</v>
      </c>
      <c r="O440" s="115">
        <f>IF(P$233=0,'Adjustment for previous period'!O459, 0)</f>
        <v>0</v>
      </c>
      <c r="P440" s="115">
        <f>IF(Q$233=0,'Adjustment for previous period'!P459, 0)</f>
        <v>0</v>
      </c>
      <c r="Q440" s="115">
        <f>IF(R$233=0,'Adjustment for previous period'!Q459, 0)</f>
        <v>0</v>
      </c>
      <c r="R440" s="9"/>
      <c r="S440" s="9"/>
      <c r="T440" s="9"/>
      <c r="U440" s="9"/>
      <c r="V440" s="9"/>
      <c r="W440" s="9"/>
      <c r="X440" s="9"/>
      <c r="Y440" s="9"/>
      <c r="Z440" s="9"/>
      <c r="AA440" s="9"/>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row>
    <row r="441" spans="1:64" hidden="1" outlineLevel="1">
      <c r="A441" s="9"/>
      <c r="B441" s="9"/>
      <c r="C441" s="9"/>
      <c r="D441" s="131">
        <f>Asset16</f>
        <v>0</v>
      </c>
      <c r="E441" s="9"/>
      <c r="F441" s="9"/>
      <c r="G441" s="9"/>
      <c r="H441" s="9"/>
      <c r="I441" s="9"/>
      <c r="J441" s="9"/>
      <c r="K441" s="9"/>
      <c r="L441" s="115">
        <f>IF(M$233=0,'Adjustment for previous period'!L461, 0)</f>
        <v>0</v>
      </c>
      <c r="M441" s="330">
        <f>IF(N$233=0,'Adjustment for previous period'!M461, 0)</f>
        <v>0</v>
      </c>
      <c r="N441" s="115">
        <f>IF(O$233=0,'Adjustment for previous period'!N461, 0)</f>
        <v>0</v>
      </c>
      <c r="O441" s="115">
        <f>IF(P$233=0,'Adjustment for previous period'!O461, 0)</f>
        <v>0</v>
      </c>
      <c r="P441" s="115">
        <f>IF(Q$233=0,'Adjustment for previous period'!P461, 0)</f>
        <v>0</v>
      </c>
      <c r="Q441" s="115">
        <f>IF(R$233=0,'Adjustment for previous period'!Q461, 0)</f>
        <v>0</v>
      </c>
      <c r="R441" s="9"/>
      <c r="S441" s="9"/>
      <c r="T441" s="9"/>
      <c r="U441" s="9"/>
      <c r="V441" s="9"/>
      <c r="W441" s="9"/>
      <c r="X441" s="9"/>
      <c r="Y441" s="9"/>
      <c r="Z441" s="9"/>
      <c r="AA441" s="9"/>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row>
    <row r="442" spans="1:64" hidden="1" outlineLevel="1">
      <c r="A442" s="9"/>
      <c r="B442" s="9"/>
      <c r="C442" s="9"/>
      <c r="D442" s="131">
        <f>Asset17</f>
        <v>0</v>
      </c>
      <c r="E442" s="9"/>
      <c r="F442" s="9"/>
      <c r="G442" s="9"/>
      <c r="H442" s="9"/>
      <c r="I442" s="9"/>
      <c r="J442" s="9"/>
      <c r="K442" s="9"/>
      <c r="L442" s="115">
        <f>IF(M$233=0,'Adjustment for previous period'!L463, 0)</f>
        <v>0</v>
      </c>
      <c r="M442" s="330">
        <f>IF(N$233=0,'Adjustment for previous period'!M463, 0)</f>
        <v>0</v>
      </c>
      <c r="N442" s="115">
        <f>IF(O$233=0,'Adjustment for previous period'!N463, 0)</f>
        <v>0</v>
      </c>
      <c r="O442" s="115">
        <f>IF(P$233=0,'Adjustment for previous period'!O463, 0)</f>
        <v>0</v>
      </c>
      <c r="P442" s="115">
        <f>IF(Q$233=0,'Adjustment for previous period'!P463, 0)</f>
        <v>0</v>
      </c>
      <c r="Q442" s="115">
        <f>IF(R$233=0,'Adjustment for previous period'!Q463, 0)</f>
        <v>0</v>
      </c>
      <c r="R442" s="9"/>
      <c r="S442" s="9"/>
      <c r="T442" s="9"/>
      <c r="U442" s="9"/>
      <c r="V442" s="9"/>
      <c r="W442" s="9"/>
      <c r="X442" s="9"/>
      <c r="Y442" s="9"/>
      <c r="Z442" s="9"/>
      <c r="AA442" s="9"/>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row>
    <row r="443" spans="1:64" hidden="1" outlineLevel="1">
      <c r="A443" s="9"/>
      <c r="B443" s="9"/>
      <c r="C443" s="9"/>
      <c r="D443" s="131">
        <f>Asset18</f>
        <v>0</v>
      </c>
      <c r="E443" s="9"/>
      <c r="F443" s="9"/>
      <c r="G443" s="9"/>
      <c r="H443" s="9"/>
      <c r="I443" s="9"/>
      <c r="J443" s="9"/>
      <c r="K443" s="9"/>
      <c r="L443" s="115">
        <f>IF(M$233=0,'Adjustment for previous period'!L465, 0)</f>
        <v>0</v>
      </c>
      <c r="M443" s="330">
        <f>IF(N$233=0,'Adjustment for previous period'!M465, 0)</f>
        <v>0</v>
      </c>
      <c r="N443" s="115">
        <f>IF(O$233=0,'Adjustment for previous period'!N465, 0)</f>
        <v>0</v>
      </c>
      <c r="O443" s="115">
        <f>IF(P$233=0,'Adjustment for previous period'!O465, 0)</f>
        <v>0</v>
      </c>
      <c r="P443" s="115">
        <f>IF(Q$233=0,'Adjustment for previous period'!P465, 0)</f>
        <v>0</v>
      </c>
      <c r="Q443" s="115">
        <f>IF(R$233=0,'Adjustment for previous period'!Q465, 0)</f>
        <v>0</v>
      </c>
      <c r="R443" s="9"/>
      <c r="S443" s="9"/>
      <c r="T443" s="9"/>
      <c r="U443" s="9"/>
      <c r="V443" s="9"/>
      <c r="W443" s="9"/>
      <c r="X443" s="9"/>
      <c r="Y443" s="9"/>
      <c r="Z443" s="9"/>
      <c r="AA443" s="9"/>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row>
    <row r="444" spans="1:64" hidden="1" outlineLevel="1">
      <c r="A444" s="9"/>
      <c r="B444" s="9"/>
      <c r="C444" s="9"/>
      <c r="D444" s="131">
        <f>Asset19</f>
        <v>0</v>
      </c>
      <c r="E444" s="9"/>
      <c r="F444" s="9"/>
      <c r="G444" s="9"/>
      <c r="H444" s="9"/>
      <c r="I444" s="9"/>
      <c r="J444" s="9"/>
      <c r="K444" s="9"/>
      <c r="L444" s="115">
        <f>IF(M$233=0,'Adjustment for previous period'!L467, 0)</f>
        <v>0</v>
      </c>
      <c r="M444" s="330">
        <f>IF(N$233=0,'Adjustment for previous period'!M467, 0)</f>
        <v>0</v>
      </c>
      <c r="N444" s="115">
        <f>IF(O$233=0,'Adjustment for previous period'!N467, 0)</f>
        <v>0</v>
      </c>
      <c r="O444" s="115">
        <f>IF(P$233=0,'Adjustment for previous period'!O467, 0)</f>
        <v>0</v>
      </c>
      <c r="P444" s="115">
        <f>IF(Q$233=0,'Adjustment for previous period'!P467, 0)</f>
        <v>0</v>
      </c>
      <c r="Q444" s="115">
        <f>IF(R$233=0,'Adjustment for previous period'!Q467, 0)</f>
        <v>0</v>
      </c>
      <c r="R444" s="9"/>
      <c r="S444" s="9"/>
      <c r="T444" s="9"/>
      <c r="U444" s="9"/>
      <c r="V444" s="9"/>
      <c r="W444" s="9"/>
      <c r="X444" s="9"/>
      <c r="Y444" s="9"/>
      <c r="Z444" s="9"/>
      <c r="AA444" s="9"/>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row>
    <row r="445" spans="1:64" hidden="1" outlineLevel="1">
      <c r="A445" s="9"/>
      <c r="B445" s="9"/>
      <c r="C445" s="9"/>
      <c r="D445" s="131">
        <f>Asset20</f>
        <v>0</v>
      </c>
      <c r="E445" s="9"/>
      <c r="F445" s="9"/>
      <c r="G445" s="9"/>
      <c r="H445" s="9"/>
      <c r="I445" s="9"/>
      <c r="J445" s="9"/>
      <c r="K445" s="9"/>
      <c r="L445" s="115">
        <f>IF(M$233=0,'Adjustment for previous period'!L469, 0)</f>
        <v>0</v>
      </c>
      <c r="M445" s="330">
        <f>IF(N$233=0,'Adjustment for previous period'!M469, 0)</f>
        <v>0</v>
      </c>
      <c r="N445" s="115">
        <f>IF(O$233=0,'Adjustment for previous period'!N469, 0)</f>
        <v>0</v>
      </c>
      <c r="O445" s="115">
        <f>IF(P$233=0,'Adjustment for previous period'!O469, 0)</f>
        <v>0</v>
      </c>
      <c r="P445" s="115">
        <f>IF(Q$233=0,'Adjustment for previous period'!P469, 0)</f>
        <v>0</v>
      </c>
      <c r="Q445" s="115">
        <f>IF(R$233=0,'Adjustment for previous period'!Q469, 0)</f>
        <v>0</v>
      </c>
      <c r="R445" s="9"/>
      <c r="S445" s="9"/>
      <c r="T445" s="9"/>
      <c r="U445" s="9"/>
      <c r="V445" s="9"/>
      <c r="W445" s="9"/>
      <c r="X445" s="9"/>
      <c r="Y445" s="9"/>
      <c r="Z445" s="9"/>
      <c r="AA445" s="9"/>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row>
    <row r="446" spans="1:64" hidden="1" outlineLevel="1">
      <c r="A446" s="9"/>
      <c r="B446" s="9"/>
      <c r="C446" s="9"/>
      <c r="D446" s="131">
        <f>Asset21</f>
        <v>0</v>
      </c>
      <c r="E446" s="9"/>
      <c r="F446" s="9"/>
      <c r="G446" s="9"/>
      <c r="H446" s="9"/>
      <c r="I446" s="9"/>
      <c r="J446" s="9"/>
      <c r="K446" s="9"/>
      <c r="L446" s="115">
        <f>IF(M$233=0,'Adjustment for previous period'!L471, 0)</f>
        <v>0</v>
      </c>
      <c r="M446" s="330">
        <f>IF(N$233=0,'Adjustment for previous period'!M471, 0)</f>
        <v>0</v>
      </c>
      <c r="N446" s="115">
        <f>IF(O$233=0,'Adjustment for previous period'!N471, 0)</f>
        <v>0</v>
      </c>
      <c r="O446" s="115">
        <f>IF(P$233=0,'Adjustment for previous period'!O471, 0)</f>
        <v>0</v>
      </c>
      <c r="P446" s="115">
        <f>IF(Q$233=0,'Adjustment for previous period'!P471, 0)</f>
        <v>0</v>
      </c>
      <c r="Q446" s="115">
        <f>IF(R$233=0,'Adjustment for previous period'!Q471, 0)</f>
        <v>0</v>
      </c>
      <c r="R446" s="9"/>
      <c r="S446" s="9"/>
      <c r="T446" s="9"/>
      <c r="U446" s="9"/>
      <c r="V446" s="9"/>
      <c r="W446" s="9"/>
      <c r="X446" s="9"/>
      <c r="Y446" s="9"/>
      <c r="Z446" s="9"/>
      <c r="AA446" s="9"/>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row>
    <row r="447" spans="1:64" hidden="1" outlineLevel="1">
      <c r="A447" s="9"/>
      <c r="B447" s="9"/>
      <c r="C447" s="9"/>
      <c r="D447" s="131">
        <f>Asset22</f>
        <v>0</v>
      </c>
      <c r="E447" s="9"/>
      <c r="F447" s="9"/>
      <c r="G447" s="9"/>
      <c r="H447" s="9"/>
      <c r="I447" s="9"/>
      <c r="J447" s="9"/>
      <c r="K447" s="9"/>
      <c r="L447" s="115">
        <f>IF(M$233=0,'Adjustment for previous period'!L473, 0)</f>
        <v>0</v>
      </c>
      <c r="M447" s="330">
        <f>IF(N$233=0,'Adjustment for previous period'!M473, 0)</f>
        <v>0</v>
      </c>
      <c r="N447" s="115">
        <f>IF(O$233=0,'Adjustment for previous period'!N473, 0)</f>
        <v>0</v>
      </c>
      <c r="O447" s="115">
        <f>IF(P$233=0,'Adjustment for previous period'!O473, 0)</f>
        <v>0</v>
      </c>
      <c r="P447" s="115">
        <f>IF(Q$233=0,'Adjustment for previous period'!P473, 0)</f>
        <v>0</v>
      </c>
      <c r="Q447" s="115">
        <f>IF(R$233=0,'Adjustment for previous period'!Q473, 0)</f>
        <v>0</v>
      </c>
      <c r="R447" s="9"/>
      <c r="S447" s="9"/>
      <c r="T447" s="9"/>
      <c r="U447" s="9"/>
      <c r="V447" s="9"/>
      <c r="W447" s="9"/>
      <c r="X447" s="9"/>
      <c r="Y447" s="9"/>
      <c r="Z447" s="9"/>
      <c r="AA447" s="9"/>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row>
    <row r="448" spans="1:64" hidden="1" outlineLevel="1">
      <c r="A448" s="9"/>
      <c r="B448" s="9"/>
      <c r="C448" s="9"/>
      <c r="D448" s="131">
        <f>Asset23</f>
        <v>0</v>
      </c>
      <c r="E448" s="9"/>
      <c r="F448" s="9"/>
      <c r="G448" s="9"/>
      <c r="H448" s="9"/>
      <c r="I448" s="9"/>
      <c r="J448" s="9"/>
      <c r="K448" s="9"/>
      <c r="L448" s="115">
        <f>IF(M$233=0,'Adjustment for previous period'!L475, 0)</f>
        <v>0</v>
      </c>
      <c r="M448" s="330">
        <f>IF(N$233=0,'Adjustment for previous period'!M475, 0)</f>
        <v>0</v>
      </c>
      <c r="N448" s="115">
        <f>IF(O$233=0,'Adjustment for previous period'!N475, 0)</f>
        <v>0</v>
      </c>
      <c r="O448" s="115">
        <f>IF(P$233=0,'Adjustment for previous period'!O475, 0)</f>
        <v>0</v>
      </c>
      <c r="P448" s="115">
        <f>IF(Q$233=0,'Adjustment for previous period'!P475, 0)</f>
        <v>0</v>
      </c>
      <c r="Q448" s="115">
        <f>IF(R$233=0,'Adjustment for previous period'!Q475, 0)</f>
        <v>0</v>
      </c>
      <c r="R448" s="9"/>
      <c r="S448" s="9"/>
      <c r="T448" s="9"/>
      <c r="U448" s="9"/>
      <c r="V448" s="9"/>
      <c r="W448" s="9"/>
      <c r="X448" s="9"/>
      <c r="Y448" s="9"/>
      <c r="Z448" s="9"/>
      <c r="AA448" s="9"/>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row>
    <row r="449" spans="1:64" hidden="1" outlineLevel="1">
      <c r="A449" s="9"/>
      <c r="B449" s="9"/>
      <c r="C449" s="9"/>
      <c r="D449" s="131">
        <f>Asset24</f>
        <v>0</v>
      </c>
      <c r="E449" s="9"/>
      <c r="F449" s="9"/>
      <c r="G449" s="9"/>
      <c r="H449" s="9"/>
      <c r="I449" s="9"/>
      <c r="J449" s="9"/>
      <c r="K449" s="9"/>
      <c r="L449" s="115">
        <f>IF(M$233=0,'Adjustment for previous period'!L477, 0)</f>
        <v>0</v>
      </c>
      <c r="M449" s="330">
        <f>IF(N$233=0,'Adjustment for previous period'!M477, 0)</f>
        <v>0</v>
      </c>
      <c r="N449" s="115">
        <f>IF(O$233=0,'Adjustment for previous period'!N477, 0)</f>
        <v>0</v>
      </c>
      <c r="O449" s="115">
        <f>IF(P$233=0,'Adjustment for previous period'!O477, 0)</f>
        <v>0</v>
      </c>
      <c r="P449" s="115">
        <f>IF(Q$233=0,'Adjustment for previous period'!P477, 0)</f>
        <v>0</v>
      </c>
      <c r="Q449" s="115">
        <f>IF(R$233=0,'Adjustment for previous period'!Q477, 0)</f>
        <v>0</v>
      </c>
      <c r="R449" s="9"/>
      <c r="S449" s="9"/>
      <c r="T449" s="9"/>
      <c r="U449" s="9"/>
      <c r="V449" s="9"/>
      <c r="W449" s="9"/>
      <c r="X449" s="9"/>
      <c r="Y449" s="9"/>
      <c r="Z449" s="9"/>
      <c r="AA449" s="9"/>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row>
    <row r="450" spans="1:64" hidden="1" outlineLevel="1">
      <c r="A450" s="9"/>
      <c r="B450" s="9"/>
      <c r="C450" s="9"/>
      <c r="D450" s="131">
        <f>Asset25</f>
        <v>0</v>
      </c>
      <c r="E450" s="9"/>
      <c r="F450" s="9"/>
      <c r="G450" s="9"/>
      <c r="H450" s="9"/>
      <c r="I450" s="9"/>
      <c r="J450" s="9"/>
      <c r="K450" s="9"/>
      <c r="L450" s="115">
        <f>IF(M$233=0,'Adjustment for previous period'!L479, 0)</f>
        <v>0</v>
      </c>
      <c r="M450" s="330">
        <f>IF(N$233=0,'Adjustment for previous period'!M479, 0)</f>
        <v>0</v>
      </c>
      <c r="N450" s="115">
        <f>IF(O$233=0,'Adjustment for previous period'!N479, 0)</f>
        <v>0</v>
      </c>
      <c r="O450" s="115">
        <f>IF(P$233=0,'Adjustment for previous period'!O479, 0)</f>
        <v>0</v>
      </c>
      <c r="P450" s="115">
        <f>IF(Q$233=0,'Adjustment for previous period'!P479, 0)</f>
        <v>0</v>
      </c>
      <c r="Q450" s="115">
        <f>IF(R$233=0,'Adjustment for previous period'!Q479, 0)</f>
        <v>0</v>
      </c>
      <c r="R450" s="9"/>
      <c r="S450" s="9"/>
      <c r="T450" s="9"/>
      <c r="U450" s="9"/>
      <c r="V450" s="9"/>
      <c r="W450" s="9"/>
      <c r="X450" s="9"/>
      <c r="Y450" s="9"/>
      <c r="Z450" s="9"/>
      <c r="AA450" s="9"/>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row>
    <row r="451" spans="1:64" hidden="1" outlineLevel="1">
      <c r="A451" s="9"/>
      <c r="B451" s="9"/>
      <c r="C451" s="9"/>
      <c r="D451" s="131">
        <f>Asset26</f>
        <v>0</v>
      </c>
      <c r="E451" s="9"/>
      <c r="F451" s="9"/>
      <c r="G451" s="9"/>
      <c r="H451" s="9"/>
      <c r="I451" s="9"/>
      <c r="J451" s="9"/>
      <c r="K451" s="9"/>
      <c r="L451" s="115">
        <f>IF(M$233=0,'Adjustment for previous period'!L481, 0)</f>
        <v>0</v>
      </c>
      <c r="M451" s="330">
        <f>IF(N$233=0,'Adjustment for previous period'!M481, 0)</f>
        <v>0</v>
      </c>
      <c r="N451" s="115">
        <f>IF(O$233=0,'Adjustment for previous period'!N481, 0)</f>
        <v>0</v>
      </c>
      <c r="O451" s="115">
        <f>IF(P$233=0,'Adjustment for previous period'!O481, 0)</f>
        <v>0</v>
      </c>
      <c r="P451" s="115">
        <f>IF(Q$233=0,'Adjustment for previous period'!P481, 0)</f>
        <v>0</v>
      </c>
      <c r="Q451" s="115">
        <f>IF(R$233=0,'Adjustment for previous period'!Q481, 0)</f>
        <v>0</v>
      </c>
      <c r="R451" s="9"/>
      <c r="S451" s="9"/>
      <c r="T451" s="9"/>
      <c r="U451" s="9"/>
      <c r="V451" s="9"/>
      <c r="W451" s="9"/>
      <c r="X451" s="9"/>
      <c r="Y451" s="9"/>
      <c r="Z451" s="9"/>
      <c r="AA451" s="9"/>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row>
    <row r="452" spans="1:64" hidden="1" outlineLevel="1">
      <c r="A452" s="9"/>
      <c r="B452" s="9"/>
      <c r="C452" s="9"/>
      <c r="D452" s="131">
        <f>Asset27</f>
        <v>0</v>
      </c>
      <c r="E452" s="9"/>
      <c r="F452" s="9"/>
      <c r="G452" s="9"/>
      <c r="H452" s="9"/>
      <c r="I452" s="9"/>
      <c r="J452" s="9"/>
      <c r="K452" s="9"/>
      <c r="L452" s="115">
        <f>IF(M$233=0,'Adjustment for previous period'!L483, 0)</f>
        <v>0</v>
      </c>
      <c r="M452" s="330">
        <f>IF(N$233=0,'Adjustment for previous period'!M483, 0)</f>
        <v>0</v>
      </c>
      <c r="N452" s="115">
        <f>IF(O$233=0,'Adjustment for previous period'!N483, 0)</f>
        <v>0</v>
      </c>
      <c r="O452" s="115">
        <f>IF(P$233=0,'Adjustment for previous period'!O483, 0)</f>
        <v>0</v>
      </c>
      <c r="P452" s="115">
        <f>IF(Q$233=0,'Adjustment for previous period'!P483, 0)</f>
        <v>0</v>
      </c>
      <c r="Q452" s="115">
        <f>IF(R$233=0,'Adjustment for previous period'!Q483, 0)</f>
        <v>0</v>
      </c>
      <c r="R452" s="9"/>
      <c r="S452" s="9"/>
      <c r="T452" s="9"/>
      <c r="U452" s="9"/>
      <c r="V452" s="9"/>
      <c r="W452" s="9"/>
      <c r="X452" s="9"/>
      <c r="Y452" s="9"/>
      <c r="Z452" s="9"/>
      <c r="AA452" s="9"/>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row>
    <row r="453" spans="1:64" hidden="1" outlineLevel="1">
      <c r="A453" s="9"/>
      <c r="B453" s="9"/>
      <c r="C453" s="9"/>
      <c r="D453" s="131">
        <f>Asset28</f>
        <v>0</v>
      </c>
      <c r="E453" s="9"/>
      <c r="F453" s="9"/>
      <c r="G453" s="9"/>
      <c r="H453" s="9"/>
      <c r="I453" s="9"/>
      <c r="J453" s="9"/>
      <c r="K453" s="9"/>
      <c r="L453" s="115">
        <f>IF(M$233=0,'Adjustment for previous period'!L485, 0)</f>
        <v>0</v>
      </c>
      <c r="M453" s="330">
        <f>IF(N$233=0,'Adjustment for previous period'!M485, 0)</f>
        <v>0</v>
      </c>
      <c r="N453" s="115">
        <f>IF(O$233=0,'Adjustment for previous period'!N485, 0)</f>
        <v>0</v>
      </c>
      <c r="O453" s="115">
        <f>IF(P$233=0,'Adjustment for previous period'!O485, 0)</f>
        <v>0</v>
      </c>
      <c r="P453" s="115">
        <f>IF(Q$233=0,'Adjustment for previous period'!P485, 0)</f>
        <v>0</v>
      </c>
      <c r="Q453" s="115">
        <f>IF(R$233=0,'Adjustment for previous period'!Q485, 0)</f>
        <v>0</v>
      </c>
      <c r="R453" s="9"/>
      <c r="S453" s="9"/>
      <c r="T453" s="9"/>
      <c r="U453" s="9"/>
      <c r="V453" s="9"/>
      <c r="W453" s="9"/>
      <c r="X453" s="9"/>
      <c r="Y453" s="9"/>
      <c r="Z453" s="9"/>
      <c r="AA453" s="9"/>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row>
    <row r="454" spans="1:64" hidden="1" outlineLevel="1">
      <c r="A454" s="9"/>
      <c r="B454" s="9"/>
      <c r="C454" s="9"/>
      <c r="D454" s="131">
        <f>Asset29</f>
        <v>0</v>
      </c>
      <c r="E454" s="9"/>
      <c r="F454" s="9"/>
      <c r="G454" s="9"/>
      <c r="H454" s="9"/>
      <c r="I454" s="9"/>
      <c r="J454" s="9"/>
      <c r="K454" s="9"/>
      <c r="L454" s="115">
        <f>IF(M$233=0,'Adjustment for previous period'!L487, 0)</f>
        <v>0</v>
      </c>
      <c r="M454" s="330">
        <f>IF(N$233=0,'Adjustment for previous period'!M487, 0)</f>
        <v>0</v>
      </c>
      <c r="N454" s="115">
        <f>IF(O$233=0,'Adjustment for previous period'!N487, 0)</f>
        <v>0</v>
      </c>
      <c r="O454" s="115">
        <f>IF(P$233=0,'Adjustment for previous period'!O487, 0)</f>
        <v>0</v>
      </c>
      <c r="P454" s="115">
        <f>IF(Q$233=0,'Adjustment for previous period'!P487, 0)</f>
        <v>0</v>
      </c>
      <c r="Q454" s="115">
        <f>IF(R$233=0,'Adjustment for previous period'!Q487, 0)</f>
        <v>0</v>
      </c>
      <c r="R454" s="9"/>
      <c r="S454" s="9"/>
      <c r="T454" s="9"/>
      <c r="U454" s="9"/>
      <c r="V454" s="9"/>
      <c r="W454" s="9"/>
      <c r="X454" s="9"/>
      <c r="Y454" s="9"/>
      <c r="Z454" s="9"/>
      <c r="AA454" s="9"/>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row>
    <row r="455" spans="1:64" hidden="1" outlineLevel="1">
      <c r="A455" s="9"/>
      <c r="B455" s="9"/>
      <c r="C455" s="9"/>
      <c r="D455" s="131">
        <f>Asset30</f>
        <v>0</v>
      </c>
      <c r="E455" s="9"/>
      <c r="F455" s="9"/>
      <c r="G455" s="9"/>
      <c r="H455" s="9"/>
      <c r="I455" s="9"/>
      <c r="J455" s="9"/>
      <c r="K455" s="9"/>
      <c r="L455" s="115">
        <f>IF(M$233=0,'Adjustment for previous period'!L489, 0)</f>
        <v>0</v>
      </c>
      <c r="M455" s="330">
        <f>IF(N$233=0,'Adjustment for previous period'!M489, 0)</f>
        <v>0</v>
      </c>
      <c r="N455" s="115">
        <f>IF(O$233=0,'Adjustment for previous period'!N489, 0)</f>
        <v>0</v>
      </c>
      <c r="O455" s="115">
        <f>IF(P$233=0,'Adjustment for previous period'!O489, 0)</f>
        <v>0</v>
      </c>
      <c r="P455" s="115">
        <f>IF(Q$233=0,'Adjustment for previous period'!P489, 0)</f>
        <v>0</v>
      </c>
      <c r="Q455" s="115">
        <f>IF(R$233=0,'Adjustment for previous period'!Q489, 0)</f>
        <v>0</v>
      </c>
      <c r="R455" s="9"/>
      <c r="S455" s="9"/>
      <c r="T455" s="9"/>
      <c r="U455" s="9"/>
      <c r="V455" s="9"/>
      <c r="W455" s="9"/>
      <c r="X455" s="9"/>
      <c r="Y455" s="9"/>
      <c r="Z455" s="9"/>
      <c r="AA455" s="9"/>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row>
    <row r="456" spans="1:64" collapsed="1">
      <c r="A456" s="9"/>
      <c r="B456" s="9"/>
      <c r="C456" s="9"/>
      <c r="D456" s="9"/>
      <c r="E456" s="9"/>
      <c r="F456" s="9"/>
      <c r="G456" s="9"/>
      <c r="H456" s="9"/>
      <c r="I456" s="9"/>
      <c r="J456" s="9"/>
      <c r="K456" s="9"/>
      <c r="L456" s="294">
        <v>5</v>
      </c>
      <c r="M456" s="294">
        <v>6</v>
      </c>
      <c r="N456" s="296">
        <v>7</v>
      </c>
      <c r="O456" s="294">
        <v>8</v>
      </c>
      <c r="P456" s="294">
        <v>9</v>
      </c>
      <c r="Q456" s="294">
        <v>10</v>
      </c>
      <c r="R456" s="9"/>
      <c r="S456" s="9"/>
      <c r="T456" s="9"/>
      <c r="U456" s="9"/>
      <c r="V456" s="9"/>
      <c r="W456" s="9"/>
      <c r="X456" s="9"/>
      <c r="Y456" s="9"/>
      <c r="Z456" s="9"/>
      <c r="AA456" s="9"/>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row>
    <row r="457" spans="1:64">
      <c r="A457" s="78"/>
      <c r="B457" s="78"/>
      <c r="C457" s="85" t="s">
        <v>66</v>
      </c>
      <c r="D457" s="78"/>
      <c r="E457" s="78"/>
      <c r="F457" s="78"/>
      <c r="G457" s="78"/>
      <c r="H457" s="78"/>
      <c r="I457" s="78"/>
      <c r="J457" s="78"/>
      <c r="K457" s="78"/>
      <c r="L457" s="158">
        <f t="shared" ref="L457:Q457" si="23">SUM(L458:L487)</f>
        <v>3444.6179016981509</v>
      </c>
      <c r="M457" s="158">
        <f t="shared" si="23"/>
        <v>0</v>
      </c>
      <c r="N457" s="158">
        <f t="shared" si="23"/>
        <v>0</v>
      </c>
      <c r="O457" s="158">
        <f t="shared" si="23"/>
        <v>0</v>
      </c>
      <c r="P457" s="158">
        <f t="shared" si="23"/>
        <v>0</v>
      </c>
      <c r="Q457" s="158">
        <f t="shared" si="23"/>
        <v>0</v>
      </c>
      <c r="R457" s="158"/>
      <c r="S457" s="9"/>
      <c r="T457" s="9"/>
      <c r="U457" s="9"/>
      <c r="V457" s="9"/>
      <c r="W457" s="9"/>
      <c r="X457" s="9"/>
      <c r="Y457" s="9"/>
      <c r="Z457" s="9"/>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row>
    <row r="458" spans="1:64" hidden="1" outlineLevel="1">
      <c r="A458" s="9"/>
      <c r="B458" s="9"/>
      <c r="C458" s="9"/>
      <c r="D458" s="271" t="str">
        <f>Asset1</f>
        <v>Subtransmission</v>
      </c>
      <c r="E458" s="9"/>
      <c r="F458" s="9"/>
      <c r="G458" s="9"/>
      <c r="H458" s="9"/>
      <c r="I458" s="9"/>
      <c r="J458" s="9"/>
      <c r="K458" s="9"/>
      <c r="L458" s="115">
        <f t="shared" ref="L458:L487" si="24">IF(M$233=0, L234+L266+L298+L330+L362, 0)</f>
        <v>456.01257250635018</v>
      </c>
      <c r="M458" s="334">
        <f t="shared" ref="M458:M476" si="25">IF(N$233=0, M234+M266+M298+M330+M362+M394+M426, 0)</f>
        <v>0</v>
      </c>
      <c r="N458" s="115">
        <f t="shared" ref="N458:Q458" si="26">IF(O$233=0, N234+N266+N298+N330+N362+N394+N426, 0)</f>
        <v>0</v>
      </c>
      <c r="O458" s="115">
        <f t="shared" si="26"/>
        <v>0</v>
      </c>
      <c r="P458" s="115">
        <f t="shared" si="26"/>
        <v>0</v>
      </c>
      <c r="Q458" s="115">
        <f t="shared" si="26"/>
        <v>0</v>
      </c>
      <c r="R458" s="9"/>
      <c r="S458" s="9"/>
      <c r="T458" s="9"/>
      <c r="U458" s="9"/>
      <c r="V458" s="9"/>
      <c r="W458" s="9"/>
      <c r="X458" s="9"/>
      <c r="Y458" s="9"/>
      <c r="Z458" s="9"/>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row>
    <row r="459" spans="1:64" hidden="1" outlineLevel="1">
      <c r="A459" s="9"/>
      <c r="B459" s="9"/>
      <c r="C459" s="9"/>
      <c r="D459" s="271" t="str">
        <f>Asset2</f>
        <v>Distribution system assets</v>
      </c>
      <c r="E459" s="9"/>
      <c r="F459" s="9"/>
      <c r="G459" s="9"/>
      <c r="H459" s="9"/>
      <c r="I459" s="9"/>
      <c r="J459" s="9"/>
      <c r="K459" s="9"/>
      <c r="L459" s="115">
        <f t="shared" si="24"/>
        <v>2878.4125360462567</v>
      </c>
      <c r="M459" s="334">
        <f t="shared" si="25"/>
        <v>0</v>
      </c>
      <c r="N459" s="115">
        <f t="shared" ref="N459:Q459" si="27">IF(O$233=0, N235+N267+N299+N331+N363+N395+N427, 0)</f>
        <v>0</v>
      </c>
      <c r="O459" s="115">
        <f t="shared" si="27"/>
        <v>0</v>
      </c>
      <c r="P459" s="115">
        <f t="shared" si="27"/>
        <v>0</v>
      </c>
      <c r="Q459" s="115">
        <f t="shared" si="27"/>
        <v>0</v>
      </c>
      <c r="R459" s="9"/>
      <c r="S459" s="9"/>
      <c r="T459" s="9"/>
      <c r="U459" s="9"/>
      <c r="V459" s="9"/>
      <c r="W459" s="9"/>
      <c r="X459" s="9"/>
      <c r="Y459" s="9"/>
      <c r="Z459" s="9"/>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row>
    <row r="460" spans="1:64" hidden="1" outlineLevel="1">
      <c r="A460" s="9"/>
      <c r="B460" s="9"/>
      <c r="C460" s="9"/>
      <c r="D460" s="271" t="str">
        <f>Asset3</f>
        <v>Standard metering</v>
      </c>
      <c r="E460" s="9"/>
      <c r="F460" s="9"/>
      <c r="G460" s="9"/>
      <c r="H460" s="9"/>
      <c r="I460" s="9"/>
      <c r="J460" s="9"/>
      <c r="K460" s="9"/>
      <c r="L460" s="115">
        <f t="shared" si="24"/>
        <v>-1.7763568394002505E-15</v>
      </c>
      <c r="M460" s="334">
        <f t="shared" si="25"/>
        <v>0</v>
      </c>
      <c r="N460" s="115">
        <f t="shared" ref="N460:Q460" si="28">IF(O$233=0, N236+N268+N300+N332+N364+N396+N428, 0)</f>
        <v>0</v>
      </c>
      <c r="O460" s="115">
        <f t="shared" si="28"/>
        <v>0</v>
      </c>
      <c r="P460" s="115">
        <f t="shared" si="28"/>
        <v>0</v>
      </c>
      <c r="Q460" s="115">
        <f t="shared" si="28"/>
        <v>0</v>
      </c>
      <c r="R460" s="9"/>
      <c r="S460" s="9"/>
      <c r="T460" s="9"/>
      <c r="U460" s="9"/>
      <c r="V460" s="9"/>
      <c r="W460" s="9"/>
      <c r="X460" s="9"/>
      <c r="Y460" s="9"/>
      <c r="Z460" s="9"/>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row>
    <row r="461" spans="1:64" hidden="1" outlineLevel="1">
      <c r="A461" s="9"/>
      <c r="B461" s="9"/>
      <c r="C461" s="9"/>
      <c r="D461" s="271" t="str">
        <f>Asset4</f>
        <v>Public lighting</v>
      </c>
      <c r="E461" s="9"/>
      <c r="F461" s="9"/>
      <c r="G461" s="9"/>
      <c r="H461" s="9"/>
      <c r="I461" s="9"/>
      <c r="J461" s="9"/>
      <c r="K461" s="9"/>
      <c r="L461" s="115">
        <f t="shared" si="24"/>
        <v>0</v>
      </c>
      <c r="M461" s="334">
        <f t="shared" si="25"/>
        <v>0</v>
      </c>
      <c r="N461" s="115">
        <f t="shared" ref="N461:Q461" si="29">IF(O$233=0, N237+N269+N301+N333+N365+N397+N429, 0)</f>
        <v>0</v>
      </c>
      <c r="O461" s="115">
        <f t="shared" si="29"/>
        <v>0</v>
      </c>
      <c r="P461" s="115">
        <f t="shared" si="29"/>
        <v>0</v>
      </c>
      <c r="Q461" s="115">
        <f t="shared" si="29"/>
        <v>0</v>
      </c>
      <c r="R461" s="9"/>
      <c r="S461" s="9"/>
      <c r="T461" s="9"/>
      <c r="U461" s="9"/>
      <c r="V461" s="9"/>
      <c r="W461" s="9"/>
      <c r="X461" s="9"/>
      <c r="Y461" s="9"/>
      <c r="Z461" s="9"/>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row>
    <row r="462" spans="1:64" hidden="1" outlineLevel="1">
      <c r="A462" s="9"/>
      <c r="B462" s="9"/>
      <c r="C462" s="9"/>
      <c r="D462" s="271" t="str">
        <f>Asset5</f>
        <v>SCADA/Network control</v>
      </c>
      <c r="E462" s="9"/>
      <c r="F462" s="9"/>
      <c r="G462" s="9"/>
      <c r="H462" s="9"/>
      <c r="I462" s="9"/>
      <c r="J462" s="9"/>
      <c r="K462" s="9"/>
      <c r="L462" s="115">
        <f t="shared" si="24"/>
        <v>9.6938470834831492</v>
      </c>
      <c r="M462" s="334">
        <f t="shared" si="25"/>
        <v>0</v>
      </c>
      <c r="N462" s="115">
        <f t="shared" ref="N462:Q462" si="30">IF(O$233=0, N238+N270+N302+N334+N366+N398+N430, 0)</f>
        <v>0</v>
      </c>
      <c r="O462" s="115">
        <f t="shared" si="30"/>
        <v>0</v>
      </c>
      <c r="P462" s="115">
        <f t="shared" si="30"/>
        <v>0</v>
      </c>
      <c r="Q462" s="115">
        <f t="shared" si="30"/>
        <v>0</v>
      </c>
      <c r="R462" s="9"/>
      <c r="S462" s="9"/>
      <c r="T462" s="9"/>
      <c r="U462" s="9"/>
      <c r="V462" s="9"/>
      <c r="W462" s="9"/>
      <c r="X462" s="9"/>
      <c r="Y462" s="9"/>
      <c r="Z462" s="9"/>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row>
    <row r="463" spans="1:64" hidden="1" outlineLevel="1">
      <c r="A463" s="9"/>
      <c r="B463" s="9"/>
      <c r="C463" s="9"/>
      <c r="D463" s="271" t="str">
        <f>Asset6</f>
        <v>Non-network general assets - IT</v>
      </c>
      <c r="E463" s="9"/>
      <c r="F463" s="9"/>
      <c r="G463" s="9"/>
      <c r="H463" s="9"/>
      <c r="I463" s="9"/>
      <c r="J463" s="9"/>
      <c r="K463" s="9"/>
      <c r="L463" s="115">
        <f t="shared" si="24"/>
        <v>91.016553909644472</v>
      </c>
      <c r="M463" s="334">
        <f t="shared" si="25"/>
        <v>0</v>
      </c>
      <c r="N463" s="115">
        <f t="shared" ref="N463:Q463" si="31">IF(O$233=0, N239+N271+N303+N335+N367+N399+N431, 0)</f>
        <v>0</v>
      </c>
      <c r="O463" s="115">
        <f t="shared" si="31"/>
        <v>0</v>
      </c>
      <c r="P463" s="115">
        <f t="shared" si="31"/>
        <v>0</v>
      </c>
      <c r="Q463" s="115">
        <f t="shared" si="31"/>
        <v>0</v>
      </c>
      <c r="R463" s="9"/>
      <c r="S463" s="9"/>
      <c r="T463" s="9"/>
      <c r="U463" s="9"/>
      <c r="V463" s="9"/>
      <c r="W463" s="9"/>
      <c r="X463" s="9"/>
      <c r="Y463" s="9"/>
      <c r="Z463" s="9"/>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row>
    <row r="464" spans="1:64" hidden="1" outlineLevel="1">
      <c r="A464" s="9"/>
      <c r="B464" s="9"/>
      <c r="C464" s="9"/>
      <c r="D464" s="271" t="str">
        <f>Asset7</f>
        <v>Non-network general assets - Other</v>
      </c>
      <c r="E464" s="9"/>
      <c r="F464" s="9"/>
      <c r="G464" s="9"/>
      <c r="H464" s="9"/>
      <c r="I464" s="9"/>
      <c r="J464" s="9"/>
      <c r="K464" s="9"/>
      <c r="L464" s="115">
        <f t="shared" si="24"/>
        <v>7.9135647445117154</v>
      </c>
      <c r="M464" s="334">
        <f t="shared" si="25"/>
        <v>0</v>
      </c>
      <c r="N464" s="115">
        <f t="shared" ref="N464:Q464" si="32">IF(O$233=0, N240+N272+N304+N336+N368+N400+N432, 0)</f>
        <v>0</v>
      </c>
      <c r="O464" s="115">
        <f t="shared" si="32"/>
        <v>0</v>
      </c>
      <c r="P464" s="115">
        <f t="shared" si="32"/>
        <v>0</v>
      </c>
      <c r="Q464" s="115">
        <f t="shared" si="32"/>
        <v>0</v>
      </c>
      <c r="R464" s="9"/>
      <c r="S464" s="9"/>
      <c r="T464" s="9"/>
      <c r="U464" s="9"/>
      <c r="V464" s="9"/>
      <c r="W464" s="9"/>
      <c r="X464" s="9"/>
      <c r="Y464" s="9"/>
      <c r="Z464" s="9"/>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row>
    <row r="465" spans="1:64" hidden="1" outlineLevel="1">
      <c r="A465" s="9"/>
      <c r="B465" s="9"/>
      <c r="C465" s="9"/>
      <c r="D465" s="271" t="str">
        <f>Asset8</f>
        <v>Equity Raising Costs</v>
      </c>
      <c r="E465" s="9"/>
      <c r="F465" s="9"/>
      <c r="G465" s="9"/>
      <c r="H465" s="9"/>
      <c r="I465" s="9"/>
      <c r="J465" s="9"/>
      <c r="K465" s="9"/>
      <c r="L465" s="115">
        <f t="shared" si="24"/>
        <v>1.5688274079042255</v>
      </c>
      <c r="M465" s="334">
        <f t="shared" si="25"/>
        <v>0</v>
      </c>
      <c r="N465" s="115">
        <f t="shared" ref="N465:Q465" si="33">IF(O$233=0, N241+N273+N305+N337+N369+N401+N433, 0)</f>
        <v>0</v>
      </c>
      <c r="O465" s="115">
        <f t="shared" si="33"/>
        <v>0</v>
      </c>
      <c r="P465" s="115">
        <f t="shared" si="33"/>
        <v>0</v>
      </c>
      <c r="Q465" s="115">
        <f t="shared" si="33"/>
        <v>0</v>
      </c>
      <c r="R465" s="9"/>
      <c r="S465" s="9"/>
      <c r="T465" s="9"/>
      <c r="U465" s="9"/>
      <c r="V465" s="9"/>
      <c r="W465" s="9"/>
      <c r="X465" s="9"/>
      <c r="Y465" s="9"/>
      <c r="Z465" s="9"/>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row>
    <row r="466" spans="1:64" hidden="1" outlineLevel="1">
      <c r="A466" s="9"/>
      <c r="B466" s="9"/>
      <c r="C466" s="9"/>
      <c r="D466" s="271">
        <f>Asset9</f>
        <v>0</v>
      </c>
      <c r="E466" s="9"/>
      <c r="F466" s="9"/>
      <c r="G466" s="9"/>
      <c r="H466" s="9"/>
      <c r="I466" s="9"/>
      <c r="J466" s="9"/>
      <c r="K466" s="9"/>
      <c r="L466" s="115">
        <f t="shared" si="24"/>
        <v>0</v>
      </c>
      <c r="M466" s="334">
        <f t="shared" si="25"/>
        <v>0</v>
      </c>
      <c r="N466" s="115">
        <f t="shared" ref="N466:Q466" si="34">IF(O$233=0, N242+N274+N306+N338+N370+N402+N434, 0)</f>
        <v>0</v>
      </c>
      <c r="O466" s="115">
        <f t="shared" si="34"/>
        <v>0</v>
      </c>
      <c r="P466" s="115">
        <f t="shared" si="34"/>
        <v>0</v>
      </c>
      <c r="Q466" s="115">
        <f t="shared" si="34"/>
        <v>0</v>
      </c>
      <c r="R466" s="9"/>
      <c r="S466" s="9"/>
      <c r="T466" s="9"/>
      <c r="U466" s="9"/>
      <c r="V466" s="9"/>
      <c r="W466" s="9"/>
      <c r="X466" s="9"/>
      <c r="Y466" s="9"/>
      <c r="Z466" s="9"/>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row>
    <row r="467" spans="1:64" hidden="1" outlineLevel="1">
      <c r="A467" s="9"/>
      <c r="B467" s="9"/>
      <c r="C467" s="9"/>
      <c r="D467" s="271">
        <f>Asset10</f>
        <v>0</v>
      </c>
      <c r="E467" s="9"/>
      <c r="F467" s="9"/>
      <c r="G467" s="9"/>
      <c r="H467" s="9"/>
      <c r="I467" s="9"/>
      <c r="J467" s="9"/>
      <c r="K467" s="9"/>
      <c r="L467" s="115">
        <f t="shared" si="24"/>
        <v>0</v>
      </c>
      <c r="M467" s="334">
        <f t="shared" si="25"/>
        <v>0</v>
      </c>
      <c r="N467" s="115">
        <f t="shared" ref="N467:Q467" si="35">IF(O$233=0, N243+N275+N307+N339+N371+N403+N435, 0)</f>
        <v>0</v>
      </c>
      <c r="O467" s="115">
        <f t="shared" si="35"/>
        <v>0</v>
      </c>
      <c r="P467" s="115">
        <f t="shared" si="35"/>
        <v>0</v>
      </c>
      <c r="Q467" s="115">
        <f t="shared" si="35"/>
        <v>0</v>
      </c>
      <c r="R467" s="9"/>
      <c r="S467" s="9"/>
      <c r="T467" s="9"/>
      <c r="U467" s="9"/>
      <c r="V467" s="9"/>
      <c r="W467" s="9"/>
      <c r="X467" s="9"/>
      <c r="Y467" s="9"/>
      <c r="Z467" s="9"/>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row>
    <row r="468" spans="1:64" hidden="1" outlineLevel="1">
      <c r="A468" s="9"/>
      <c r="B468" s="9"/>
      <c r="C468" s="9"/>
      <c r="D468" s="271">
        <f>Asset11</f>
        <v>0</v>
      </c>
      <c r="E468" s="9"/>
      <c r="F468" s="9"/>
      <c r="G468" s="9"/>
      <c r="H468" s="9"/>
      <c r="I468" s="9"/>
      <c r="J468" s="9"/>
      <c r="K468" s="9"/>
      <c r="L468" s="115">
        <f t="shared" si="24"/>
        <v>0</v>
      </c>
      <c r="M468" s="334">
        <f t="shared" si="25"/>
        <v>0</v>
      </c>
      <c r="N468" s="115">
        <f t="shared" ref="N468:Q468" si="36">IF(O$233=0, N244+N276+N308+N340+N372+N404+N436, 0)</f>
        <v>0</v>
      </c>
      <c r="O468" s="115">
        <f t="shared" si="36"/>
        <v>0</v>
      </c>
      <c r="P468" s="115">
        <f t="shared" si="36"/>
        <v>0</v>
      </c>
      <c r="Q468" s="115">
        <f t="shared" si="36"/>
        <v>0</v>
      </c>
      <c r="R468" s="9"/>
      <c r="S468" s="9"/>
      <c r="T468" s="9"/>
      <c r="U468" s="9"/>
      <c r="V468" s="9"/>
      <c r="W468" s="9"/>
      <c r="X468" s="9"/>
      <c r="Y468" s="9"/>
      <c r="Z468" s="9"/>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row>
    <row r="469" spans="1:64" hidden="1" outlineLevel="1">
      <c r="A469" s="9"/>
      <c r="B469" s="9"/>
      <c r="C469" s="9"/>
      <c r="D469" s="271">
        <f>Asset12</f>
        <v>0</v>
      </c>
      <c r="E469" s="9"/>
      <c r="F469" s="9"/>
      <c r="G469" s="9"/>
      <c r="H469" s="9"/>
      <c r="I469" s="9"/>
      <c r="J469" s="9"/>
      <c r="K469" s="9"/>
      <c r="L469" s="115">
        <f t="shared" si="24"/>
        <v>0</v>
      </c>
      <c r="M469" s="334">
        <f t="shared" si="25"/>
        <v>0</v>
      </c>
      <c r="N469" s="115">
        <f t="shared" ref="N469:Q469" si="37">IF(O$233=0, N245+N277+N309+N341+N373+N405+N437, 0)</f>
        <v>0</v>
      </c>
      <c r="O469" s="115">
        <f t="shared" si="37"/>
        <v>0</v>
      </c>
      <c r="P469" s="115">
        <f t="shared" si="37"/>
        <v>0</v>
      </c>
      <c r="Q469" s="115">
        <f t="shared" si="37"/>
        <v>0</v>
      </c>
      <c r="R469" s="9"/>
      <c r="S469" s="9"/>
      <c r="T469" s="9"/>
      <c r="U469" s="9"/>
      <c r="V469" s="9"/>
      <c r="W469" s="9"/>
      <c r="X469" s="9"/>
      <c r="Y469" s="9"/>
      <c r="Z469" s="9"/>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row>
    <row r="470" spans="1:64" hidden="1" outlineLevel="1">
      <c r="A470" s="9"/>
      <c r="B470" s="9"/>
      <c r="C470" s="9"/>
      <c r="D470" s="271">
        <f>Asset13</f>
        <v>0</v>
      </c>
      <c r="E470" s="9"/>
      <c r="F470" s="9"/>
      <c r="G470" s="9"/>
      <c r="H470" s="9"/>
      <c r="I470" s="9"/>
      <c r="J470" s="9"/>
      <c r="K470" s="9"/>
      <c r="L470" s="115">
        <f t="shared" si="24"/>
        <v>0</v>
      </c>
      <c r="M470" s="334">
        <f t="shared" si="25"/>
        <v>0</v>
      </c>
      <c r="N470" s="115">
        <f t="shared" ref="N470:Q470" si="38">IF(O$233=0, N246+N278+N310+N342+N374+N406+N438, 0)</f>
        <v>0</v>
      </c>
      <c r="O470" s="115">
        <f t="shared" si="38"/>
        <v>0</v>
      </c>
      <c r="P470" s="115">
        <f t="shared" si="38"/>
        <v>0</v>
      </c>
      <c r="Q470" s="115">
        <f t="shared" si="38"/>
        <v>0</v>
      </c>
      <c r="R470" s="9"/>
      <c r="S470" s="9"/>
      <c r="T470" s="9"/>
      <c r="U470" s="9"/>
      <c r="V470" s="9"/>
      <c r="W470" s="9"/>
      <c r="X470" s="9"/>
      <c r="Y470" s="9"/>
      <c r="Z470" s="9"/>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row>
    <row r="471" spans="1:64" hidden="1" outlineLevel="1">
      <c r="A471" s="9"/>
      <c r="B471" s="9"/>
      <c r="C471" s="9"/>
      <c r="D471" s="271">
        <f>Asset14</f>
        <v>0</v>
      </c>
      <c r="E471" s="9"/>
      <c r="F471" s="9"/>
      <c r="G471" s="9"/>
      <c r="H471" s="9"/>
      <c r="I471" s="9"/>
      <c r="J471" s="9"/>
      <c r="K471" s="9"/>
      <c r="L471" s="115">
        <f t="shared" si="24"/>
        <v>0</v>
      </c>
      <c r="M471" s="334">
        <f t="shared" si="25"/>
        <v>0</v>
      </c>
      <c r="N471" s="115">
        <f t="shared" ref="N471:Q471" si="39">IF(O$233=0, N247+N279+N311+N343+N375+N407+N439, 0)</f>
        <v>0</v>
      </c>
      <c r="O471" s="115">
        <f t="shared" si="39"/>
        <v>0</v>
      </c>
      <c r="P471" s="115">
        <f t="shared" si="39"/>
        <v>0</v>
      </c>
      <c r="Q471" s="115">
        <f t="shared" si="39"/>
        <v>0</v>
      </c>
      <c r="R471" s="9"/>
      <c r="S471" s="9"/>
      <c r="T471" s="9"/>
      <c r="U471" s="9"/>
      <c r="V471" s="9"/>
      <c r="W471" s="9"/>
      <c r="X471" s="9"/>
      <c r="Y471" s="9"/>
      <c r="Z471" s="9"/>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row>
    <row r="472" spans="1:64" hidden="1" outlineLevel="1">
      <c r="A472" s="9"/>
      <c r="B472" s="9"/>
      <c r="C472" s="9"/>
      <c r="D472" s="271">
        <f>Asset15</f>
        <v>0</v>
      </c>
      <c r="E472" s="9"/>
      <c r="F472" s="9"/>
      <c r="G472" s="9"/>
      <c r="H472" s="9"/>
      <c r="I472" s="9"/>
      <c r="J472" s="9"/>
      <c r="K472" s="9"/>
      <c r="L472" s="115">
        <f t="shared" si="24"/>
        <v>0</v>
      </c>
      <c r="M472" s="115">
        <f t="shared" si="25"/>
        <v>0</v>
      </c>
      <c r="N472" s="115">
        <f t="shared" ref="N472:Q472" si="40">IF(O$233=0, N248+N280+N312+N344+N376+N408+N440, 0)</f>
        <v>0</v>
      </c>
      <c r="O472" s="115">
        <f t="shared" si="40"/>
        <v>0</v>
      </c>
      <c r="P472" s="115">
        <f t="shared" si="40"/>
        <v>0</v>
      </c>
      <c r="Q472" s="115">
        <f t="shared" si="40"/>
        <v>0</v>
      </c>
      <c r="R472" s="9"/>
      <c r="S472" s="9"/>
      <c r="T472" s="9"/>
      <c r="U472" s="9"/>
      <c r="V472" s="9"/>
      <c r="W472" s="9"/>
      <c r="X472" s="9"/>
      <c r="Y472" s="9"/>
      <c r="Z472" s="9"/>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row>
    <row r="473" spans="1:64" hidden="1" outlineLevel="1">
      <c r="A473" s="9"/>
      <c r="B473" s="9"/>
      <c r="C473" s="9"/>
      <c r="D473" s="271">
        <f>Asset16</f>
        <v>0</v>
      </c>
      <c r="E473" s="9"/>
      <c r="F473" s="9"/>
      <c r="G473" s="9"/>
      <c r="H473" s="9"/>
      <c r="I473" s="9"/>
      <c r="J473" s="9"/>
      <c r="K473" s="9"/>
      <c r="L473" s="115">
        <f t="shared" si="24"/>
        <v>0</v>
      </c>
      <c r="M473" s="115">
        <f t="shared" si="25"/>
        <v>0</v>
      </c>
      <c r="N473" s="115">
        <f t="shared" ref="N473:Q473" si="41">IF(O$233=0, N249+N281+N313+N345+N377+N409+N441, 0)</f>
        <v>0</v>
      </c>
      <c r="O473" s="115">
        <f t="shared" si="41"/>
        <v>0</v>
      </c>
      <c r="P473" s="115">
        <f t="shared" si="41"/>
        <v>0</v>
      </c>
      <c r="Q473" s="115">
        <f t="shared" si="41"/>
        <v>0</v>
      </c>
      <c r="R473" s="9"/>
      <c r="S473" s="9"/>
      <c r="T473" s="9"/>
      <c r="U473" s="9"/>
      <c r="V473" s="9"/>
      <c r="W473" s="9"/>
      <c r="X473" s="9"/>
      <c r="Y473" s="9"/>
      <c r="Z473" s="9"/>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row>
    <row r="474" spans="1:64" hidden="1" outlineLevel="1">
      <c r="A474" s="9"/>
      <c r="B474" s="9"/>
      <c r="C474" s="9"/>
      <c r="D474" s="271">
        <f>Asset17</f>
        <v>0</v>
      </c>
      <c r="E474" s="9"/>
      <c r="F474" s="9"/>
      <c r="G474" s="9"/>
      <c r="H474" s="9"/>
      <c r="I474" s="9"/>
      <c r="J474" s="9"/>
      <c r="K474" s="9"/>
      <c r="L474" s="115">
        <f t="shared" si="24"/>
        <v>0</v>
      </c>
      <c r="M474" s="115">
        <f t="shared" si="25"/>
        <v>0</v>
      </c>
      <c r="N474" s="115">
        <f t="shared" ref="N474:Q474" si="42">IF(O$233=0, N250+N282+N314+N346+N378+N410+N442, 0)</f>
        <v>0</v>
      </c>
      <c r="O474" s="115">
        <f t="shared" si="42"/>
        <v>0</v>
      </c>
      <c r="P474" s="115">
        <f t="shared" si="42"/>
        <v>0</v>
      </c>
      <c r="Q474" s="115">
        <f t="shared" si="42"/>
        <v>0</v>
      </c>
      <c r="R474" s="9"/>
      <c r="S474" s="9"/>
      <c r="T474" s="9"/>
      <c r="U474" s="9"/>
      <c r="V474" s="9"/>
      <c r="W474" s="9"/>
      <c r="X474" s="9"/>
      <c r="Y474" s="9"/>
      <c r="Z474" s="9"/>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row>
    <row r="475" spans="1:64" hidden="1" outlineLevel="1">
      <c r="A475" s="9"/>
      <c r="B475" s="9"/>
      <c r="C475" s="9"/>
      <c r="D475" s="271">
        <f>Asset18</f>
        <v>0</v>
      </c>
      <c r="E475" s="9"/>
      <c r="F475" s="9"/>
      <c r="G475" s="9"/>
      <c r="H475" s="9"/>
      <c r="I475" s="9"/>
      <c r="J475" s="9"/>
      <c r="K475" s="9"/>
      <c r="L475" s="115">
        <f t="shared" si="24"/>
        <v>0</v>
      </c>
      <c r="M475" s="115">
        <f t="shared" si="25"/>
        <v>0</v>
      </c>
      <c r="N475" s="115">
        <f t="shared" ref="N475:Q475" si="43">IF(O$233=0, N251+N283+N315+N347+N379+N411+N443, 0)</f>
        <v>0</v>
      </c>
      <c r="O475" s="115">
        <f t="shared" si="43"/>
        <v>0</v>
      </c>
      <c r="P475" s="115">
        <f t="shared" si="43"/>
        <v>0</v>
      </c>
      <c r="Q475" s="115">
        <f t="shared" si="43"/>
        <v>0</v>
      </c>
      <c r="R475" s="9"/>
      <c r="S475" s="9"/>
      <c r="T475" s="9"/>
      <c r="U475" s="9"/>
      <c r="V475" s="9"/>
      <c r="W475" s="9"/>
      <c r="X475" s="9"/>
      <c r="Y475" s="9"/>
      <c r="Z475" s="9"/>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row>
    <row r="476" spans="1:64" hidden="1" outlineLevel="1">
      <c r="A476" s="9"/>
      <c r="B476" s="9"/>
      <c r="C476" s="9"/>
      <c r="D476" s="271">
        <f>Asset19</f>
        <v>0</v>
      </c>
      <c r="E476" s="9"/>
      <c r="F476" s="9"/>
      <c r="G476" s="9"/>
      <c r="H476" s="9"/>
      <c r="I476" s="9"/>
      <c r="J476" s="9"/>
      <c r="K476" s="9"/>
      <c r="L476" s="115">
        <f t="shared" si="24"/>
        <v>0</v>
      </c>
      <c r="M476" s="115">
        <f t="shared" si="25"/>
        <v>0</v>
      </c>
      <c r="N476" s="115">
        <f t="shared" ref="N476:Q476" si="44">IF(O$233=0, N252+N284+N316+N348+N380+N412+N444, 0)</f>
        <v>0</v>
      </c>
      <c r="O476" s="115">
        <f t="shared" si="44"/>
        <v>0</v>
      </c>
      <c r="P476" s="115">
        <f t="shared" si="44"/>
        <v>0</v>
      </c>
      <c r="Q476" s="115">
        <f t="shared" si="44"/>
        <v>0</v>
      </c>
      <c r="R476" s="9"/>
      <c r="S476" s="9"/>
      <c r="T476" s="9"/>
      <c r="U476" s="9"/>
      <c r="V476" s="9"/>
      <c r="W476" s="9"/>
      <c r="X476" s="9"/>
      <c r="Y476" s="9"/>
      <c r="Z476" s="9"/>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row>
    <row r="477" spans="1:64" hidden="1" outlineLevel="1">
      <c r="A477" s="9"/>
      <c r="B477" s="9"/>
      <c r="C477" s="9"/>
      <c r="D477" s="271">
        <f>Asset20</f>
        <v>0</v>
      </c>
      <c r="E477" s="9"/>
      <c r="F477" s="9"/>
      <c r="G477" s="9"/>
      <c r="H477" s="9"/>
      <c r="I477" s="9"/>
      <c r="J477" s="9"/>
      <c r="K477" s="9"/>
      <c r="L477" s="115">
        <f t="shared" si="24"/>
        <v>0</v>
      </c>
      <c r="M477" s="115">
        <f t="shared" ref="M477:Q487" si="45">IF(N$233=0, M253+M285+M317+M349+M381+M413+M445, 0)</f>
        <v>0</v>
      </c>
      <c r="N477" s="115">
        <f t="shared" si="45"/>
        <v>0</v>
      </c>
      <c r="O477" s="115">
        <f t="shared" si="45"/>
        <v>0</v>
      </c>
      <c r="P477" s="115">
        <f t="shared" si="45"/>
        <v>0</v>
      </c>
      <c r="Q477" s="115">
        <f t="shared" si="45"/>
        <v>0</v>
      </c>
      <c r="R477" s="9"/>
      <c r="S477" s="9"/>
      <c r="T477" s="9"/>
      <c r="U477" s="9"/>
      <c r="V477" s="9"/>
      <c r="W477" s="9"/>
      <c r="X477" s="9"/>
      <c r="Y477" s="9"/>
      <c r="Z477" s="9"/>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row>
    <row r="478" spans="1:64" hidden="1" outlineLevel="1">
      <c r="A478" s="9"/>
      <c r="B478" s="9"/>
      <c r="C478" s="9"/>
      <c r="D478" s="271">
        <f>Asset21</f>
        <v>0</v>
      </c>
      <c r="E478" s="9"/>
      <c r="F478" s="9"/>
      <c r="G478" s="9"/>
      <c r="H478" s="9"/>
      <c r="I478" s="9"/>
      <c r="J478" s="9"/>
      <c r="K478" s="9"/>
      <c r="L478" s="115">
        <f t="shared" si="24"/>
        <v>0</v>
      </c>
      <c r="M478" s="115">
        <f t="shared" si="45"/>
        <v>0</v>
      </c>
      <c r="N478" s="115">
        <f t="shared" si="45"/>
        <v>0</v>
      </c>
      <c r="O478" s="115">
        <f t="shared" si="45"/>
        <v>0</v>
      </c>
      <c r="P478" s="115">
        <f t="shared" si="45"/>
        <v>0</v>
      </c>
      <c r="Q478" s="115">
        <f t="shared" si="45"/>
        <v>0</v>
      </c>
      <c r="R478" s="9"/>
      <c r="S478" s="9"/>
      <c r="T478" s="9"/>
      <c r="U478" s="9"/>
      <c r="V478" s="9"/>
      <c r="W478" s="9"/>
      <c r="X478" s="9"/>
      <c r="Y478" s="9"/>
      <c r="Z478" s="9"/>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row>
    <row r="479" spans="1:64" hidden="1" outlineLevel="1">
      <c r="A479" s="9"/>
      <c r="B479" s="9"/>
      <c r="C479" s="9"/>
      <c r="D479" s="271">
        <f>Asset22</f>
        <v>0</v>
      </c>
      <c r="E479" s="9"/>
      <c r="F479" s="9"/>
      <c r="G479" s="9"/>
      <c r="H479" s="9"/>
      <c r="I479" s="9"/>
      <c r="J479" s="9"/>
      <c r="K479" s="9"/>
      <c r="L479" s="115">
        <f t="shared" si="24"/>
        <v>0</v>
      </c>
      <c r="M479" s="115">
        <f t="shared" si="45"/>
        <v>0</v>
      </c>
      <c r="N479" s="115">
        <f t="shared" si="45"/>
        <v>0</v>
      </c>
      <c r="O479" s="115">
        <f t="shared" si="45"/>
        <v>0</v>
      </c>
      <c r="P479" s="115">
        <f t="shared" si="45"/>
        <v>0</v>
      </c>
      <c r="Q479" s="115">
        <f t="shared" si="45"/>
        <v>0</v>
      </c>
      <c r="R479" s="9"/>
      <c r="S479" s="9"/>
      <c r="T479" s="9"/>
      <c r="U479" s="9"/>
      <c r="V479" s="9"/>
      <c r="W479" s="9"/>
      <c r="X479" s="9"/>
      <c r="Y479" s="9"/>
      <c r="Z479" s="9"/>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row>
    <row r="480" spans="1:64" hidden="1" outlineLevel="1">
      <c r="A480" s="9"/>
      <c r="B480" s="9"/>
      <c r="C480" s="9"/>
      <c r="D480" s="271">
        <f>Asset23</f>
        <v>0</v>
      </c>
      <c r="E480" s="9"/>
      <c r="F480" s="9"/>
      <c r="G480" s="9"/>
      <c r="H480" s="9"/>
      <c r="I480" s="9"/>
      <c r="J480" s="9"/>
      <c r="K480" s="9"/>
      <c r="L480" s="115">
        <f t="shared" si="24"/>
        <v>0</v>
      </c>
      <c r="M480" s="115">
        <f t="shared" si="45"/>
        <v>0</v>
      </c>
      <c r="N480" s="115">
        <f t="shared" si="45"/>
        <v>0</v>
      </c>
      <c r="O480" s="115">
        <f t="shared" si="45"/>
        <v>0</v>
      </c>
      <c r="P480" s="115">
        <f t="shared" si="45"/>
        <v>0</v>
      </c>
      <c r="Q480" s="115">
        <f t="shared" si="45"/>
        <v>0</v>
      </c>
      <c r="R480" s="9"/>
      <c r="S480" s="9"/>
      <c r="T480" s="9"/>
      <c r="U480" s="9"/>
      <c r="V480" s="9"/>
      <c r="W480" s="9"/>
      <c r="X480" s="9"/>
      <c r="Y480" s="9"/>
      <c r="Z480" s="9"/>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row>
    <row r="481" spans="1:256" hidden="1" outlineLevel="1">
      <c r="A481" s="9"/>
      <c r="B481" s="9"/>
      <c r="C481" s="9"/>
      <c r="D481" s="271">
        <f>Asset24</f>
        <v>0</v>
      </c>
      <c r="E481" s="9"/>
      <c r="F481" s="9"/>
      <c r="G481" s="9"/>
      <c r="H481" s="9"/>
      <c r="I481" s="9"/>
      <c r="J481" s="9"/>
      <c r="K481" s="9"/>
      <c r="L481" s="115">
        <f t="shared" si="24"/>
        <v>0</v>
      </c>
      <c r="M481" s="115">
        <f t="shared" si="45"/>
        <v>0</v>
      </c>
      <c r="N481" s="115">
        <f t="shared" si="45"/>
        <v>0</v>
      </c>
      <c r="O481" s="115">
        <f t="shared" si="45"/>
        <v>0</v>
      </c>
      <c r="P481" s="115">
        <f t="shared" si="45"/>
        <v>0</v>
      </c>
      <c r="Q481" s="115">
        <f t="shared" si="45"/>
        <v>0</v>
      </c>
      <c r="R481" s="9"/>
      <c r="S481" s="9"/>
      <c r="T481" s="9"/>
      <c r="U481" s="9"/>
      <c r="V481" s="9"/>
      <c r="W481" s="9"/>
      <c r="X481" s="9"/>
      <c r="Y481" s="9"/>
      <c r="Z481" s="9"/>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row>
    <row r="482" spans="1:256" hidden="1" outlineLevel="1">
      <c r="A482" s="9"/>
      <c r="B482" s="9"/>
      <c r="C482" s="9"/>
      <c r="D482" s="271">
        <f>Asset25</f>
        <v>0</v>
      </c>
      <c r="E482" s="9"/>
      <c r="F482" s="9"/>
      <c r="G482" s="9"/>
      <c r="H482" s="9"/>
      <c r="I482" s="9"/>
      <c r="J482" s="9"/>
      <c r="K482" s="9"/>
      <c r="L482" s="115">
        <f t="shared" si="24"/>
        <v>0</v>
      </c>
      <c r="M482" s="115">
        <f t="shared" si="45"/>
        <v>0</v>
      </c>
      <c r="N482" s="115">
        <f t="shared" si="45"/>
        <v>0</v>
      </c>
      <c r="O482" s="115">
        <f t="shared" si="45"/>
        <v>0</v>
      </c>
      <c r="P482" s="115">
        <f t="shared" si="45"/>
        <v>0</v>
      </c>
      <c r="Q482" s="115">
        <f t="shared" si="45"/>
        <v>0</v>
      </c>
      <c r="R482" s="9"/>
      <c r="S482" s="9"/>
      <c r="T482" s="9"/>
      <c r="U482" s="9"/>
      <c r="V482" s="9"/>
      <c r="W482" s="9"/>
      <c r="X482" s="9"/>
      <c r="Y482" s="9"/>
      <c r="Z482" s="9"/>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row>
    <row r="483" spans="1:256" hidden="1" outlineLevel="1">
      <c r="A483" s="9"/>
      <c r="B483" s="9"/>
      <c r="C483" s="9"/>
      <c r="D483" s="271">
        <f>Asset26</f>
        <v>0</v>
      </c>
      <c r="E483" s="9"/>
      <c r="F483" s="9"/>
      <c r="G483" s="9"/>
      <c r="H483" s="9"/>
      <c r="I483" s="9"/>
      <c r="J483" s="9"/>
      <c r="K483" s="9"/>
      <c r="L483" s="115">
        <f t="shared" si="24"/>
        <v>0</v>
      </c>
      <c r="M483" s="115">
        <f t="shared" si="45"/>
        <v>0</v>
      </c>
      <c r="N483" s="115">
        <f t="shared" si="45"/>
        <v>0</v>
      </c>
      <c r="O483" s="115">
        <f t="shared" si="45"/>
        <v>0</v>
      </c>
      <c r="P483" s="115">
        <f t="shared" si="45"/>
        <v>0</v>
      </c>
      <c r="Q483" s="115">
        <f t="shared" si="45"/>
        <v>0</v>
      </c>
      <c r="R483" s="9"/>
      <c r="S483" s="9"/>
      <c r="T483" s="9"/>
      <c r="U483" s="9"/>
      <c r="V483" s="9"/>
      <c r="W483" s="9"/>
      <c r="X483" s="9"/>
      <c r="Y483" s="9"/>
      <c r="Z483" s="9"/>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row>
    <row r="484" spans="1:256" hidden="1" outlineLevel="1">
      <c r="A484" s="9"/>
      <c r="B484" s="9"/>
      <c r="C484" s="9"/>
      <c r="D484" s="271">
        <f>Asset27</f>
        <v>0</v>
      </c>
      <c r="E484" s="9"/>
      <c r="F484" s="9"/>
      <c r="G484" s="9"/>
      <c r="H484" s="9"/>
      <c r="I484" s="9"/>
      <c r="J484" s="9"/>
      <c r="K484" s="9"/>
      <c r="L484" s="115">
        <f t="shared" si="24"/>
        <v>0</v>
      </c>
      <c r="M484" s="115">
        <f t="shared" si="45"/>
        <v>0</v>
      </c>
      <c r="N484" s="115">
        <f t="shared" si="45"/>
        <v>0</v>
      </c>
      <c r="O484" s="115">
        <f t="shared" si="45"/>
        <v>0</v>
      </c>
      <c r="P484" s="115">
        <f t="shared" si="45"/>
        <v>0</v>
      </c>
      <c r="Q484" s="115">
        <f t="shared" si="45"/>
        <v>0</v>
      </c>
      <c r="R484" s="9"/>
      <c r="S484" s="9"/>
      <c r="T484" s="9"/>
      <c r="U484" s="9"/>
      <c r="V484" s="9"/>
      <c r="W484" s="9"/>
      <c r="X484" s="9"/>
      <c r="Y484" s="9"/>
      <c r="Z484" s="9"/>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row>
    <row r="485" spans="1:256" hidden="1" outlineLevel="1">
      <c r="A485" s="9"/>
      <c r="B485" s="9"/>
      <c r="C485" s="9"/>
      <c r="D485" s="271">
        <f>Asset28</f>
        <v>0</v>
      </c>
      <c r="E485" s="9"/>
      <c r="F485" s="9"/>
      <c r="G485" s="9"/>
      <c r="H485" s="9"/>
      <c r="I485" s="9"/>
      <c r="J485" s="9"/>
      <c r="K485" s="9"/>
      <c r="L485" s="115">
        <f t="shared" si="24"/>
        <v>0</v>
      </c>
      <c r="M485" s="115">
        <f t="shared" si="45"/>
        <v>0</v>
      </c>
      <c r="N485" s="115">
        <f t="shared" si="45"/>
        <v>0</v>
      </c>
      <c r="O485" s="115">
        <f t="shared" si="45"/>
        <v>0</v>
      </c>
      <c r="P485" s="115">
        <f t="shared" si="45"/>
        <v>0</v>
      </c>
      <c r="Q485" s="115">
        <f t="shared" si="45"/>
        <v>0</v>
      </c>
      <c r="R485" s="9"/>
      <c r="S485" s="9"/>
      <c r="T485" s="9"/>
      <c r="U485" s="9"/>
      <c r="V485" s="9"/>
      <c r="W485" s="9"/>
      <c r="X485" s="9"/>
      <c r="Y485" s="9"/>
      <c r="Z485" s="9"/>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row>
    <row r="486" spans="1:256" hidden="1" outlineLevel="1">
      <c r="A486" s="9"/>
      <c r="B486" s="9"/>
      <c r="C486" s="9"/>
      <c r="D486" s="271">
        <f>Asset29</f>
        <v>0</v>
      </c>
      <c r="E486" s="9"/>
      <c r="F486" s="9"/>
      <c r="G486" s="9"/>
      <c r="H486" s="9"/>
      <c r="I486" s="9"/>
      <c r="J486" s="9"/>
      <c r="K486" s="9"/>
      <c r="L486" s="115">
        <f t="shared" si="24"/>
        <v>0</v>
      </c>
      <c r="M486" s="115">
        <f t="shared" si="45"/>
        <v>0</v>
      </c>
      <c r="N486" s="115">
        <f t="shared" si="45"/>
        <v>0</v>
      </c>
      <c r="O486" s="115">
        <f t="shared" si="45"/>
        <v>0</v>
      </c>
      <c r="P486" s="115">
        <f t="shared" si="45"/>
        <v>0</v>
      </c>
      <c r="Q486" s="115">
        <f t="shared" si="45"/>
        <v>0</v>
      </c>
      <c r="R486" s="9"/>
      <c r="S486" s="9"/>
      <c r="T486" s="9"/>
      <c r="U486" s="9"/>
      <c r="V486" s="9"/>
      <c r="W486" s="9"/>
      <c r="X486" s="9"/>
      <c r="Y486" s="9"/>
      <c r="Z486" s="9"/>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row>
    <row r="487" spans="1:256" hidden="1" outlineLevel="1">
      <c r="B487" s="9"/>
      <c r="C487" s="9"/>
      <c r="D487" s="271">
        <f>Asset30</f>
        <v>0</v>
      </c>
      <c r="E487" s="9"/>
      <c r="F487" s="9"/>
      <c r="G487" s="9"/>
      <c r="H487" s="9"/>
      <c r="I487" s="9"/>
      <c r="J487" s="9"/>
      <c r="K487" s="9"/>
      <c r="L487" s="115">
        <f t="shared" si="24"/>
        <v>0</v>
      </c>
      <c r="M487" s="115">
        <f t="shared" si="45"/>
        <v>0</v>
      </c>
      <c r="N487" s="115">
        <f t="shared" si="45"/>
        <v>0</v>
      </c>
      <c r="O487" s="115">
        <f t="shared" si="45"/>
        <v>0</v>
      </c>
      <c r="P487" s="115">
        <f t="shared" si="45"/>
        <v>0</v>
      </c>
      <c r="Q487" s="115">
        <f t="shared" si="45"/>
        <v>0</v>
      </c>
      <c r="R487" s="9"/>
      <c r="S487" s="9"/>
      <c r="T487" s="9"/>
      <c r="U487" s="9"/>
      <c r="V487" s="9"/>
      <c r="W487" s="9"/>
      <c r="X487" s="9"/>
      <c r="Y487" s="9"/>
      <c r="Z487" s="9"/>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row>
    <row r="488" spans="1:256" collapsed="1">
      <c r="A488" s="9"/>
      <c r="B488" s="9"/>
      <c r="C488" s="9"/>
      <c r="D488" s="9"/>
      <c r="E488" s="9"/>
      <c r="F488" s="9"/>
      <c r="G488" s="9"/>
      <c r="H488" s="9"/>
      <c r="I488" s="9"/>
      <c r="J488" s="9"/>
      <c r="K488" s="9"/>
      <c r="L488" s="9"/>
      <c r="M488" s="35"/>
      <c r="N488" s="9"/>
      <c r="O488" s="9"/>
      <c r="P488" s="9"/>
      <c r="Q488" s="9"/>
      <c r="R488" s="9"/>
      <c r="S488" s="9"/>
      <c r="T488" s="9"/>
      <c r="U488" s="9"/>
      <c r="V488" s="9"/>
      <c r="W488" s="9"/>
      <c r="X488" s="9"/>
      <c r="Y488" s="9"/>
      <c r="Z488" s="9"/>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row>
    <row r="489" spans="1:256">
      <c r="A489" s="78"/>
      <c r="B489" s="78"/>
      <c r="C489" s="85" t="s">
        <v>74</v>
      </c>
      <c r="D489" s="78"/>
      <c r="E489" s="78"/>
      <c r="F489" s="78"/>
      <c r="G489" s="78"/>
      <c r="H489" s="78"/>
      <c r="I489" s="78"/>
      <c r="J489" s="78"/>
      <c r="K489" s="78"/>
      <c r="L489" s="78"/>
      <c r="M489" s="78"/>
      <c r="N489" s="78"/>
      <c r="O489" s="78"/>
      <c r="P489" s="78"/>
      <c r="Q489" s="78"/>
      <c r="R489" s="78"/>
      <c r="S489" s="9"/>
      <c r="T489" s="9"/>
      <c r="U489" s="9"/>
      <c r="V489" s="9"/>
      <c r="W489" s="9"/>
      <c r="X489" s="9"/>
      <c r="Y489" s="9"/>
      <c r="Z489" s="9"/>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row>
    <row r="490" spans="1:256" s="24" customForma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24"/>
      <c r="BL490" s="224"/>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c r="A491" s="9"/>
      <c r="B491" s="9"/>
      <c r="C491" s="44" t="s">
        <v>63</v>
      </c>
      <c r="D491" s="9"/>
      <c r="E491" s="9"/>
      <c r="F491" s="9"/>
      <c r="G491" s="310">
        <f>SUM(G492:G521)</f>
        <v>1879.9814438209928</v>
      </c>
      <c r="H491" s="469">
        <f>SUM(H492:H521)</f>
        <v>2093.4385480310939</v>
      </c>
      <c r="I491" s="142">
        <f t="shared" ref="I491:P491" si="46">SUM(I492:I521)</f>
        <v>2278.2609074570819</v>
      </c>
      <c r="J491" s="142">
        <f t="shared" si="46"/>
        <v>2563.010391265866</v>
      </c>
      <c r="K491" s="142">
        <f t="shared" si="46"/>
        <v>2858.9454715868251</v>
      </c>
      <c r="L491" s="142">
        <f t="shared" si="46"/>
        <v>3180.3896560995681</v>
      </c>
      <c r="M491" s="142">
        <f t="shared" si="46"/>
        <v>0</v>
      </c>
      <c r="N491" s="142">
        <f t="shared" si="46"/>
        <v>0</v>
      </c>
      <c r="O491" s="142">
        <f t="shared" si="46"/>
        <v>0</v>
      </c>
      <c r="P491" s="142">
        <f t="shared" si="46"/>
        <v>0</v>
      </c>
      <c r="Q491" s="142">
        <f>SUM(Q492:Q521)</f>
        <v>0</v>
      </c>
      <c r="R491" s="142"/>
      <c r="S491" s="141"/>
      <c r="T491" s="141"/>
      <c r="U491" s="141"/>
      <c r="V491" s="141"/>
      <c r="W491" s="141"/>
      <c r="X491" s="141"/>
      <c r="Y491" s="141"/>
      <c r="Z491" s="141"/>
      <c r="AA491" s="230"/>
      <c r="AB491" s="230"/>
      <c r="AC491" s="230"/>
      <c r="AD491" s="230"/>
      <c r="AE491" s="230"/>
      <c r="AF491" s="230"/>
      <c r="AG491" s="230"/>
      <c r="AH491" s="230"/>
      <c r="AI491" s="230"/>
      <c r="AJ491" s="230"/>
      <c r="AK491" s="230"/>
      <c r="AL491" s="230"/>
      <c r="AM491" s="230"/>
      <c r="AN491" s="230"/>
      <c r="AO491" s="230"/>
      <c r="AP491" s="230"/>
      <c r="AQ491" s="230"/>
      <c r="AR491" s="230"/>
      <c r="AS491" s="230"/>
      <c r="AT491" s="230"/>
      <c r="AU491" s="230"/>
      <c r="AV491" s="230"/>
      <c r="AW491" s="230"/>
      <c r="AX491" s="230"/>
      <c r="AY491" s="230"/>
      <c r="AZ491" s="230"/>
      <c r="BA491" s="230"/>
      <c r="BB491" s="230"/>
      <c r="BC491" s="230"/>
      <c r="BD491" s="230"/>
      <c r="BE491" s="230"/>
      <c r="BF491" s="230"/>
      <c r="BG491" s="230"/>
      <c r="BH491" s="230"/>
      <c r="BI491" s="230"/>
      <c r="BJ491" s="230"/>
      <c r="BK491" s="224"/>
      <c r="BL491" s="224"/>
    </row>
    <row r="492" spans="1:256" hidden="1" outlineLevel="1">
      <c r="A492" s="9"/>
      <c r="B492" s="9"/>
      <c r="C492" s="9"/>
      <c r="D492" s="271" t="str">
        <f>Asset1</f>
        <v>Subtransmission</v>
      </c>
      <c r="E492" s="9"/>
      <c r="F492" s="9"/>
      <c r="G492" s="204">
        <f>'Actual RAB roll forward'!G762</f>
        <v>221.08167189144211</v>
      </c>
      <c r="H492" s="334">
        <f t="shared" ref="H492:H505" si="47">G492+G524+G556+G588+G620+G652</f>
        <v>201.86232986351726</v>
      </c>
      <c r="I492" s="115">
        <f t="shared" ref="I492:L511" si="48">H492+H524+H556</f>
        <v>223.75378048883468</v>
      </c>
      <c r="J492" s="115">
        <f t="shared" si="48"/>
        <v>270.18518567823617</v>
      </c>
      <c r="K492" s="115">
        <f t="shared" si="48"/>
        <v>333.22360899693331</v>
      </c>
      <c r="L492" s="115">
        <f t="shared" si="48"/>
        <v>395.67376420819033</v>
      </c>
      <c r="M492" s="115">
        <f>IF(COUNT($H492:L492)&gt;=Input!$Y$7,0, L492+L524+L556)</f>
        <v>0</v>
      </c>
      <c r="N492" s="115">
        <f>IF(COUNT($H492:M492)&gt;=Input!$Y$7,0, M492+M524+M556)</f>
        <v>0</v>
      </c>
      <c r="O492" s="115">
        <f>IF(COUNT($H492:N492)&gt;=Input!$Y$7,0, N492+N524+N556)</f>
        <v>0</v>
      </c>
      <c r="P492" s="115">
        <f>IF(COUNT($H492:O492)&gt;=Input!$Y$7,0, O492+O524+O556)</f>
        <v>0</v>
      </c>
      <c r="Q492" s="115">
        <f>IF(COUNT($H492:P492)&gt;=Input!$Y$7,0, P492+P524+P556)</f>
        <v>0</v>
      </c>
      <c r="R492" s="115"/>
      <c r="S492" s="9"/>
      <c r="T492" s="9"/>
      <c r="U492" s="9"/>
      <c r="V492" s="9"/>
      <c r="W492" s="9"/>
      <c r="X492" s="9"/>
      <c r="Y492" s="9"/>
      <c r="Z492" s="9"/>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row>
    <row r="493" spans="1:256" hidden="1" outlineLevel="1">
      <c r="A493" s="9"/>
      <c r="B493" s="9"/>
      <c r="C493" s="44"/>
      <c r="D493" s="271" t="str">
        <f>Asset2</f>
        <v>Distribution system assets</v>
      </c>
      <c r="E493" s="9"/>
      <c r="F493" s="9"/>
      <c r="G493" s="204">
        <f>'Actual RAB roll forward'!G763</f>
        <v>1560.2007896223902</v>
      </c>
      <c r="H493" s="334">
        <f t="shared" si="47"/>
        <v>1751.8018003116877</v>
      </c>
      <c r="I493" s="115">
        <f t="shared" si="48"/>
        <v>1932.3104445268239</v>
      </c>
      <c r="J493" s="115">
        <f t="shared" si="48"/>
        <v>2147.2896410684702</v>
      </c>
      <c r="K493" s="115">
        <f t="shared" si="48"/>
        <v>2368.6596044689627</v>
      </c>
      <c r="L493" s="115">
        <f t="shared" si="48"/>
        <v>2633.8659916484798</v>
      </c>
      <c r="M493" s="115">
        <f>IF(COUNT($H493:L493)&gt;=Input!$Y$7,0, L493+L525+L557)</f>
        <v>0</v>
      </c>
      <c r="N493" s="115">
        <f>IF(COUNT($H493:M493)&gt;=Input!$Y$7,0, M493+M525+M557)</f>
        <v>0</v>
      </c>
      <c r="O493" s="115">
        <f>IF(COUNT($H493:N493)&gt;=Input!$Y$7,0, N493+N525+N557)</f>
        <v>0</v>
      </c>
      <c r="P493" s="115">
        <f>IF(COUNT($H493:O493)&gt;=Input!$Y$7,0, O493+O525+O557)</f>
        <v>0</v>
      </c>
      <c r="Q493" s="115">
        <f>IF(COUNT($H493:P493)&gt;=Input!$Y$7,0, P493+P525+P557)</f>
        <v>0</v>
      </c>
      <c r="R493" s="115"/>
      <c r="S493" s="104"/>
      <c r="T493" s="104"/>
      <c r="U493" s="104"/>
      <c r="V493" s="104"/>
      <c r="W493" s="104"/>
      <c r="X493" s="104"/>
      <c r="Y493" s="104"/>
      <c r="Z493" s="104"/>
      <c r="AA493" s="23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231"/>
      <c r="BE493" s="231"/>
      <c r="BF493" s="231"/>
      <c r="BG493" s="231"/>
      <c r="BH493" s="231"/>
      <c r="BI493" s="231"/>
      <c r="BJ493" s="231"/>
      <c r="BK493" s="224"/>
      <c r="BL493" s="224"/>
    </row>
    <row r="494" spans="1:256" hidden="1" outlineLevel="1">
      <c r="A494" s="9"/>
      <c r="B494" s="9"/>
      <c r="C494" s="44"/>
      <c r="D494" s="271" t="str">
        <f>Asset3</f>
        <v>Standard metering</v>
      </c>
      <c r="E494" s="9"/>
      <c r="F494" s="9"/>
      <c r="G494" s="204">
        <f>'Actual RAB roll forward'!G764</f>
        <v>14.291879766545669</v>
      </c>
      <c r="H494" s="334">
        <f t="shared" si="47"/>
        <v>15.790380770985777</v>
      </c>
      <c r="I494" s="115">
        <f t="shared" si="48"/>
        <v>0</v>
      </c>
      <c r="J494" s="115">
        <f t="shared" si="48"/>
        <v>0</v>
      </c>
      <c r="K494" s="115">
        <f t="shared" si="48"/>
        <v>0</v>
      </c>
      <c r="L494" s="115">
        <f t="shared" si="48"/>
        <v>0</v>
      </c>
      <c r="M494" s="115">
        <f>IF(COUNT($H494:L494)&gt;=Input!$Y$7,0, L494+L526+L558)</f>
        <v>0</v>
      </c>
      <c r="N494" s="115">
        <f>IF(COUNT($H494:M494)&gt;=Input!$Y$7,0, M494+M526+M558)</f>
        <v>0</v>
      </c>
      <c r="O494" s="115">
        <f>IF(COUNT($H494:N494)&gt;=Input!$Y$7,0, N494+N526+N558)</f>
        <v>0</v>
      </c>
      <c r="P494" s="115">
        <f>IF(COUNT($H494:O494)&gt;=Input!$Y$7,0, O494+O526+O558)</f>
        <v>0</v>
      </c>
      <c r="Q494" s="115">
        <f>IF(COUNT($H494:P494)&gt;=Input!$Y$7,0, P494+P526+P558)</f>
        <v>0</v>
      </c>
      <c r="R494" s="115"/>
      <c r="S494" s="104"/>
      <c r="T494" s="104"/>
      <c r="U494" s="104"/>
      <c r="V494" s="104"/>
      <c r="W494" s="104"/>
      <c r="X494" s="104"/>
      <c r="Y494" s="104"/>
      <c r="Z494" s="104"/>
      <c r="AA494" s="23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231"/>
      <c r="BE494" s="231"/>
      <c r="BF494" s="231"/>
      <c r="BG494" s="231"/>
      <c r="BH494" s="231"/>
      <c r="BI494" s="231"/>
      <c r="BJ494" s="231"/>
      <c r="BK494" s="224"/>
      <c r="BL494" s="224"/>
    </row>
    <row r="495" spans="1:256" hidden="1" outlineLevel="1">
      <c r="A495" s="9"/>
      <c r="B495" s="9"/>
      <c r="C495" s="44"/>
      <c r="D495" s="271" t="str">
        <f>Asset4</f>
        <v>Public lighting</v>
      </c>
      <c r="E495" s="9"/>
      <c r="F495" s="9"/>
      <c r="G495" s="204">
        <f>'Actual RAB roll forward'!G765</f>
        <v>6.9278972498934959</v>
      </c>
      <c r="H495" s="334">
        <f t="shared" si="47"/>
        <v>0.38897486718899543</v>
      </c>
      <c r="I495" s="115">
        <f t="shared" si="48"/>
        <v>0</v>
      </c>
      <c r="J495" s="115">
        <f t="shared" si="48"/>
        <v>0</v>
      </c>
      <c r="K495" s="115">
        <f t="shared" si="48"/>
        <v>0</v>
      </c>
      <c r="L495" s="115">
        <f t="shared" si="48"/>
        <v>0</v>
      </c>
      <c r="M495" s="115">
        <f>IF(COUNT($H495:L495)&gt;=Input!$Y$7,0, L495+L527+L559)</f>
        <v>0</v>
      </c>
      <c r="N495" s="115">
        <f>IF(COUNT($H495:M495)&gt;=Input!$Y$7,0, M495+M527+M559)</f>
        <v>0</v>
      </c>
      <c r="O495" s="115">
        <f>IF(COUNT($H495:N495)&gt;=Input!$Y$7,0, N495+N527+N559)</f>
        <v>0</v>
      </c>
      <c r="P495" s="115">
        <f>IF(COUNT($H495:O495)&gt;=Input!$Y$7,0, O495+O527+O559)</f>
        <v>0</v>
      </c>
      <c r="Q495" s="115">
        <f>IF(COUNT($H495:P495)&gt;=Input!$Y$7,0, P495+P527+P559)</f>
        <v>0</v>
      </c>
      <c r="R495" s="115"/>
      <c r="S495" s="104"/>
      <c r="T495" s="104"/>
      <c r="U495" s="104"/>
      <c r="V495" s="104"/>
      <c r="W495" s="104"/>
      <c r="X495" s="104"/>
      <c r="Y495" s="104"/>
      <c r="Z495" s="104"/>
      <c r="AA495" s="23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231"/>
      <c r="BE495" s="231"/>
      <c r="BF495" s="231"/>
      <c r="BG495" s="231"/>
      <c r="BH495" s="231"/>
      <c r="BI495" s="231"/>
      <c r="BJ495" s="231"/>
      <c r="BK495" s="224"/>
      <c r="BL495" s="224"/>
    </row>
    <row r="496" spans="1:256" hidden="1" outlineLevel="1">
      <c r="A496" s="9"/>
      <c r="B496" s="9"/>
      <c r="C496" s="44"/>
      <c r="D496" s="271" t="str">
        <f>Asset5</f>
        <v>SCADA/Network control</v>
      </c>
      <c r="E496" s="9"/>
      <c r="F496" s="9"/>
      <c r="G496" s="204">
        <f>'Actual RAB roll forward'!G766</f>
        <v>5.9976894044068878</v>
      </c>
      <c r="H496" s="334">
        <f t="shared" si="47"/>
        <v>1.6653345369377348E-15</v>
      </c>
      <c r="I496" s="115">
        <f t="shared" si="48"/>
        <v>1.3307440827500225</v>
      </c>
      <c r="J496" s="115">
        <f t="shared" si="48"/>
        <v>7.3256044531991531</v>
      </c>
      <c r="K496" s="115">
        <f t="shared" si="48"/>
        <v>7.9328362090936526</v>
      </c>
      <c r="L496" s="115">
        <f t="shared" si="48"/>
        <v>6.8785496287485728</v>
      </c>
      <c r="M496" s="115">
        <f>IF(COUNT($H496:L496)&gt;=Input!$Y$7,0, L496+L528+L560)</f>
        <v>0</v>
      </c>
      <c r="N496" s="115">
        <f>IF(COUNT($H496:M496)&gt;=Input!$Y$7,0, M496+M528+M560)</f>
        <v>0</v>
      </c>
      <c r="O496" s="115">
        <f>IF(COUNT($H496:N496)&gt;=Input!$Y$7,0, N496+N528+N560)</f>
        <v>0</v>
      </c>
      <c r="P496" s="115">
        <f>IF(COUNT($H496:O496)&gt;=Input!$Y$7,0, O496+O528+O560)</f>
        <v>0</v>
      </c>
      <c r="Q496" s="115">
        <f>IF(COUNT($H496:P496)&gt;=Input!$Y$7,0, P496+P528+P560)</f>
        <v>0</v>
      </c>
      <c r="R496" s="115"/>
      <c r="S496" s="104"/>
      <c r="T496" s="104"/>
      <c r="U496" s="104"/>
      <c r="V496" s="104"/>
      <c r="W496" s="104"/>
      <c r="X496" s="104"/>
      <c r="Y496" s="104"/>
      <c r="Z496" s="104"/>
      <c r="AA496" s="23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231"/>
      <c r="BE496" s="231"/>
      <c r="BF496" s="231"/>
      <c r="BG496" s="231"/>
      <c r="BH496" s="231"/>
      <c r="BI496" s="231"/>
      <c r="BJ496" s="231"/>
      <c r="BK496" s="224"/>
      <c r="BL496" s="224"/>
    </row>
    <row r="497" spans="1:64" hidden="1" outlineLevel="1">
      <c r="A497" s="9"/>
      <c r="B497" s="9"/>
      <c r="C497" s="44"/>
      <c r="D497" s="271" t="str">
        <f>Asset6</f>
        <v>Non-network general assets - IT</v>
      </c>
      <c r="E497" s="9"/>
      <c r="F497" s="9"/>
      <c r="G497" s="204">
        <f>'Actual RAB roll forward'!G767</f>
        <v>47.805445601604404</v>
      </c>
      <c r="H497" s="334">
        <f t="shared" si="47"/>
        <v>89.319417816228679</v>
      </c>
      <c r="I497" s="115">
        <f t="shared" si="48"/>
        <v>114.15739811789442</v>
      </c>
      <c r="J497" s="115">
        <f t="shared" si="48"/>
        <v>128.48028010642349</v>
      </c>
      <c r="K497" s="115">
        <f t="shared" si="48"/>
        <v>135.38391359049615</v>
      </c>
      <c r="L497" s="115">
        <f t="shared" si="48"/>
        <v>128.44507791683236</v>
      </c>
      <c r="M497" s="115">
        <f>IF(COUNT($H497:L497)&gt;=Input!$Y$7,0, L497+L529+L561)</f>
        <v>0</v>
      </c>
      <c r="N497" s="115">
        <f>IF(COUNT($H497:M497)&gt;=Input!$Y$7,0, M497+M529+M561)</f>
        <v>0</v>
      </c>
      <c r="O497" s="115">
        <f>IF(COUNT($H497:N497)&gt;=Input!$Y$7,0, N497+N529+N561)</f>
        <v>0</v>
      </c>
      <c r="P497" s="115">
        <f>IF(COUNT($H497:O497)&gt;=Input!$Y$7,0, O497+O529+O561)</f>
        <v>0</v>
      </c>
      <c r="Q497" s="115">
        <f>IF(COUNT($H497:P497)&gt;=Input!$Y$7,0, P497+P529+P561)</f>
        <v>0</v>
      </c>
      <c r="R497" s="115"/>
      <c r="S497" s="104"/>
      <c r="T497" s="104"/>
      <c r="U497" s="104"/>
      <c r="V497" s="104"/>
      <c r="W497" s="104"/>
      <c r="X497" s="104"/>
      <c r="Y497" s="104"/>
      <c r="Z497" s="104"/>
      <c r="AA497" s="23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231"/>
      <c r="BE497" s="231"/>
      <c r="BF497" s="231"/>
      <c r="BG497" s="231"/>
      <c r="BH497" s="231"/>
      <c r="BI497" s="231"/>
      <c r="BJ497" s="231"/>
      <c r="BK497" s="224"/>
      <c r="BL497" s="224"/>
    </row>
    <row r="498" spans="1:64" hidden="1" outlineLevel="1">
      <c r="A498" s="9"/>
      <c r="B498" s="9"/>
      <c r="C498" s="44"/>
      <c r="D498" s="271" t="str">
        <f>Asset7</f>
        <v>Non-network general assets - Other</v>
      </c>
      <c r="E498" s="9"/>
      <c r="F498" s="9"/>
      <c r="G498" s="204">
        <f>'Actual RAB roll forward'!G768</f>
        <v>23.676070284710153</v>
      </c>
      <c r="H498" s="334">
        <f t="shared" si="47"/>
        <v>34.275644401485252</v>
      </c>
      <c r="I498" s="115">
        <f t="shared" si="48"/>
        <v>5.1531960739867984</v>
      </c>
      <c r="J498" s="115">
        <f t="shared" si="48"/>
        <v>8.1542335939644737</v>
      </c>
      <c r="K498" s="115">
        <f t="shared" si="48"/>
        <v>12.17382864237941</v>
      </c>
      <c r="L498" s="115">
        <f t="shared" si="48"/>
        <v>13.956729909764542</v>
      </c>
      <c r="M498" s="115">
        <f>IF(COUNT($H498:L498)&gt;=Input!$Y$7,0, L498+L530+L562)</f>
        <v>0</v>
      </c>
      <c r="N498" s="115">
        <f>IF(COUNT($H498:M498)&gt;=Input!$Y$7,0, M498+M530+M562)</f>
        <v>0</v>
      </c>
      <c r="O498" s="115">
        <f>IF(COUNT($H498:N498)&gt;=Input!$Y$7,0, N498+N530+N562)</f>
        <v>0</v>
      </c>
      <c r="P498" s="115">
        <f>IF(COUNT($H498:O498)&gt;=Input!$Y$7,0, O498+O530+O562)</f>
        <v>0</v>
      </c>
      <c r="Q498" s="115">
        <f>IF(COUNT($H498:P498)&gt;=Input!$Y$7,0, P498+P530+P562)</f>
        <v>0</v>
      </c>
      <c r="R498" s="115"/>
      <c r="S498" s="104"/>
      <c r="T498" s="104"/>
      <c r="U498" s="104"/>
      <c r="V498" s="104"/>
      <c r="W498" s="104"/>
      <c r="X498" s="104"/>
      <c r="Y498" s="104"/>
      <c r="Z498" s="104"/>
      <c r="AA498" s="23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231"/>
      <c r="BE498" s="231"/>
      <c r="BF498" s="231"/>
      <c r="BG498" s="231"/>
      <c r="BH498" s="231"/>
      <c r="BI498" s="231"/>
      <c r="BJ498" s="231"/>
      <c r="BK498" s="224"/>
      <c r="BL498" s="224"/>
    </row>
    <row r="499" spans="1:64" hidden="1" outlineLevel="1">
      <c r="A499" s="9"/>
      <c r="B499" s="9"/>
      <c r="C499" s="44"/>
      <c r="D499" s="271" t="str">
        <f>Asset8</f>
        <v>Equity Raising Costs</v>
      </c>
      <c r="E499" s="9"/>
      <c r="F499" s="9"/>
      <c r="G499" s="204">
        <f>'Actual RAB roll forward'!G769</f>
        <v>0</v>
      </c>
      <c r="H499" s="334">
        <f t="shared" si="47"/>
        <v>0</v>
      </c>
      <c r="I499" s="115">
        <f t="shared" si="48"/>
        <v>1.5553441667922454</v>
      </c>
      <c r="J499" s="115">
        <f t="shared" si="48"/>
        <v>1.5754463655724007</v>
      </c>
      <c r="K499" s="115">
        <f t="shared" si="48"/>
        <v>1.5716796789597247</v>
      </c>
      <c r="L499" s="115">
        <f t="shared" si="48"/>
        <v>1.5695427875524555</v>
      </c>
      <c r="M499" s="115">
        <f>IF(COUNT($H499:L499)&gt;=Input!$Y$7,0, L499+L531+L563)</f>
        <v>0</v>
      </c>
      <c r="N499" s="115">
        <f>IF(COUNT($H499:M499)&gt;=Input!$Y$7,0, M499+M531+M563)</f>
        <v>0</v>
      </c>
      <c r="O499" s="115">
        <f>IF(COUNT($H499:N499)&gt;=Input!$Y$7,0, N499+N531+N563)</f>
        <v>0</v>
      </c>
      <c r="P499" s="115">
        <f>IF(COUNT($H499:O499)&gt;=Input!$Y$7,0, O499+O531+O563)</f>
        <v>0</v>
      </c>
      <c r="Q499" s="115">
        <f>IF(COUNT($H499:P499)&gt;=Input!$Y$7,0, P499+P531+P563)</f>
        <v>0</v>
      </c>
      <c r="R499" s="115"/>
      <c r="S499" s="104"/>
      <c r="T499" s="104"/>
      <c r="U499" s="104"/>
      <c r="V499" s="104"/>
      <c r="W499" s="104"/>
      <c r="X499" s="104"/>
      <c r="Y499" s="104"/>
      <c r="Z499" s="104"/>
      <c r="AA499" s="23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231"/>
      <c r="BE499" s="231"/>
      <c r="BF499" s="231"/>
      <c r="BG499" s="231"/>
      <c r="BH499" s="231"/>
      <c r="BI499" s="231"/>
      <c r="BJ499" s="231"/>
      <c r="BK499" s="224"/>
      <c r="BL499" s="224"/>
    </row>
    <row r="500" spans="1:64" hidden="1" outlineLevel="1">
      <c r="A500" s="9"/>
      <c r="B500" s="9"/>
      <c r="C500" s="44"/>
      <c r="D500" s="271">
        <f>Asset9</f>
        <v>0</v>
      </c>
      <c r="E500" s="9"/>
      <c r="F500" s="9"/>
      <c r="G500" s="204">
        <f>'Actual RAB roll forward'!G770</f>
        <v>0</v>
      </c>
      <c r="H500" s="334">
        <f t="shared" si="47"/>
        <v>0</v>
      </c>
      <c r="I500" s="115">
        <f t="shared" si="48"/>
        <v>0</v>
      </c>
      <c r="J500" s="115">
        <f t="shared" si="48"/>
        <v>0</v>
      </c>
      <c r="K500" s="115">
        <f t="shared" si="48"/>
        <v>0</v>
      </c>
      <c r="L500" s="115">
        <f t="shared" si="48"/>
        <v>0</v>
      </c>
      <c r="M500" s="115">
        <f>IF(COUNT($H500:L500)&gt;=Input!$Y$7,0, L500+L532+L564)</f>
        <v>0</v>
      </c>
      <c r="N500" s="115">
        <f>IF(COUNT($H500:M500)&gt;=Input!$Y$7,0, M500+M532+M564)</f>
        <v>0</v>
      </c>
      <c r="O500" s="115">
        <f>IF(COUNT($H500:N500)&gt;=Input!$Y$7,0, N500+N532+N564)</f>
        <v>0</v>
      </c>
      <c r="P500" s="115">
        <f>IF(COUNT($H500:O500)&gt;=Input!$Y$7,0, O500+O532+O564)</f>
        <v>0</v>
      </c>
      <c r="Q500" s="115">
        <f>IF(COUNT($H500:P500)&gt;=Input!$Y$7,0, P500+P532+P564)</f>
        <v>0</v>
      </c>
      <c r="R500" s="115"/>
      <c r="S500" s="104"/>
      <c r="T500" s="104"/>
      <c r="U500" s="104"/>
      <c r="V500" s="104"/>
      <c r="W500" s="104"/>
      <c r="X500" s="104"/>
      <c r="Y500" s="104"/>
      <c r="Z500" s="104"/>
      <c r="AA500" s="23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231"/>
      <c r="BE500" s="231"/>
      <c r="BF500" s="231"/>
      <c r="BG500" s="231"/>
      <c r="BH500" s="231"/>
      <c r="BI500" s="231"/>
      <c r="BJ500" s="231"/>
      <c r="BK500" s="224"/>
      <c r="BL500" s="224"/>
    </row>
    <row r="501" spans="1:64" hidden="1" outlineLevel="1">
      <c r="A501" s="9"/>
      <c r="B501" s="9"/>
      <c r="C501" s="44"/>
      <c r="D501" s="271">
        <f>Asset10</f>
        <v>0</v>
      </c>
      <c r="E501" s="9"/>
      <c r="F501" s="9"/>
      <c r="G501" s="204">
        <f>'Actual RAB roll forward'!G771</f>
        <v>0</v>
      </c>
      <c r="H501" s="334">
        <f t="shared" si="47"/>
        <v>0</v>
      </c>
      <c r="I501" s="115">
        <f t="shared" si="48"/>
        <v>0</v>
      </c>
      <c r="J501" s="115">
        <f t="shared" si="48"/>
        <v>0</v>
      </c>
      <c r="K501" s="115">
        <f t="shared" si="48"/>
        <v>0</v>
      </c>
      <c r="L501" s="115">
        <f t="shared" si="48"/>
        <v>0</v>
      </c>
      <c r="M501" s="115">
        <f>IF(COUNT($H501:L501)&gt;=Input!$Y$7,0, L501+L533+L565)</f>
        <v>0</v>
      </c>
      <c r="N501" s="115">
        <f>IF(COUNT($H501:M501)&gt;=Input!$Y$7,0, M501+M533+M565)</f>
        <v>0</v>
      </c>
      <c r="O501" s="115">
        <f>IF(COUNT($H501:N501)&gt;=Input!$Y$7,0, N501+N533+N565)</f>
        <v>0</v>
      </c>
      <c r="P501" s="115">
        <f>IF(COUNT($H501:O501)&gt;=Input!$Y$7,0, O501+O533+O565)</f>
        <v>0</v>
      </c>
      <c r="Q501" s="115">
        <f>IF(COUNT($H501:P501)&gt;=Input!$Y$7,0, P501+P533+P565)</f>
        <v>0</v>
      </c>
      <c r="R501" s="115"/>
      <c r="S501" s="104"/>
      <c r="T501" s="104"/>
      <c r="U501" s="104"/>
      <c r="V501" s="104"/>
      <c r="W501" s="104"/>
      <c r="X501" s="104"/>
      <c r="Y501" s="104"/>
      <c r="Z501" s="104"/>
      <c r="AA501" s="23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231"/>
      <c r="BE501" s="231"/>
      <c r="BF501" s="231"/>
      <c r="BG501" s="231"/>
      <c r="BH501" s="231"/>
      <c r="BI501" s="231"/>
      <c r="BJ501" s="231"/>
      <c r="BK501" s="224"/>
      <c r="BL501" s="224"/>
    </row>
    <row r="502" spans="1:64" hidden="1" outlineLevel="1">
      <c r="A502" s="9"/>
      <c r="B502" s="9"/>
      <c r="C502" s="44"/>
      <c r="D502" s="271">
        <f>Asset11</f>
        <v>0</v>
      </c>
      <c r="E502" s="9"/>
      <c r="F502" s="9"/>
      <c r="G502" s="204">
        <f>'Actual RAB roll forward'!G772</f>
        <v>0</v>
      </c>
      <c r="H502" s="334">
        <f t="shared" si="47"/>
        <v>0</v>
      </c>
      <c r="I502" s="115">
        <f t="shared" si="48"/>
        <v>0</v>
      </c>
      <c r="J502" s="115">
        <f t="shared" si="48"/>
        <v>0</v>
      </c>
      <c r="K502" s="115">
        <f t="shared" si="48"/>
        <v>0</v>
      </c>
      <c r="L502" s="115">
        <f t="shared" si="48"/>
        <v>0</v>
      </c>
      <c r="M502" s="115">
        <f>IF(COUNT($H502:L502)&gt;=Input!$Y$7,0, L502+L534+L566)</f>
        <v>0</v>
      </c>
      <c r="N502" s="115">
        <f>IF(COUNT($H502:M502)&gt;=Input!$Y$7,0, M502+M534+M566)</f>
        <v>0</v>
      </c>
      <c r="O502" s="115">
        <f>IF(COUNT($H502:N502)&gt;=Input!$Y$7,0, N502+N534+N566)</f>
        <v>0</v>
      </c>
      <c r="P502" s="115">
        <f>IF(COUNT($H502:O502)&gt;=Input!$Y$7,0, O502+O534+O566)</f>
        <v>0</v>
      </c>
      <c r="Q502" s="115">
        <f>IF(COUNT($H502:P502)&gt;=Input!$Y$7,0, P502+P534+P566)</f>
        <v>0</v>
      </c>
      <c r="R502" s="115"/>
      <c r="S502" s="104"/>
      <c r="T502" s="104"/>
      <c r="U502" s="104"/>
      <c r="V502" s="104"/>
      <c r="W502" s="104"/>
      <c r="X502" s="104"/>
      <c r="Y502" s="104"/>
      <c r="Z502" s="104"/>
      <c r="AA502" s="23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231"/>
      <c r="BE502" s="231"/>
      <c r="BF502" s="231"/>
      <c r="BG502" s="231"/>
      <c r="BH502" s="231"/>
      <c r="BI502" s="231"/>
      <c r="BJ502" s="231"/>
      <c r="BK502" s="224"/>
      <c r="BL502" s="224"/>
    </row>
    <row r="503" spans="1:64" hidden="1" outlineLevel="1">
      <c r="A503" s="9"/>
      <c r="B503" s="9"/>
      <c r="C503" s="44"/>
      <c r="D503" s="271">
        <f>Asset12</f>
        <v>0</v>
      </c>
      <c r="E503" s="9"/>
      <c r="F503" s="9"/>
      <c r="G503" s="204">
        <f>'Actual RAB roll forward'!G773</f>
        <v>0</v>
      </c>
      <c r="H503" s="334">
        <f t="shared" si="47"/>
        <v>0</v>
      </c>
      <c r="I503" s="115">
        <f t="shared" si="48"/>
        <v>0</v>
      </c>
      <c r="J503" s="115">
        <f t="shared" si="48"/>
        <v>0</v>
      </c>
      <c r="K503" s="115">
        <f t="shared" si="48"/>
        <v>0</v>
      </c>
      <c r="L503" s="115">
        <f t="shared" si="48"/>
        <v>0</v>
      </c>
      <c r="M503" s="115">
        <f>IF(COUNT($H503:L503)&gt;=Input!$Y$7,0, L503+L535+L567)</f>
        <v>0</v>
      </c>
      <c r="N503" s="115">
        <f>IF(COUNT($H503:M503)&gt;=Input!$Y$7,0, M503+M535+M567)</f>
        <v>0</v>
      </c>
      <c r="O503" s="115">
        <f>IF(COUNT($H503:N503)&gt;=Input!$Y$7,0, N503+N535+N567)</f>
        <v>0</v>
      </c>
      <c r="P503" s="115">
        <f>IF(COUNT($H503:O503)&gt;=Input!$Y$7,0, O503+O535+O567)</f>
        <v>0</v>
      </c>
      <c r="Q503" s="115">
        <f>IF(COUNT($H503:P503)&gt;=Input!$Y$7,0, P503+P535+P567)</f>
        <v>0</v>
      </c>
      <c r="R503" s="115"/>
      <c r="S503" s="104"/>
      <c r="T503" s="104"/>
      <c r="U503" s="104"/>
      <c r="V503" s="104"/>
      <c r="W503" s="104"/>
      <c r="X503" s="104"/>
      <c r="Y503" s="104"/>
      <c r="Z503" s="104"/>
      <c r="AA503" s="23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231"/>
      <c r="BE503" s="231"/>
      <c r="BF503" s="231"/>
      <c r="BG503" s="231"/>
      <c r="BH503" s="231"/>
      <c r="BI503" s="231"/>
      <c r="BJ503" s="231"/>
      <c r="BK503" s="224"/>
      <c r="BL503" s="224"/>
    </row>
    <row r="504" spans="1:64" hidden="1" outlineLevel="1">
      <c r="A504" s="9"/>
      <c r="B504" s="9"/>
      <c r="C504" s="44"/>
      <c r="D504" s="271">
        <f>Asset13</f>
        <v>0</v>
      </c>
      <c r="E504" s="9"/>
      <c r="F504" s="9"/>
      <c r="G504" s="204">
        <f>'Actual RAB roll forward'!G774</f>
        <v>0</v>
      </c>
      <c r="H504" s="334">
        <f t="shared" si="47"/>
        <v>0</v>
      </c>
      <c r="I504" s="115">
        <f t="shared" si="48"/>
        <v>0</v>
      </c>
      <c r="J504" s="115">
        <f t="shared" si="48"/>
        <v>0</v>
      </c>
      <c r="K504" s="115">
        <f t="shared" si="48"/>
        <v>0</v>
      </c>
      <c r="L504" s="115">
        <f t="shared" si="48"/>
        <v>0</v>
      </c>
      <c r="M504" s="115">
        <f>IF(COUNT($H504:L504)&gt;=Input!$Y$7,0, L504+L536+L568)</f>
        <v>0</v>
      </c>
      <c r="N504" s="115">
        <f>IF(COUNT($H504:M504)&gt;=Input!$Y$7,0, M504+M536+M568)</f>
        <v>0</v>
      </c>
      <c r="O504" s="115">
        <f>IF(COUNT($H504:N504)&gt;=Input!$Y$7,0, N504+N536+N568)</f>
        <v>0</v>
      </c>
      <c r="P504" s="115">
        <f>IF(COUNT($H504:O504)&gt;=Input!$Y$7,0, O504+O536+O568)</f>
        <v>0</v>
      </c>
      <c r="Q504" s="115">
        <f>IF(COUNT($H504:P504)&gt;=Input!$Y$7,0, P504+P536+P568)</f>
        <v>0</v>
      </c>
      <c r="R504" s="115"/>
      <c r="S504" s="104"/>
      <c r="T504" s="104"/>
      <c r="U504" s="104"/>
      <c r="V504" s="104"/>
      <c r="W504" s="104"/>
      <c r="X504" s="104"/>
      <c r="Y504" s="104"/>
      <c r="Z504" s="104"/>
      <c r="AA504" s="23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231"/>
      <c r="BE504" s="231"/>
      <c r="BF504" s="231"/>
      <c r="BG504" s="231"/>
      <c r="BH504" s="231"/>
      <c r="BI504" s="231"/>
      <c r="BJ504" s="231"/>
      <c r="BK504" s="224"/>
      <c r="BL504" s="224"/>
    </row>
    <row r="505" spans="1:64" hidden="1" outlineLevel="1">
      <c r="A505" s="9"/>
      <c r="B505" s="9"/>
      <c r="C505" s="44"/>
      <c r="D505" s="271">
        <f>Asset14</f>
        <v>0</v>
      </c>
      <c r="E505" s="9"/>
      <c r="F505" s="9"/>
      <c r="G505" s="204">
        <f>'Actual RAB roll forward'!G775</f>
        <v>0</v>
      </c>
      <c r="H505" s="334">
        <f t="shared" si="47"/>
        <v>0</v>
      </c>
      <c r="I505" s="115">
        <f t="shared" si="48"/>
        <v>0</v>
      </c>
      <c r="J505" s="115">
        <f t="shared" si="48"/>
        <v>0</v>
      </c>
      <c r="K505" s="115">
        <f t="shared" si="48"/>
        <v>0</v>
      </c>
      <c r="L505" s="115">
        <f t="shared" si="48"/>
        <v>0</v>
      </c>
      <c r="M505" s="115">
        <f>IF(COUNT($H505:L505)&gt;=Input!$Y$7,0, L505+L537+L569)</f>
        <v>0</v>
      </c>
      <c r="N505" s="115">
        <f>IF(COUNT($H505:M505)&gt;=Input!$Y$7,0, M505+M537+M569)</f>
        <v>0</v>
      </c>
      <c r="O505" s="115">
        <f>IF(COUNT($H505:N505)&gt;=Input!$Y$7,0, N505+N537+N569)</f>
        <v>0</v>
      </c>
      <c r="P505" s="115">
        <f>IF(COUNT($H505:O505)&gt;=Input!$Y$7,0, O505+O537+O569)</f>
        <v>0</v>
      </c>
      <c r="Q505" s="115">
        <f>IF(COUNT($H505:P505)&gt;=Input!$Y$7,0, P505+P537+P569)</f>
        <v>0</v>
      </c>
      <c r="R505" s="115"/>
      <c r="S505" s="104"/>
      <c r="T505" s="104"/>
      <c r="U505" s="104"/>
      <c r="V505" s="104"/>
      <c r="W505" s="104"/>
      <c r="X505" s="104"/>
      <c r="Y505" s="104"/>
      <c r="Z505" s="104"/>
      <c r="AA505" s="23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231"/>
      <c r="BE505" s="231"/>
      <c r="BF505" s="231"/>
      <c r="BG505" s="231"/>
      <c r="BH505" s="231"/>
      <c r="BI505" s="231"/>
      <c r="BJ505" s="231"/>
      <c r="BK505" s="224"/>
      <c r="BL505" s="224"/>
    </row>
    <row r="506" spans="1:64" hidden="1" outlineLevel="1">
      <c r="A506" s="9"/>
      <c r="B506" s="9"/>
      <c r="C506" s="44"/>
      <c r="D506" s="271">
        <f>Asset15</f>
        <v>0</v>
      </c>
      <c r="E506" s="9"/>
      <c r="F506" s="9"/>
      <c r="G506" s="204">
        <f>'Actual RAB roll forward'!G776</f>
        <v>0</v>
      </c>
      <c r="H506" s="115">
        <f t="shared" ref="H506:H511" si="49">G506+G538+G570+G602+G634</f>
        <v>0</v>
      </c>
      <c r="I506" s="115">
        <f t="shared" si="48"/>
        <v>0</v>
      </c>
      <c r="J506" s="115">
        <f t="shared" si="48"/>
        <v>0</v>
      </c>
      <c r="K506" s="115">
        <f t="shared" si="48"/>
        <v>0</v>
      </c>
      <c r="L506" s="115">
        <f t="shared" si="48"/>
        <v>0</v>
      </c>
      <c r="M506" s="115">
        <f>IF(COUNT($H506:L506)&gt;=Input!$Y$7,0, L506+L538+L570)</f>
        <v>0</v>
      </c>
      <c r="N506" s="115">
        <f>IF(COUNT($H506:M506)&gt;=Input!$Y$7,0, M506+M538+M570)</f>
        <v>0</v>
      </c>
      <c r="O506" s="115">
        <f>IF(COUNT($H506:N506)&gt;=Input!$Y$7,0, N506+N538+N570)</f>
        <v>0</v>
      </c>
      <c r="P506" s="115">
        <f>IF(COUNT($H506:O506)&gt;=Input!$Y$7,0, O506+O538+O570)</f>
        <v>0</v>
      </c>
      <c r="Q506" s="115">
        <f>IF(COUNT($H506:P506)&gt;=Input!$Y$7,0, P506+P538+P570)</f>
        <v>0</v>
      </c>
      <c r="R506" s="115"/>
      <c r="S506" s="104"/>
      <c r="T506" s="104"/>
      <c r="U506" s="104"/>
      <c r="V506" s="104"/>
      <c r="W506" s="104"/>
      <c r="X506" s="104"/>
      <c r="Y506" s="104"/>
      <c r="Z506" s="104"/>
      <c r="AA506" s="23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231"/>
      <c r="BE506" s="231"/>
      <c r="BF506" s="231"/>
      <c r="BG506" s="231"/>
      <c r="BH506" s="231"/>
      <c r="BI506" s="231"/>
      <c r="BJ506" s="231"/>
      <c r="BK506" s="224"/>
      <c r="BL506" s="224"/>
    </row>
    <row r="507" spans="1:64" hidden="1" outlineLevel="1">
      <c r="A507" s="9"/>
      <c r="B507" s="9"/>
      <c r="C507" s="44"/>
      <c r="D507" s="271">
        <f>Asset16</f>
        <v>0</v>
      </c>
      <c r="E507" s="9"/>
      <c r="F507" s="9"/>
      <c r="G507" s="204">
        <f>'Actual RAB roll forward'!G777</f>
        <v>0</v>
      </c>
      <c r="H507" s="115">
        <f t="shared" si="49"/>
        <v>0</v>
      </c>
      <c r="I507" s="115">
        <f t="shared" si="48"/>
        <v>0</v>
      </c>
      <c r="J507" s="115">
        <f t="shared" si="48"/>
        <v>0</v>
      </c>
      <c r="K507" s="115">
        <f t="shared" si="48"/>
        <v>0</v>
      </c>
      <c r="L507" s="115">
        <f t="shared" si="48"/>
        <v>0</v>
      </c>
      <c r="M507" s="115">
        <f>IF(COUNT($H507:L507)&gt;=Input!$Y$7,0, L507+L539+L571)</f>
        <v>0</v>
      </c>
      <c r="N507" s="115">
        <f>IF(COUNT($H507:M507)&gt;=Input!$Y$7,0, M507+M539+M571)</f>
        <v>0</v>
      </c>
      <c r="O507" s="115">
        <f>IF(COUNT($H507:N507)&gt;=Input!$Y$7,0, N507+N539+N571)</f>
        <v>0</v>
      </c>
      <c r="P507" s="115">
        <f>IF(COUNT($H507:O507)&gt;=Input!$Y$7,0, O507+O539+O571)</f>
        <v>0</v>
      </c>
      <c r="Q507" s="115">
        <f>IF(COUNT($H507:P507)&gt;=Input!$Y$7,0, P507+P539+P571)</f>
        <v>0</v>
      </c>
      <c r="R507" s="115"/>
      <c r="S507" s="104"/>
      <c r="T507" s="104"/>
      <c r="U507" s="104"/>
      <c r="V507" s="104"/>
      <c r="W507" s="104"/>
      <c r="X507" s="104"/>
      <c r="Y507" s="104"/>
      <c r="Z507" s="104"/>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231"/>
      <c r="BE507" s="231"/>
      <c r="BF507" s="231"/>
      <c r="BG507" s="231"/>
      <c r="BH507" s="231"/>
      <c r="BI507" s="231"/>
      <c r="BJ507" s="231"/>
      <c r="BK507" s="224"/>
      <c r="BL507" s="224"/>
    </row>
    <row r="508" spans="1:64" hidden="1" outlineLevel="1">
      <c r="A508" s="9"/>
      <c r="B508" s="9"/>
      <c r="C508" s="44"/>
      <c r="D508" s="271">
        <f>Asset17</f>
        <v>0</v>
      </c>
      <c r="E508" s="9"/>
      <c r="F508" s="9"/>
      <c r="G508" s="204">
        <f>'Actual RAB roll forward'!G778</f>
        <v>0</v>
      </c>
      <c r="H508" s="115">
        <f t="shared" si="49"/>
        <v>0</v>
      </c>
      <c r="I508" s="115">
        <f t="shared" si="48"/>
        <v>0</v>
      </c>
      <c r="J508" s="115">
        <f t="shared" si="48"/>
        <v>0</v>
      </c>
      <c r="K508" s="115">
        <f t="shared" si="48"/>
        <v>0</v>
      </c>
      <c r="L508" s="115">
        <f t="shared" si="48"/>
        <v>0</v>
      </c>
      <c r="M508" s="115">
        <f>IF(COUNT($H508:L508)&gt;=Input!$Y$7,0, L508+L540+L572)</f>
        <v>0</v>
      </c>
      <c r="N508" s="115">
        <f>IF(COUNT($H508:M508)&gt;=Input!$Y$7,0, M508+M540+M572)</f>
        <v>0</v>
      </c>
      <c r="O508" s="115">
        <f>IF(COUNT($H508:N508)&gt;=Input!$Y$7,0, N508+N540+N572)</f>
        <v>0</v>
      </c>
      <c r="P508" s="115">
        <f>IF(COUNT($H508:O508)&gt;=Input!$Y$7,0, O508+O540+O572)</f>
        <v>0</v>
      </c>
      <c r="Q508" s="115">
        <f>IF(COUNT($H508:P508)&gt;=Input!$Y$7,0, P508+P540+P572)</f>
        <v>0</v>
      </c>
      <c r="R508" s="115"/>
      <c r="S508" s="104"/>
      <c r="T508" s="104"/>
      <c r="U508" s="104"/>
      <c r="V508" s="104"/>
      <c r="W508" s="104"/>
      <c r="X508" s="104"/>
      <c r="Y508" s="104"/>
      <c r="Z508" s="104"/>
      <c r="AA508" s="23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231"/>
      <c r="BE508" s="231"/>
      <c r="BF508" s="231"/>
      <c r="BG508" s="231"/>
      <c r="BH508" s="231"/>
      <c r="BI508" s="231"/>
      <c r="BJ508" s="231"/>
      <c r="BK508" s="224"/>
      <c r="BL508" s="224"/>
    </row>
    <row r="509" spans="1:64" hidden="1" outlineLevel="1">
      <c r="A509" s="9"/>
      <c r="B509" s="9"/>
      <c r="C509" s="44"/>
      <c r="D509" s="271">
        <f>Asset18</f>
        <v>0</v>
      </c>
      <c r="E509" s="9"/>
      <c r="F509" s="9"/>
      <c r="G509" s="204">
        <f>'Actual RAB roll forward'!G779</f>
        <v>0</v>
      </c>
      <c r="H509" s="115">
        <f t="shared" si="49"/>
        <v>0</v>
      </c>
      <c r="I509" s="115">
        <f t="shared" si="48"/>
        <v>0</v>
      </c>
      <c r="J509" s="115">
        <f t="shared" si="48"/>
        <v>0</v>
      </c>
      <c r="K509" s="115">
        <f t="shared" si="48"/>
        <v>0</v>
      </c>
      <c r="L509" s="115">
        <f t="shared" si="48"/>
        <v>0</v>
      </c>
      <c r="M509" s="115">
        <f>IF(COUNT($H509:L509)&gt;=Input!$Y$7,0, L509+L541+L573)</f>
        <v>0</v>
      </c>
      <c r="N509" s="115">
        <f>IF(COUNT($H509:M509)&gt;=Input!$Y$7,0, M509+M541+M573)</f>
        <v>0</v>
      </c>
      <c r="O509" s="115">
        <f>IF(COUNT($H509:N509)&gt;=Input!$Y$7,0, N509+N541+N573)</f>
        <v>0</v>
      </c>
      <c r="P509" s="115">
        <f>IF(COUNT($H509:O509)&gt;=Input!$Y$7,0, O509+O541+O573)</f>
        <v>0</v>
      </c>
      <c r="Q509" s="115">
        <f>IF(COUNT($H509:P509)&gt;=Input!$Y$7,0, P509+P541+P573)</f>
        <v>0</v>
      </c>
      <c r="R509" s="115"/>
      <c r="S509" s="104"/>
      <c r="T509" s="104"/>
      <c r="U509" s="104"/>
      <c r="V509" s="104"/>
      <c r="W509" s="104"/>
      <c r="X509" s="104"/>
      <c r="Y509" s="104"/>
      <c r="Z509" s="104"/>
      <c r="AA509" s="23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231"/>
      <c r="BE509" s="231"/>
      <c r="BF509" s="231"/>
      <c r="BG509" s="231"/>
      <c r="BH509" s="231"/>
      <c r="BI509" s="231"/>
      <c r="BJ509" s="231"/>
      <c r="BK509" s="224"/>
      <c r="BL509" s="224"/>
    </row>
    <row r="510" spans="1:64" hidden="1" outlineLevel="1">
      <c r="A510" s="9"/>
      <c r="B510" s="9"/>
      <c r="C510" s="44"/>
      <c r="D510" s="271">
        <f>Asset19</f>
        <v>0</v>
      </c>
      <c r="E510" s="9"/>
      <c r="F510" s="9"/>
      <c r="G510" s="204">
        <f>'Actual RAB roll forward'!G780</f>
        <v>0</v>
      </c>
      <c r="H510" s="115">
        <f t="shared" si="49"/>
        <v>0</v>
      </c>
      <c r="I510" s="115">
        <f t="shared" si="48"/>
        <v>0</v>
      </c>
      <c r="J510" s="115">
        <f t="shared" si="48"/>
        <v>0</v>
      </c>
      <c r="K510" s="115">
        <f t="shared" si="48"/>
        <v>0</v>
      </c>
      <c r="L510" s="115">
        <f t="shared" si="48"/>
        <v>0</v>
      </c>
      <c r="M510" s="115">
        <f>IF(COUNT($H510:L510)&gt;=Input!$Y$7,0, L510+L542+L574)</f>
        <v>0</v>
      </c>
      <c r="N510" s="115">
        <f>IF(COUNT($H510:M510)&gt;=Input!$Y$7,0, M510+M542+M574)</f>
        <v>0</v>
      </c>
      <c r="O510" s="115">
        <f>IF(COUNT($H510:N510)&gt;=Input!$Y$7,0, N510+N542+N574)</f>
        <v>0</v>
      </c>
      <c r="P510" s="115">
        <f>IF(COUNT($H510:O510)&gt;=Input!$Y$7,0, O510+O542+O574)</f>
        <v>0</v>
      </c>
      <c r="Q510" s="115">
        <f>IF(COUNT($H510:P510)&gt;=Input!$Y$7,0, P510+P542+P574)</f>
        <v>0</v>
      </c>
      <c r="R510" s="115"/>
      <c r="S510" s="104"/>
      <c r="T510" s="104"/>
      <c r="U510" s="104"/>
      <c r="V510" s="104"/>
      <c r="W510" s="104"/>
      <c r="X510" s="104"/>
      <c r="Y510" s="104"/>
      <c r="Z510" s="104"/>
      <c r="AA510" s="23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231"/>
      <c r="BE510" s="231"/>
      <c r="BF510" s="231"/>
      <c r="BG510" s="231"/>
      <c r="BH510" s="231"/>
      <c r="BI510" s="231"/>
      <c r="BJ510" s="231"/>
      <c r="BK510" s="224"/>
      <c r="BL510" s="224"/>
    </row>
    <row r="511" spans="1:64" hidden="1" outlineLevel="1">
      <c r="A511" s="9"/>
      <c r="B511" s="9"/>
      <c r="C511" s="44"/>
      <c r="D511" s="271">
        <f>Asset20</f>
        <v>0</v>
      </c>
      <c r="E511" s="9"/>
      <c r="F511" s="9"/>
      <c r="G511" s="204">
        <f>'Actual RAB roll forward'!G781</f>
        <v>0</v>
      </c>
      <c r="H511" s="115">
        <f t="shared" si="49"/>
        <v>0</v>
      </c>
      <c r="I511" s="115">
        <f t="shared" si="48"/>
        <v>0</v>
      </c>
      <c r="J511" s="115">
        <f t="shared" si="48"/>
        <v>0</v>
      </c>
      <c r="K511" s="115">
        <f t="shared" si="48"/>
        <v>0</v>
      </c>
      <c r="L511" s="115">
        <f t="shared" si="48"/>
        <v>0</v>
      </c>
      <c r="M511" s="115">
        <f>IF(COUNT($H511:L511)&gt;=Input!$Y$7,0, L511+L543+L575)</f>
        <v>0</v>
      </c>
      <c r="N511" s="115">
        <f>IF(COUNT($H511:M511)&gt;=Input!$Y$7,0, M511+M543+M575)</f>
        <v>0</v>
      </c>
      <c r="O511" s="115">
        <f>IF(COUNT($H511:N511)&gt;=Input!$Y$7,0, N511+N543+N575)</f>
        <v>0</v>
      </c>
      <c r="P511" s="115">
        <f>IF(COUNT($H511:O511)&gt;=Input!$Y$7,0, O511+O543+O575)</f>
        <v>0</v>
      </c>
      <c r="Q511" s="115">
        <f>IF(COUNT($H511:P511)&gt;=Input!$Y$7,0, P511+P543+P575)</f>
        <v>0</v>
      </c>
      <c r="R511" s="115"/>
      <c r="S511" s="104"/>
      <c r="T511" s="104"/>
      <c r="U511" s="104"/>
      <c r="V511" s="104"/>
      <c r="W511" s="104"/>
      <c r="X511" s="104"/>
      <c r="Y511" s="104"/>
      <c r="Z511" s="104"/>
      <c r="AA511" s="23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231"/>
      <c r="BE511" s="231"/>
      <c r="BF511" s="231"/>
      <c r="BG511" s="231"/>
      <c r="BH511" s="231"/>
      <c r="BI511" s="231"/>
      <c r="BJ511" s="231"/>
      <c r="BK511" s="224"/>
      <c r="BL511" s="224"/>
    </row>
    <row r="512" spans="1:64" hidden="1" outlineLevel="1">
      <c r="A512" s="9"/>
      <c r="B512" s="9"/>
      <c r="C512" s="44"/>
      <c r="D512" s="271">
        <f>Asset21</f>
        <v>0</v>
      </c>
      <c r="E512" s="9"/>
      <c r="F512" s="9"/>
      <c r="G512" s="204">
        <f>'Actual RAB roll forward'!G782</f>
        <v>0</v>
      </c>
      <c r="H512" s="115">
        <f t="shared" ref="H512:H520" si="50">G512+G544+G576+G608+G640</f>
        <v>0</v>
      </c>
      <c r="I512" s="115">
        <f t="shared" ref="I512:L520" si="51">H512+H544+H576</f>
        <v>0</v>
      </c>
      <c r="J512" s="115">
        <f t="shared" si="51"/>
        <v>0</v>
      </c>
      <c r="K512" s="115">
        <f t="shared" si="51"/>
        <v>0</v>
      </c>
      <c r="L512" s="115">
        <f t="shared" si="51"/>
        <v>0</v>
      </c>
      <c r="M512" s="115">
        <f>IF(COUNT($H512:L512)&gt;=Input!$Y$7,0, L512+L544+L576)</f>
        <v>0</v>
      </c>
      <c r="N512" s="115">
        <f>IF(COUNT($H512:M512)&gt;=Input!$Y$7,0, M512+M544+M576)</f>
        <v>0</v>
      </c>
      <c r="O512" s="115">
        <f>IF(COUNT($H512:N512)&gt;=Input!$Y$7,0, N512+N544+N576)</f>
        <v>0</v>
      </c>
      <c r="P512" s="115">
        <f>IF(COUNT($H512:O512)&gt;=Input!$Y$7,0, O512+O544+O576)</f>
        <v>0</v>
      </c>
      <c r="Q512" s="115">
        <f>IF(COUNT($H512:P512)&gt;=Input!$Y$7,0, P512+P544+P576)</f>
        <v>0</v>
      </c>
      <c r="R512" s="115"/>
      <c r="S512" s="104"/>
      <c r="T512" s="104"/>
      <c r="U512" s="104"/>
      <c r="V512" s="104"/>
      <c r="W512" s="104"/>
      <c r="X512" s="104"/>
      <c r="Y512" s="104"/>
      <c r="Z512" s="104"/>
      <c r="AA512" s="23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231"/>
      <c r="BE512" s="231"/>
      <c r="BF512" s="231"/>
      <c r="BG512" s="231"/>
      <c r="BH512" s="231"/>
      <c r="BI512" s="231"/>
      <c r="BJ512" s="231"/>
      <c r="BK512" s="224"/>
      <c r="BL512" s="224"/>
    </row>
    <row r="513" spans="1:64" hidden="1" outlineLevel="1">
      <c r="A513" s="9"/>
      <c r="B513" s="9"/>
      <c r="C513" s="44"/>
      <c r="D513" s="271">
        <f>Asset22</f>
        <v>0</v>
      </c>
      <c r="E513" s="9"/>
      <c r="F513" s="9"/>
      <c r="G513" s="204">
        <f>'Actual RAB roll forward'!G783</f>
        <v>0</v>
      </c>
      <c r="H513" s="115">
        <f t="shared" si="50"/>
        <v>0</v>
      </c>
      <c r="I513" s="115">
        <f t="shared" si="51"/>
        <v>0</v>
      </c>
      <c r="J513" s="115">
        <f t="shared" si="51"/>
        <v>0</v>
      </c>
      <c r="K513" s="115">
        <f t="shared" si="51"/>
        <v>0</v>
      </c>
      <c r="L513" s="115">
        <f t="shared" si="51"/>
        <v>0</v>
      </c>
      <c r="M513" s="115">
        <f>IF(COUNT($H513:L513)&gt;=Input!$Y$7,0, L513+L545+L577)</f>
        <v>0</v>
      </c>
      <c r="N513" s="115">
        <f>IF(COUNT($H513:M513)&gt;=Input!$Y$7,0, M513+M545+M577)</f>
        <v>0</v>
      </c>
      <c r="O513" s="115">
        <f>IF(COUNT($H513:N513)&gt;=Input!$Y$7,0, N513+N545+N577)</f>
        <v>0</v>
      </c>
      <c r="P513" s="115">
        <f>IF(COUNT($H513:O513)&gt;=Input!$Y$7,0, O513+O545+O577)</f>
        <v>0</v>
      </c>
      <c r="Q513" s="115">
        <f>IF(COUNT($H513:P513)&gt;=Input!$Y$7,0, P513+P545+P577)</f>
        <v>0</v>
      </c>
      <c r="R513" s="115"/>
      <c r="S513" s="104"/>
      <c r="T513" s="104"/>
      <c r="U513" s="104"/>
      <c r="V513" s="104"/>
      <c r="W513" s="104"/>
      <c r="X513" s="104"/>
      <c r="Y513" s="104"/>
      <c r="Z513" s="104"/>
      <c r="AA513" s="23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231"/>
      <c r="BE513" s="231"/>
      <c r="BF513" s="231"/>
      <c r="BG513" s="231"/>
      <c r="BH513" s="231"/>
      <c r="BI513" s="231"/>
      <c r="BJ513" s="231"/>
      <c r="BK513" s="224"/>
      <c r="BL513" s="224"/>
    </row>
    <row r="514" spans="1:64" hidden="1" outlineLevel="1">
      <c r="A514" s="9"/>
      <c r="B514" s="9"/>
      <c r="C514" s="44"/>
      <c r="D514" s="271">
        <f>Asset23</f>
        <v>0</v>
      </c>
      <c r="E514" s="9"/>
      <c r="F514" s="9"/>
      <c r="G514" s="204">
        <f>'Actual RAB roll forward'!G784</f>
        <v>0</v>
      </c>
      <c r="H514" s="115">
        <f t="shared" si="50"/>
        <v>0</v>
      </c>
      <c r="I514" s="115">
        <f t="shared" si="51"/>
        <v>0</v>
      </c>
      <c r="J514" s="115">
        <f t="shared" si="51"/>
        <v>0</v>
      </c>
      <c r="K514" s="115">
        <f t="shared" si="51"/>
        <v>0</v>
      </c>
      <c r="L514" s="115">
        <f t="shared" si="51"/>
        <v>0</v>
      </c>
      <c r="M514" s="115">
        <f>IF(COUNT($H514:L514)&gt;=Input!$Y$7,0, L514+L546+L578)</f>
        <v>0</v>
      </c>
      <c r="N514" s="115">
        <f>IF(COUNT($H514:M514)&gt;=Input!$Y$7,0, M514+M546+M578)</f>
        <v>0</v>
      </c>
      <c r="O514" s="115">
        <f>IF(COUNT($H514:N514)&gt;=Input!$Y$7,0, N514+N546+N578)</f>
        <v>0</v>
      </c>
      <c r="P514" s="115">
        <f>IF(COUNT($H514:O514)&gt;=Input!$Y$7,0, O514+O546+O578)</f>
        <v>0</v>
      </c>
      <c r="Q514" s="115">
        <f>IF(COUNT($H514:P514)&gt;=Input!$Y$7,0, P514+P546+P578)</f>
        <v>0</v>
      </c>
      <c r="R514" s="115"/>
      <c r="S514" s="104"/>
      <c r="T514" s="104"/>
      <c r="U514" s="104"/>
      <c r="V514" s="104"/>
      <c r="W514" s="104"/>
      <c r="X514" s="104"/>
      <c r="Y514" s="104"/>
      <c r="Z514" s="104"/>
      <c r="AA514" s="23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231"/>
      <c r="BE514" s="231"/>
      <c r="BF514" s="231"/>
      <c r="BG514" s="231"/>
      <c r="BH514" s="231"/>
      <c r="BI514" s="231"/>
      <c r="BJ514" s="231"/>
      <c r="BK514" s="224"/>
      <c r="BL514" s="224"/>
    </row>
    <row r="515" spans="1:64" hidden="1" outlineLevel="1">
      <c r="A515" s="9"/>
      <c r="B515" s="9"/>
      <c r="C515" s="44"/>
      <c r="D515" s="271">
        <f>Asset24</f>
        <v>0</v>
      </c>
      <c r="E515" s="9"/>
      <c r="F515" s="9"/>
      <c r="G515" s="204">
        <f>'Actual RAB roll forward'!G785</f>
        <v>0</v>
      </c>
      <c r="H515" s="115">
        <f t="shared" si="50"/>
        <v>0</v>
      </c>
      <c r="I515" s="115">
        <f t="shared" si="51"/>
        <v>0</v>
      </c>
      <c r="J515" s="115">
        <f t="shared" si="51"/>
        <v>0</v>
      </c>
      <c r="K515" s="115">
        <f t="shared" si="51"/>
        <v>0</v>
      </c>
      <c r="L515" s="115">
        <f t="shared" si="51"/>
        <v>0</v>
      </c>
      <c r="M515" s="115">
        <f>IF(COUNT($H515:L515)&gt;=Input!$Y$7,0, L515+L547+L579)</f>
        <v>0</v>
      </c>
      <c r="N515" s="115">
        <f>IF(COUNT($H515:M515)&gt;=Input!$Y$7,0, M515+M547+M579)</f>
        <v>0</v>
      </c>
      <c r="O515" s="115">
        <f>IF(COUNT($H515:N515)&gt;=Input!$Y$7,0, N515+N547+N579)</f>
        <v>0</v>
      </c>
      <c r="P515" s="115">
        <f>IF(COUNT($H515:O515)&gt;=Input!$Y$7,0, O515+O547+O579)</f>
        <v>0</v>
      </c>
      <c r="Q515" s="115">
        <f>IF(COUNT($H515:P515)&gt;=Input!$Y$7,0, P515+P547+P579)</f>
        <v>0</v>
      </c>
      <c r="R515" s="115"/>
      <c r="S515" s="104"/>
      <c r="T515" s="104"/>
      <c r="U515" s="104"/>
      <c r="V515" s="104"/>
      <c r="W515" s="104"/>
      <c r="X515" s="104"/>
      <c r="Y515" s="104"/>
      <c r="Z515" s="104"/>
      <c r="AA515" s="23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231"/>
      <c r="BE515" s="231"/>
      <c r="BF515" s="231"/>
      <c r="BG515" s="231"/>
      <c r="BH515" s="231"/>
      <c r="BI515" s="231"/>
      <c r="BJ515" s="231"/>
      <c r="BK515" s="224"/>
      <c r="BL515" s="224"/>
    </row>
    <row r="516" spans="1:64" hidden="1" outlineLevel="1">
      <c r="A516" s="9"/>
      <c r="B516" s="9"/>
      <c r="C516" s="44"/>
      <c r="D516" s="271">
        <f>Asset25</f>
        <v>0</v>
      </c>
      <c r="E516" s="9"/>
      <c r="F516" s="9"/>
      <c r="G516" s="204">
        <f>'Actual RAB roll forward'!G786</f>
        <v>0</v>
      </c>
      <c r="H516" s="115">
        <f t="shared" si="50"/>
        <v>0</v>
      </c>
      <c r="I516" s="115">
        <f t="shared" si="51"/>
        <v>0</v>
      </c>
      <c r="J516" s="115">
        <f t="shared" si="51"/>
        <v>0</v>
      </c>
      <c r="K516" s="115">
        <f t="shared" si="51"/>
        <v>0</v>
      </c>
      <c r="L516" s="115">
        <f t="shared" si="51"/>
        <v>0</v>
      </c>
      <c r="M516" s="115">
        <f>IF(COUNT($H516:L516)&gt;=Input!$Y$7,0, L516+L548+L580)</f>
        <v>0</v>
      </c>
      <c r="N516" s="115">
        <f>IF(COUNT($H516:M516)&gt;=Input!$Y$7,0, M516+M548+M580)</f>
        <v>0</v>
      </c>
      <c r="O516" s="115">
        <f>IF(COUNT($H516:N516)&gt;=Input!$Y$7,0, N516+N548+N580)</f>
        <v>0</v>
      </c>
      <c r="P516" s="115">
        <f>IF(COUNT($H516:O516)&gt;=Input!$Y$7,0, O516+O548+O580)</f>
        <v>0</v>
      </c>
      <c r="Q516" s="115">
        <f>IF(COUNT($H516:P516)&gt;=Input!$Y$7,0, P516+P548+P580)</f>
        <v>0</v>
      </c>
      <c r="R516" s="115"/>
      <c r="S516" s="104"/>
      <c r="T516" s="104"/>
      <c r="U516" s="104"/>
      <c r="V516" s="104"/>
      <c r="W516" s="104"/>
      <c r="X516" s="104"/>
      <c r="Y516" s="104"/>
      <c r="Z516" s="104"/>
      <c r="AA516" s="23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231"/>
      <c r="BE516" s="231"/>
      <c r="BF516" s="231"/>
      <c r="BG516" s="231"/>
      <c r="BH516" s="231"/>
      <c r="BI516" s="231"/>
      <c r="BJ516" s="231"/>
      <c r="BK516" s="224"/>
      <c r="BL516" s="224"/>
    </row>
    <row r="517" spans="1:64" hidden="1" outlineLevel="1">
      <c r="A517" s="9"/>
      <c r="B517" s="9"/>
      <c r="C517" s="44"/>
      <c r="D517" s="271">
        <f>Asset26</f>
        <v>0</v>
      </c>
      <c r="E517" s="9"/>
      <c r="F517" s="9"/>
      <c r="G517" s="204">
        <f>'Actual RAB roll forward'!G787</f>
        <v>0</v>
      </c>
      <c r="H517" s="115">
        <f t="shared" si="50"/>
        <v>0</v>
      </c>
      <c r="I517" s="115">
        <f t="shared" si="51"/>
        <v>0</v>
      </c>
      <c r="J517" s="115">
        <f t="shared" si="51"/>
        <v>0</v>
      </c>
      <c r="K517" s="115">
        <f t="shared" si="51"/>
        <v>0</v>
      </c>
      <c r="L517" s="115">
        <f t="shared" si="51"/>
        <v>0</v>
      </c>
      <c r="M517" s="115">
        <f>IF(COUNT($H517:L517)&gt;=Input!$Y$7,0, L517+L549+L581)</f>
        <v>0</v>
      </c>
      <c r="N517" s="115">
        <f>IF(COUNT($H517:M517)&gt;=Input!$Y$7,0, M517+M549+M581)</f>
        <v>0</v>
      </c>
      <c r="O517" s="115">
        <f>IF(COUNT($H517:N517)&gt;=Input!$Y$7,0, N517+N549+N581)</f>
        <v>0</v>
      </c>
      <c r="P517" s="115">
        <f>IF(COUNT($H517:O517)&gt;=Input!$Y$7,0, O517+O549+O581)</f>
        <v>0</v>
      </c>
      <c r="Q517" s="115">
        <f>IF(COUNT($H517:P517)&gt;=Input!$Y$7,0, P517+P549+P581)</f>
        <v>0</v>
      </c>
      <c r="R517" s="115"/>
      <c r="S517" s="104"/>
      <c r="T517" s="104"/>
      <c r="U517" s="104"/>
      <c r="V517" s="104"/>
      <c r="W517" s="104"/>
      <c r="X517" s="104"/>
      <c r="Y517" s="104"/>
      <c r="Z517" s="104"/>
      <c r="AA517" s="23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24"/>
      <c r="BL517" s="224"/>
    </row>
    <row r="518" spans="1:64" hidden="1" outlineLevel="1">
      <c r="A518" s="9"/>
      <c r="B518" s="9"/>
      <c r="C518" s="44"/>
      <c r="D518" s="271">
        <f>Asset27</f>
        <v>0</v>
      </c>
      <c r="E518" s="9"/>
      <c r="F518" s="9"/>
      <c r="G518" s="204">
        <f>'Actual RAB roll forward'!G788</f>
        <v>0</v>
      </c>
      <c r="H518" s="115">
        <f t="shared" si="50"/>
        <v>0</v>
      </c>
      <c r="I518" s="115">
        <f t="shared" si="51"/>
        <v>0</v>
      </c>
      <c r="J518" s="115">
        <f t="shared" si="51"/>
        <v>0</v>
      </c>
      <c r="K518" s="115">
        <f t="shared" si="51"/>
        <v>0</v>
      </c>
      <c r="L518" s="115">
        <f t="shared" si="51"/>
        <v>0</v>
      </c>
      <c r="M518" s="115">
        <f>IF(COUNT($H518:L518)&gt;=Input!$Y$7,0, L518+L550+L582)</f>
        <v>0</v>
      </c>
      <c r="N518" s="115">
        <f>IF(COUNT($H518:M518)&gt;=Input!$Y$7,0, M518+M550+M582)</f>
        <v>0</v>
      </c>
      <c r="O518" s="115">
        <f>IF(COUNT($H518:N518)&gt;=Input!$Y$7,0, N518+N550+N582)</f>
        <v>0</v>
      </c>
      <c r="P518" s="115">
        <f>IF(COUNT($H518:O518)&gt;=Input!$Y$7,0, O518+O550+O582)</f>
        <v>0</v>
      </c>
      <c r="Q518" s="115">
        <f>IF(COUNT($H518:P518)&gt;=Input!$Y$7,0, P518+P550+P582)</f>
        <v>0</v>
      </c>
      <c r="R518" s="115"/>
      <c r="S518" s="104"/>
      <c r="T518" s="104"/>
      <c r="U518" s="104"/>
      <c r="V518" s="104"/>
      <c r="W518" s="104"/>
      <c r="X518" s="104"/>
      <c r="Y518" s="104"/>
      <c r="Z518" s="104"/>
      <c r="AA518" s="23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24"/>
      <c r="BL518" s="224"/>
    </row>
    <row r="519" spans="1:64" hidden="1" outlineLevel="1">
      <c r="A519" s="9"/>
      <c r="B519" s="9"/>
      <c r="C519" s="44"/>
      <c r="D519" s="271">
        <f>Asset28</f>
        <v>0</v>
      </c>
      <c r="E519" s="9"/>
      <c r="F519" s="9"/>
      <c r="G519" s="204">
        <f>'Actual RAB roll forward'!G789</f>
        <v>0</v>
      </c>
      <c r="H519" s="115">
        <f t="shared" si="50"/>
        <v>0</v>
      </c>
      <c r="I519" s="115">
        <f t="shared" si="51"/>
        <v>0</v>
      </c>
      <c r="J519" s="115">
        <f t="shared" si="51"/>
        <v>0</v>
      </c>
      <c r="K519" s="115">
        <f t="shared" si="51"/>
        <v>0</v>
      </c>
      <c r="L519" s="115">
        <f t="shared" si="51"/>
        <v>0</v>
      </c>
      <c r="M519" s="115">
        <f>IF(COUNT($H519:L519)&gt;=Input!$Y$7,0, L519+L551+L583)</f>
        <v>0</v>
      </c>
      <c r="N519" s="115">
        <f>IF(COUNT($H519:M519)&gt;=Input!$Y$7,0, M519+M551+M583)</f>
        <v>0</v>
      </c>
      <c r="O519" s="115">
        <f>IF(COUNT($H519:N519)&gt;=Input!$Y$7,0, N519+N551+N583)</f>
        <v>0</v>
      </c>
      <c r="P519" s="115">
        <f>IF(COUNT($H519:O519)&gt;=Input!$Y$7,0, O519+O551+O583)</f>
        <v>0</v>
      </c>
      <c r="Q519" s="115">
        <f>IF(COUNT($H519:P519)&gt;=Input!$Y$7,0, P519+P551+P583)</f>
        <v>0</v>
      </c>
      <c r="R519" s="115"/>
      <c r="S519" s="104"/>
      <c r="T519" s="104"/>
      <c r="U519" s="104"/>
      <c r="V519" s="104"/>
      <c r="W519" s="104"/>
      <c r="X519" s="104"/>
      <c r="Y519" s="104"/>
      <c r="Z519" s="104"/>
      <c r="AA519" s="23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231"/>
      <c r="BE519" s="231"/>
      <c r="BF519" s="231"/>
      <c r="BG519" s="231"/>
      <c r="BH519" s="231"/>
      <c r="BI519" s="231"/>
      <c r="BJ519" s="231"/>
      <c r="BK519" s="224"/>
      <c r="BL519" s="224"/>
    </row>
    <row r="520" spans="1:64" hidden="1" outlineLevel="1">
      <c r="A520" s="9"/>
      <c r="B520" s="9"/>
      <c r="C520" s="44"/>
      <c r="D520" s="271">
        <f>Asset29</f>
        <v>0</v>
      </c>
      <c r="E520" s="9"/>
      <c r="F520" s="9"/>
      <c r="G520" s="204">
        <f>'Actual RAB roll forward'!G790</f>
        <v>0</v>
      </c>
      <c r="H520" s="115">
        <f t="shared" si="50"/>
        <v>0</v>
      </c>
      <c r="I520" s="115">
        <f t="shared" si="51"/>
        <v>0</v>
      </c>
      <c r="J520" s="115">
        <f t="shared" si="51"/>
        <v>0</v>
      </c>
      <c r="K520" s="115">
        <f t="shared" si="51"/>
        <v>0</v>
      </c>
      <c r="L520" s="115">
        <f t="shared" si="51"/>
        <v>0</v>
      </c>
      <c r="M520" s="115">
        <f>IF(COUNT($H520:L520)&gt;=Input!$Y$7,0, L520+L552+L584)</f>
        <v>0</v>
      </c>
      <c r="N520" s="115">
        <f>IF(COUNT($H520:M520)&gt;=Input!$Y$7,0, M520+M552+M584)</f>
        <v>0</v>
      </c>
      <c r="O520" s="115">
        <f>IF(COUNT($H520:N520)&gt;=Input!$Y$7,0, N520+N552+N584)</f>
        <v>0</v>
      </c>
      <c r="P520" s="115">
        <f>IF(COUNT($H520:O520)&gt;=Input!$Y$7,0, O520+O552+O584)</f>
        <v>0</v>
      </c>
      <c r="Q520" s="115">
        <f>IF(COUNT($H520:P520)&gt;=Input!$Y$7,0, P520+P552+P584)</f>
        <v>0</v>
      </c>
      <c r="R520" s="115"/>
      <c r="S520" s="104"/>
      <c r="T520" s="104"/>
      <c r="U520" s="104"/>
      <c r="V520" s="104"/>
      <c r="W520" s="104"/>
      <c r="X520" s="104"/>
      <c r="Y520" s="104"/>
      <c r="Z520" s="104"/>
      <c r="AA520" s="23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231"/>
      <c r="BE520" s="231"/>
      <c r="BF520" s="231"/>
      <c r="BG520" s="231"/>
      <c r="BH520" s="231"/>
      <c r="BI520" s="231"/>
      <c r="BJ520" s="231"/>
      <c r="BK520" s="224"/>
      <c r="BL520" s="224"/>
    </row>
    <row r="521" spans="1:64" hidden="1" outlineLevel="1">
      <c r="A521" s="9"/>
      <c r="B521" s="9"/>
      <c r="C521" s="44"/>
      <c r="D521" s="271">
        <f>Asset30</f>
        <v>0</v>
      </c>
      <c r="E521" s="9"/>
      <c r="F521" s="9"/>
      <c r="G521" s="204">
        <f>'Actual RAB roll forward'!G791</f>
        <v>0</v>
      </c>
      <c r="H521" s="115">
        <f>G521+G553+G585+G617+G649</f>
        <v>0</v>
      </c>
      <c r="I521" s="115">
        <f>H521+H553+H585</f>
        <v>0</v>
      </c>
      <c r="J521" s="115">
        <f>I521+I553+I585</f>
        <v>0</v>
      </c>
      <c r="K521" s="115">
        <f>J521+J553+J585</f>
        <v>0</v>
      </c>
      <c r="L521" s="115">
        <f>K521+K553+K585</f>
        <v>0</v>
      </c>
      <c r="M521" s="115">
        <f>IF(COUNT($H521:L521)&gt;=Input!$Y$7,0, L521+L553+L585)</f>
        <v>0</v>
      </c>
      <c r="N521" s="115">
        <f>IF(COUNT($H521:M521)&gt;=Input!$Y$7,0, M521+M553+M585)</f>
        <v>0</v>
      </c>
      <c r="O521" s="115">
        <f>IF(COUNT($H521:N521)&gt;=Input!$Y$7,0, N521+N553+N585)</f>
        <v>0</v>
      </c>
      <c r="P521" s="115">
        <f>IF(COUNT($H521:O521)&gt;=Input!$Y$7,0, O521+O553+O585)</f>
        <v>0</v>
      </c>
      <c r="Q521" s="115">
        <f>IF(COUNT($H521:P521)&gt;=Input!$Y$7,0, P521+P553+P585)</f>
        <v>0</v>
      </c>
      <c r="R521" s="115"/>
      <c r="S521" s="104"/>
      <c r="T521" s="104"/>
      <c r="U521" s="104"/>
      <c r="V521" s="104"/>
      <c r="W521" s="104"/>
      <c r="X521" s="104"/>
      <c r="Y521" s="104"/>
      <c r="Z521" s="104"/>
      <c r="AA521" s="23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231"/>
      <c r="BE521" s="231"/>
      <c r="BF521" s="231"/>
      <c r="BG521" s="231"/>
      <c r="BH521" s="231"/>
      <c r="BI521" s="231"/>
      <c r="BJ521" s="231"/>
      <c r="BK521" s="224"/>
      <c r="BL521" s="224"/>
    </row>
    <row r="522" spans="1:64" collapsed="1">
      <c r="A522" s="9"/>
      <c r="B522" s="9"/>
      <c r="C522" s="44"/>
      <c r="D522" s="117"/>
      <c r="E522" s="9"/>
      <c r="F522" s="9"/>
      <c r="G522" s="213"/>
      <c r="H522" s="35"/>
      <c r="I522" s="35"/>
      <c r="J522" s="35"/>
      <c r="K522" s="35"/>
      <c r="L522" s="35"/>
      <c r="M522" s="35"/>
      <c r="N522" s="104"/>
      <c r="O522" s="29"/>
      <c r="P522" s="29"/>
      <c r="Q522" s="29"/>
      <c r="R522" s="29"/>
      <c r="S522" s="104"/>
      <c r="T522" s="104"/>
      <c r="U522" s="104"/>
      <c r="V522" s="104"/>
      <c r="W522" s="104"/>
      <c r="X522" s="104"/>
      <c r="Y522" s="104"/>
      <c r="Z522" s="104"/>
      <c r="AA522" s="23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231"/>
      <c r="BE522" s="231"/>
      <c r="BF522" s="231"/>
      <c r="BG522" s="231"/>
      <c r="BH522" s="231"/>
      <c r="BI522" s="231"/>
      <c r="BJ522" s="231"/>
      <c r="BK522" s="224"/>
      <c r="BL522" s="224"/>
    </row>
    <row r="523" spans="1:64">
      <c r="A523" s="9"/>
      <c r="B523" s="9"/>
      <c r="C523" s="44" t="s">
        <v>10</v>
      </c>
      <c r="D523" s="9"/>
      <c r="E523" s="9"/>
      <c r="F523" s="9"/>
      <c r="G523" s="205">
        <f>SUM(G524:G553)</f>
        <v>256.13131134785033</v>
      </c>
      <c r="H523" s="35">
        <f>SUM(H524:H553)</f>
        <v>273.82759092251814</v>
      </c>
      <c r="I523" s="35">
        <f t="shared" ref="I523:P523" si="52">SUM(I524:I553)</f>
        <v>319.46355928702627</v>
      </c>
      <c r="J523" s="35">
        <f t="shared" si="52"/>
        <v>379.05562881142396</v>
      </c>
      <c r="K523" s="35">
        <f t="shared" si="52"/>
        <v>400.5282162554243</v>
      </c>
      <c r="L523" s="35">
        <f t="shared" si="52"/>
        <v>366.10899757493087</v>
      </c>
      <c r="M523" s="35">
        <f t="shared" si="52"/>
        <v>0</v>
      </c>
      <c r="N523" s="35">
        <f t="shared" si="52"/>
        <v>0</v>
      </c>
      <c r="O523" s="35">
        <f t="shared" si="52"/>
        <v>0</v>
      </c>
      <c r="P523" s="35">
        <f t="shared" si="52"/>
        <v>0</v>
      </c>
      <c r="Q523" s="35">
        <f>SUM(Q524:Q553)</f>
        <v>0</v>
      </c>
      <c r="R523" s="29"/>
      <c r="S523" s="104"/>
      <c r="T523" s="104"/>
      <c r="U523" s="104"/>
      <c r="V523" s="104"/>
      <c r="W523" s="104"/>
      <c r="X523" s="104"/>
      <c r="Y523" s="104"/>
      <c r="Z523" s="104"/>
      <c r="AA523" s="23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231"/>
      <c r="BE523" s="231"/>
      <c r="BF523" s="231"/>
      <c r="BG523" s="231"/>
      <c r="BH523" s="231"/>
      <c r="BI523" s="231"/>
      <c r="BJ523" s="231"/>
      <c r="BK523" s="224"/>
      <c r="BL523" s="224"/>
    </row>
    <row r="524" spans="1:64" hidden="1" outlineLevel="1">
      <c r="A524" s="9"/>
      <c r="B524" s="9"/>
      <c r="C524" s="44"/>
      <c r="D524" s="271" t="str">
        <f>Asset1</f>
        <v>Subtransmission</v>
      </c>
      <c r="E524" s="9"/>
      <c r="F524" s="9"/>
      <c r="G524" s="204">
        <f>'Actual RAB roll forward'!G794</f>
        <v>26.463578654632183</v>
      </c>
      <c r="H524" s="115">
        <f>'Actual RAB roll forward'!H794</f>
        <v>23.303623231324877</v>
      </c>
      <c r="I524" s="115">
        <f>'Actual RAB roll forward'!I794</f>
        <v>46.378760314540145</v>
      </c>
      <c r="J524" s="115">
        <f>'Actual RAB roll forward'!J794</f>
        <v>66.655244555600063</v>
      </c>
      <c r="K524" s="115">
        <f>'Actual RAB roll forward'!K794</f>
        <v>65.988628238562669</v>
      </c>
      <c r="L524" s="115">
        <f>'Actual RAB roll forward'!L794</f>
        <v>65.82190228729435</v>
      </c>
      <c r="M524" s="115">
        <f>'Actual RAB roll forward'!M794</f>
        <v>0</v>
      </c>
      <c r="N524" s="115">
        <f>'Actual RAB roll forward'!N794</f>
        <v>0</v>
      </c>
      <c r="O524" s="115">
        <f>'Actual RAB roll forward'!O794</f>
        <v>0</v>
      </c>
      <c r="P524" s="115">
        <f>'Actual RAB roll forward'!P794</f>
        <v>0</v>
      </c>
      <c r="Q524" s="115">
        <f>'Actual RAB roll forward'!Q794</f>
        <v>0</v>
      </c>
      <c r="R524" s="29"/>
      <c r="S524" s="104"/>
      <c r="T524" s="104"/>
      <c r="U524" s="104"/>
      <c r="V524" s="104"/>
      <c r="W524" s="104"/>
      <c r="X524" s="104"/>
      <c r="Y524" s="104"/>
      <c r="Z524" s="104"/>
      <c r="AA524" s="23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231"/>
      <c r="BE524" s="231"/>
      <c r="BF524" s="231"/>
      <c r="BG524" s="231"/>
      <c r="BH524" s="231"/>
      <c r="BI524" s="231"/>
      <c r="BJ524" s="231"/>
      <c r="BK524" s="224"/>
      <c r="BL524" s="224"/>
    </row>
    <row r="525" spans="1:64" hidden="1" outlineLevel="1">
      <c r="A525" s="9"/>
      <c r="B525" s="9"/>
      <c r="C525" s="44"/>
      <c r="D525" s="271" t="str">
        <f>Asset2</f>
        <v>Distribution system assets</v>
      </c>
      <c r="E525" s="9"/>
      <c r="F525" s="9"/>
      <c r="G525" s="204">
        <f>'Actual RAB roll forward'!G795</f>
        <v>172.58288269321812</v>
      </c>
      <c r="H525" s="115">
        <f>'Actual RAB roll forward'!H795</f>
        <v>193.59505286296888</v>
      </c>
      <c r="I525" s="115">
        <f>'Actual RAB roll forward'!I795</f>
        <v>215.07213538798695</v>
      </c>
      <c r="J525" s="115">
        <f>'Actual RAB roll forward'!J795</f>
        <v>252.19913275839346</v>
      </c>
      <c r="K525" s="115">
        <f>'Actual RAB roll forward'!K795</f>
        <v>294.62750465602994</v>
      </c>
      <c r="L525" s="115">
        <f>'Actual RAB roll forward'!L795</f>
        <v>274.33470113397988</v>
      </c>
      <c r="M525" s="115">
        <f>'Actual RAB roll forward'!M795</f>
        <v>0</v>
      </c>
      <c r="N525" s="115">
        <f>'Actual RAB roll forward'!N795</f>
        <v>0</v>
      </c>
      <c r="O525" s="115">
        <f>'Actual RAB roll forward'!O795</f>
        <v>0</v>
      </c>
      <c r="P525" s="115">
        <f>'Actual RAB roll forward'!P795</f>
        <v>0</v>
      </c>
      <c r="Q525" s="115">
        <f>'Actual RAB roll forward'!Q795</f>
        <v>0</v>
      </c>
      <c r="R525" s="29"/>
      <c r="S525" s="104"/>
      <c r="T525" s="104"/>
      <c r="U525" s="104"/>
      <c r="V525" s="104"/>
      <c r="W525" s="104"/>
      <c r="X525" s="104"/>
      <c r="Y525" s="104"/>
      <c r="Z525" s="104"/>
      <c r="AA525" s="23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231"/>
      <c r="BE525" s="231"/>
      <c r="BF525" s="231"/>
      <c r="BG525" s="231"/>
      <c r="BH525" s="231"/>
      <c r="BI525" s="231"/>
      <c r="BJ525" s="231"/>
      <c r="BK525" s="224"/>
      <c r="BL525" s="224"/>
    </row>
    <row r="526" spans="1:64" hidden="1" outlineLevel="1">
      <c r="A526" s="9"/>
      <c r="B526" s="9"/>
      <c r="C526" s="44"/>
      <c r="D526" s="271" t="str">
        <f>Asset3</f>
        <v>Standard metering</v>
      </c>
      <c r="E526" s="9"/>
      <c r="F526" s="9"/>
      <c r="G526" s="204">
        <f>'Actual RAB roll forward'!G796</f>
        <v>0</v>
      </c>
      <c r="H526" s="115">
        <f>'Actual RAB roll forward'!H796</f>
        <v>0</v>
      </c>
      <c r="I526" s="115">
        <f>'Actual RAB roll forward'!I796</f>
        <v>0</v>
      </c>
      <c r="J526" s="115">
        <f>'Actual RAB roll forward'!J796</f>
        <v>0</v>
      </c>
      <c r="K526" s="115">
        <f>'Actual RAB roll forward'!K796</f>
        <v>0</v>
      </c>
      <c r="L526" s="115">
        <f>'Actual RAB roll forward'!L796</f>
        <v>0</v>
      </c>
      <c r="M526" s="115">
        <f>'Actual RAB roll forward'!M796</f>
        <v>0</v>
      </c>
      <c r="N526" s="115">
        <f>'Actual RAB roll forward'!N796</f>
        <v>0</v>
      </c>
      <c r="O526" s="115">
        <f>'Actual RAB roll forward'!O796</f>
        <v>0</v>
      </c>
      <c r="P526" s="115">
        <f>'Actual RAB roll forward'!P796</f>
        <v>0</v>
      </c>
      <c r="Q526" s="115">
        <f>'Actual RAB roll forward'!Q796</f>
        <v>0</v>
      </c>
      <c r="R526" s="29"/>
      <c r="S526" s="104"/>
      <c r="T526" s="104"/>
      <c r="U526" s="104"/>
      <c r="V526" s="104"/>
      <c r="W526" s="104"/>
      <c r="X526" s="104"/>
      <c r="Y526" s="104"/>
      <c r="Z526" s="104"/>
      <c r="AA526" s="23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231"/>
      <c r="BE526" s="231"/>
      <c r="BF526" s="231"/>
      <c r="BG526" s="231"/>
      <c r="BH526" s="231"/>
      <c r="BI526" s="231"/>
      <c r="BJ526" s="231"/>
      <c r="BK526" s="224"/>
      <c r="BL526" s="224"/>
    </row>
    <row r="527" spans="1:64" hidden="1" outlineLevel="1">
      <c r="A527" s="9"/>
      <c r="B527" s="9"/>
      <c r="C527" s="44"/>
      <c r="D527" s="271" t="str">
        <f>Asset4</f>
        <v>Public lighting</v>
      </c>
      <c r="E527" s="9"/>
      <c r="F527" s="9"/>
      <c r="G527" s="204">
        <f>'Actual RAB roll forward'!G797</f>
        <v>0</v>
      </c>
      <c r="H527" s="115">
        <f>'Actual RAB roll forward'!H797</f>
        <v>0</v>
      </c>
      <c r="I527" s="115">
        <f>'Actual RAB roll forward'!I797</f>
        <v>0</v>
      </c>
      <c r="J527" s="115">
        <f>'Actual RAB roll forward'!J797</f>
        <v>0</v>
      </c>
      <c r="K527" s="115">
        <f>'Actual RAB roll forward'!K797</f>
        <v>0</v>
      </c>
      <c r="L527" s="115">
        <f>'Actual RAB roll forward'!L797</f>
        <v>0</v>
      </c>
      <c r="M527" s="115">
        <f>'Actual RAB roll forward'!M797</f>
        <v>0</v>
      </c>
      <c r="N527" s="115">
        <f>'Actual RAB roll forward'!N797</f>
        <v>0</v>
      </c>
      <c r="O527" s="115">
        <f>'Actual RAB roll forward'!O797</f>
        <v>0</v>
      </c>
      <c r="P527" s="115">
        <f>'Actual RAB roll forward'!P797</f>
        <v>0</v>
      </c>
      <c r="Q527" s="115">
        <f>'Actual RAB roll forward'!Q797</f>
        <v>0</v>
      </c>
      <c r="R527" s="29"/>
      <c r="S527" s="104"/>
      <c r="T527" s="104"/>
      <c r="U527" s="104"/>
      <c r="V527" s="104"/>
      <c r="W527" s="104"/>
      <c r="X527" s="104"/>
      <c r="Y527" s="104"/>
      <c r="Z527" s="104"/>
      <c r="AA527" s="23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231"/>
      <c r="BE527" s="231"/>
      <c r="BF527" s="231"/>
      <c r="BG527" s="231"/>
      <c r="BH527" s="231"/>
      <c r="BI527" s="231"/>
      <c r="BJ527" s="231"/>
      <c r="BK527" s="224"/>
      <c r="BL527" s="224"/>
    </row>
    <row r="528" spans="1:64" hidden="1" outlineLevel="1">
      <c r="A528" s="9"/>
      <c r="B528" s="9"/>
      <c r="C528" s="44"/>
      <c r="D528" s="271" t="str">
        <f>Asset5</f>
        <v>SCADA/Network control</v>
      </c>
      <c r="E528" s="9"/>
      <c r="F528" s="9"/>
      <c r="G528" s="204">
        <f>'Actual RAB roll forward'!G798</f>
        <v>1.96</v>
      </c>
      <c r="H528" s="115">
        <f>'Actual RAB roll forward'!H798</f>
        <v>1.3307440827500228</v>
      </c>
      <c r="I528" s="115">
        <f>'Actual RAB roll forward'!I798</f>
        <v>6.2235364165212346</v>
      </c>
      <c r="J528" s="115">
        <f>'Actual RAB roll forward'!J798</f>
        <v>2.0111157645861524</v>
      </c>
      <c r="K528" s="115">
        <f>'Actual RAB roll forward'!K798</f>
        <v>0.76939414652789528</v>
      </c>
      <c r="L528" s="115">
        <f>'Actual RAB roll forward'!L798</f>
        <v>3.0482079713681767</v>
      </c>
      <c r="M528" s="115">
        <f>'Actual RAB roll forward'!M798</f>
        <v>0</v>
      </c>
      <c r="N528" s="115">
        <f>'Actual RAB roll forward'!N798</f>
        <v>0</v>
      </c>
      <c r="O528" s="115">
        <f>'Actual RAB roll forward'!O798</f>
        <v>0</v>
      </c>
      <c r="P528" s="115">
        <f>'Actual RAB roll forward'!P798</f>
        <v>0</v>
      </c>
      <c r="Q528" s="115">
        <f>'Actual RAB roll forward'!Q798</f>
        <v>0</v>
      </c>
      <c r="R528" s="29"/>
      <c r="S528" s="104"/>
      <c r="T528" s="104"/>
      <c r="U528" s="104"/>
      <c r="V528" s="104"/>
      <c r="W528" s="104"/>
      <c r="X528" s="104"/>
      <c r="Y528" s="104"/>
      <c r="Z528" s="104"/>
      <c r="AA528" s="23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231"/>
      <c r="BE528" s="231"/>
      <c r="BF528" s="231"/>
      <c r="BG528" s="231"/>
      <c r="BH528" s="231"/>
      <c r="BI528" s="231"/>
      <c r="BJ528" s="231"/>
      <c r="BK528" s="224"/>
      <c r="BL528" s="224"/>
    </row>
    <row r="529" spans="1:64" hidden="1" outlineLevel="1">
      <c r="A529" s="9"/>
      <c r="B529" s="9"/>
      <c r="C529" s="44"/>
      <c r="D529" s="271" t="str">
        <f>Asset6</f>
        <v>Non-network general assets - IT</v>
      </c>
      <c r="E529" s="9"/>
      <c r="F529" s="9"/>
      <c r="G529" s="204">
        <f>'Actual RAB roll forward'!G799</f>
        <v>48.754849999999998</v>
      </c>
      <c r="H529" s="115">
        <f>'Actual RAB roll forward'!H799</f>
        <v>48.88963050469534</v>
      </c>
      <c r="I529" s="115">
        <f>'Actual RAB roll forward'!I799</f>
        <v>47.902560628477289</v>
      </c>
      <c r="J529" s="115">
        <f>'Actual RAB roll forward'!J799</f>
        <v>52.452763589315062</v>
      </c>
      <c r="K529" s="115">
        <f>'Actual RAB roll forward'!K799</f>
        <v>34.528761120489946</v>
      </c>
      <c r="L529" s="115">
        <f>'Actual RAB roll forward'!L799</f>
        <v>20.378165210085136</v>
      </c>
      <c r="M529" s="115">
        <f>'Actual RAB roll forward'!M799</f>
        <v>0</v>
      </c>
      <c r="N529" s="115">
        <f>'Actual RAB roll forward'!N799</f>
        <v>0</v>
      </c>
      <c r="O529" s="115">
        <f>'Actual RAB roll forward'!O799</f>
        <v>0</v>
      </c>
      <c r="P529" s="115">
        <f>'Actual RAB roll forward'!P799</f>
        <v>0</v>
      </c>
      <c r="Q529" s="115">
        <f>'Actual RAB roll forward'!Q799</f>
        <v>0</v>
      </c>
      <c r="R529" s="29"/>
      <c r="S529" s="104"/>
      <c r="T529" s="104"/>
      <c r="U529" s="104"/>
      <c r="V529" s="104"/>
      <c r="W529" s="104"/>
      <c r="X529" s="104"/>
      <c r="Y529" s="104"/>
      <c r="Z529" s="104"/>
      <c r="AA529" s="23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231"/>
      <c r="BE529" s="231"/>
      <c r="BF529" s="231"/>
      <c r="BG529" s="231"/>
      <c r="BH529" s="231"/>
      <c r="BI529" s="231"/>
      <c r="BJ529" s="231"/>
      <c r="BK529" s="224"/>
      <c r="BL529" s="224"/>
    </row>
    <row r="530" spans="1:64" hidden="1" outlineLevel="1">
      <c r="A530" s="9"/>
      <c r="B530" s="9"/>
      <c r="C530" s="44"/>
      <c r="D530" s="271" t="str">
        <f>Asset7</f>
        <v>Non-network general assets - Other</v>
      </c>
      <c r="E530" s="9"/>
      <c r="F530" s="9"/>
      <c r="G530" s="204">
        <f>'Actual RAB roll forward'!G800</f>
        <v>6.37</v>
      </c>
      <c r="H530" s="115">
        <f>'Actual RAB roll forward'!H800</f>
        <v>5.1531960739867975</v>
      </c>
      <c r="I530" s="115">
        <f>'Actual RAB roll forward'!I800</f>
        <v>3.8865665395006244</v>
      </c>
      <c r="J530" s="115">
        <f>'Actual RAB roll forward'!J800</f>
        <v>5.7373721435292522</v>
      </c>
      <c r="K530" s="115">
        <f>'Actual RAB roll forward'!K800</f>
        <v>4.613928093813831</v>
      </c>
      <c r="L530" s="115">
        <f>'Actual RAB roll forward'!L800</f>
        <v>2.5260209722033289</v>
      </c>
      <c r="M530" s="115">
        <f>'Actual RAB roll forward'!M800</f>
        <v>0</v>
      </c>
      <c r="N530" s="115">
        <f>'Actual RAB roll forward'!N800</f>
        <v>0</v>
      </c>
      <c r="O530" s="115">
        <f>'Actual RAB roll forward'!O800</f>
        <v>0</v>
      </c>
      <c r="P530" s="115">
        <f>'Actual RAB roll forward'!P800</f>
        <v>0</v>
      </c>
      <c r="Q530" s="115">
        <f>'Actual RAB roll forward'!Q800</f>
        <v>0</v>
      </c>
      <c r="R530" s="29"/>
      <c r="S530" s="104"/>
      <c r="T530" s="104"/>
      <c r="U530" s="104"/>
      <c r="V530" s="104"/>
      <c r="W530" s="104"/>
      <c r="X530" s="104"/>
      <c r="Y530" s="104"/>
      <c r="Z530" s="104"/>
      <c r="AA530" s="23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231"/>
      <c r="BE530" s="231"/>
      <c r="BF530" s="231"/>
      <c r="BG530" s="231"/>
      <c r="BH530" s="231"/>
      <c r="BI530" s="231"/>
      <c r="BJ530" s="231"/>
      <c r="BK530" s="224"/>
      <c r="BL530" s="224"/>
    </row>
    <row r="531" spans="1:64" hidden="1" outlineLevel="1">
      <c r="A531" s="9"/>
      <c r="B531" s="9"/>
      <c r="C531" s="44"/>
      <c r="D531" s="271" t="str">
        <f>Asset8</f>
        <v>Equity Raising Costs</v>
      </c>
      <c r="E531" s="9"/>
      <c r="F531" s="9"/>
      <c r="G531" s="204">
        <f>'Actual RAB roll forward'!G801</f>
        <v>0</v>
      </c>
      <c r="H531" s="115">
        <f>'Actual RAB roll forward'!H801</f>
        <v>1.5553441667922454</v>
      </c>
      <c r="I531" s="115">
        <f>'Actual RAB roll forward'!I801</f>
        <v>0</v>
      </c>
      <c r="J531" s="115">
        <f>'Actual RAB roll forward'!J801</f>
        <v>0</v>
      </c>
      <c r="K531" s="115">
        <f>'Actual RAB roll forward'!K801</f>
        <v>0</v>
      </c>
      <c r="L531" s="115">
        <f>'Actual RAB roll forward'!L801</f>
        <v>0</v>
      </c>
      <c r="M531" s="115">
        <f>'Actual RAB roll forward'!M801</f>
        <v>0</v>
      </c>
      <c r="N531" s="115">
        <f>'Actual RAB roll forward'!N801</f>
        <v>0</v>
      </c>
      <c r="O531" s="115">
        <f>'Actual RAB roll forward'!O801</f>
        <v>0</v>
      </c>
      <c r="P531" s="115">
        <f>'Actual RAB roll forward'!P801</f>
        <v>0</v>
      </c>
      <c r="Q531" s="115">
        <f>'Actual RAB roll forward'!Q801</f>
        <v>0</v>
      </c>
      <c r="R531" s="29"/>
      <c r="S531" s="104"/>
      <c r="T531" s="104"/>
      <c r="U531" s="104"/>
      <c r="V531" s="104"/>
      <c r="W531" s="104"/>
      <c r="X531" s="104"/>
      <c r="Y531" s="104"/>
      <c r="Z531" s="104"/>
      <c r="AA531" s="23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231"/>
      <c r="BE531" s="231"/>
      <c r="BF531" s="231"/>
      <c r="BG531" s="231"/>
      <c r="BH531" s="231"/>
      <c r="BI531" s="231"/>
      <c r="BJ531" s="231"/>
      <c r="BK531" s="224"/>
      <c r="BL531" s="224"/>
    </row>
    <row r="532" spans="1:64" hidden="1" outlineLevel="1">
      <c r="A532" s="9"/>
      <c r="B532" s="9"/>
      <c r="C532" s="44"/>
      <c r="D532" s="271">
        <f>Asset9</f>
        <v>0</v>
      </c>
      <c r="E532" s="9"/>
      <c r="F532" s="9"/>
      <c r="G532" s="204">
        <f>'Actual RAB roll forward'!G802</f>
        <v>0</v>
      </c>
      <c r="H532" s="115">
        <f>'Actual RAB roll forward'!H802</f>
        <v>0</v>
      </c>
      <c r="I532" s="115">
        <f>'Actual RAB roll forward'!I802</f>
        <v>0</v>
      </c>
      <c r="J532" s="115">
        <f>'Actual RAB roll forward'!J802</f>
        <v>0</v>
      </c>
      <c r="K532" s="115">
        <f>'Actual RAB roll forward'!K802</f>
        <v>0</v>
      </c>
      <c r="L532" s="115">
        <f>'Actual RAB roll forward'!L802</f>
        <v>0</v>
      </c>
      <c r="M532" s="115">
        <f>'Actual RAB roll forward'!M802</f>
        <v>0</v>
      </c>
      <c r="N532" s="115">
        <f>'Actual RAB roll forward'!N802</f>
        <v>0</v>
      </c>
      <c r="O532" s="115">
        <f>'Actual RAB roll forward'!O802</f>
        <v>0</v>
      </c>
      <c r="P532" s="115">
        <f>'Actual RAB roll forward'!P802</f>
        <v>0</v>
      </c>
      <c r="Q532" s="115">
        <f>'Actual RAB roll forward'!Q802</f>
        <v>0</v>
      </c>
      <c r="R532" s="29"/>
      <c r="S532" s="104"/>
      <c r="T532" s="104"/>
      <c r="U532" s="104"/>
      <c r="V532" s="104"/>
      <c r="W532" s="104"/>
      <c r="X532" s="104"/>
      <c r="Y532" s="104"/>
      <c r="Z532" s="104"/>
      <c r="AA532" s="23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231"/>
      <c r="BE532" s="231"/>
      <c r="BF532" s="231"/>
      <c r="BG532" s="231"/>
      <c r="BH532" s="231"/>
      <c r="BI532" s="231"/>
      <c r="BJ532" s="231"/>
      <c r="BK532" s="224"/>
      <c r="BL532" s="224"/>
    </row>
    <row r="533" spans="1:64" hidden="1" outlineLevel="1">
      <c r="A533" s="9"/>
      <c r="B533" s="9"/>
      <c r="C533" s="44"/>
      <c r="D533" s="271">
        <f>Asset10</f>
        <v>0</v>
      </c>
      <c r="E533" s="9"/>
      <c r="F533" s="9"/>
      <c r="G533" s="204">
        <f>'Actual RAB roll forward'!G803</f>
        <v>0</v>
      </c>
      <c r="H533" s="115">
        <f>'Actual RAB roll forward'!H803</f>
        <v>0</v>
      </c>
      <c r="I533" s="115">
        <f>'Actual RAB roll forward'!I803</f>
        <v>0</v>
      </c>
      <c r="J533" s="115">
        <f>'Actual RAB roll forward'!J803</f>
        <v>0</v>
      </c>
      <c r="K533" s="115">
        <f>'Actual RAB roll forward'!K803</f>
        <v>0</v>
      </c>
      <c r="L533" s="115">
        <f>'Actual RAB roll forward'!L803</f>
        <v>0</v>
      </c>
      <c r="M533" s="115">
        <f>'Actual RAB roll forward'!M803</f>
        <v>0</v>
      </c>
      <c r="N533" s="115">
        <f>'Actual RAB roll forward'!N803</f>
        <v>0</v>
      </c>
      <c r="O533" s="115">
        <f>'Actual RAB roll forward'!O803</f>
        <v>0</v>
      </c>
      <c r="P533" s="115">
        <f>'Actual RAB roll forward'!P803</f>
        <v>0</v>
      </c>
      <c r="Q533" s="115">
        <f>'Actual RAB roll forward'!Q803</f>
        <v>0</v>
      </c>
      <c r="R533" s="29"/>
      <c r="S533" s="104"/>
      <c r="T533" s="104"/>
      <c r="U533" s="104"/>
      <c r="V533" s="104"/>
      <c r="W533" s="104"/>
      <c r="X533" s="104"/>
      <c r="Y533" s="104"/>
      <c r="Z533" s="104"/>
      <c r="AA533" s="23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231"/>
      <c r="BE533" s="231"/>
      <c r="BF533" s="231"/>
      <c r="BG533" s="231"/>
      <c r="BH533" s="231"/>
      <c r="BI533" s="231"/>
      <c r="BJ533" s="231"/>
      <c r="BK533" s="224"/>
      <c r="BL533" s="224"/>
    </row>
    <row r="534" spans="1:64" hidden="1" outlineLevel="1">
      <c r="A534" s="9"/>
      <c r="B534" s="9"/>
      <c r="C534" s="44"/>
      <c r="D534" s="271">
        <f>Asset11</f>
        <v>0</v>
      </c>
      <c r="E534" s="9"/>
      <c r="F534" s="9"/>
      <c r="G534" s="204">
        <f>'Actual RAB roll forward'!G804</f>
        <v>0</v>
      </c>
      <c r="H534" s="115">
        <f>'Actual RAB roll forward'!H804</f>
        <v>0</v>
      </c>
      <c r="I534" s="115">
        <f>'Actual RAB roll forward'!I804</f>
        <v>0</v>
      </c>
      <c r="J534" s="115">
        <f>'Actual RAB roll forward'!J804</f>
        <v>0</v>
      </c>
      <c r="K534" s="115">
        <f>'Actual RAB roll forward'!K804</f>
        <v>0</v>
      </c>
      <c r="L534" s="115">
        <f>'Actual RAB roll forward'!L804</f>
        <v>0</v>
      </c>
      <c r="M534" s="115">
        <f>'Actual RAB roll forward'!M804</f>
        <v>0</v>
      </c>
      <c r="N534" s="115">
        <f>'Actual RAB roll forward'!N804</f>
        <v>0</v>
      </c>
      <c r="O534" s="115">
        <f>'Actual RAB roll forward'!O804</f>
        <v>0</v>
      </c>
      <c r="P534" s="115">
        <f>'Actual RAB roll forward'!P804</f>
        <v>0</v>
      </c>
      <c r="Q534" s="115">
        <f>'Actual RAB roll forward'!Q804</f>
        <v>0</v>
      </c>
      <c r="R534" s="29"/>
      <c r="S534" s="104"/>
      <c r="T534" s="104"/>
      <c r="U534" s="104"/>
      <c r="V534" s="104"/>
      <c r="W534" s="104"/>
      <c r="X534" s="104"/>
      <c r="Y534" s="104"/>
      <c r="Z534" s="104"/>
      <c r="AA534" s="23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231"/>
      <c r="BE534" s="231"/>
      <c r="BF534" s="231"/>
      <c r="BG534" s="231"/>
      <c r="BH534" s="231"/>
      <c r="BI534" s="231"/>
      <c r="BJ534" s="231"/>
      <c r="BK534" s="224"/>
      <c r="BL534" s="224"/>
    </row>
    <row r="535" spans="1:64" hidden="1" outlineLevel="1">
      <c r="A535" s="9"/>
      <c r="B535" s="9"/>
      <c r="C535" s="44"/>
      <c r="D535" s="271">
        <f>Asset12</f>
        <v>0</v>
      </c>
      <c r="E535" s="9"/>
      <c r="F535" s="9"/>
      <c r="G535" s="204">
        <f>'Actual RAB roll forward'!G805</f>
        <v>0</v>
      </c>
      <c r="H535" s="115">
        <f>'Actual RAB roll forward'!H805</f>
        <v>0</v>
      </c>
      <c r="I535" s="115">
        <f>'Actual RAB roll forward'!I805</f>
        <v>0</v>
      </c>
      <c r="J535" s="115">
        <f>'Actual RAB roll forward'!J805</f>
        <v>0</v>
      </c>
      <c r="K535" s="115">
        <f>'Actual RAB roll forward'!K805</f>
        <v>0</v>
      </c>
      <c r="L535" s="115">
        <f>'Actual RAB roll forward'!L805</f>
        <v>0</v>
      </c>
      <c r="M535" s="115">
        <f>'Actual RAB roll forward'!M805</f>
        <v>0</v>
      </c>
      <c r="N535" s="115">
        <f>'Actual RAB roll forward'!N805</f>
        <v>0</v>
      </c>
      <c r="O535" s="115">
        <f>'Actual RAB roll forward'!O805</f>
        <v>0</v>
      </c>
      <c r="P535" s="115">
        <f>'Actual RAB roll forward'!P805</f>
        <v>0</v>
      </c>
      <c r="Q535" s="115">
        <f>'Actual RAB roll forward'!Q805</f>
        <v>0</v>
      </c>
      <c r="R535" s="29"/>
      <c r="S535" s="104"/>
      <c r="T535" s="104"/>
      <c r="U535" s="104"/>
      <c r="V535" s="104"/>
      <c r="W535" s="104"/>
      <c r="X535" s="104"/>
      <c r="Y535" s="104"/>
      <c r="Z535" s="104"/>
      <c r="AA535" s="23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231"/>
      <c r="BE535" s="231"/>
      <c r="BF535" s="231"/>
      <c r="BG535" s="231"/>
      <c r="BH535" s="231"/>
      <c r="BI535" s="231"/>
      <c r="BJ535" s="231"/>
      <c r="BK535" s="224"/>
      <c r="BL535" s="224"/>
    </row>
    <row r="536" spans="1:64" hidden="1" outlineLevel="1">
      <c r="A536" s="9"/>
      <c r="B536" s="9"/>
      <c r="C536" s="44"/>
      <c r="D536" s="271">
        <f>Asset13</f>
        <v>0</v>
      </c>
      <c r="E536" s="9"/>
      <c r="F536" s="9"/>
      <c r="G536" s="204">
        <f>'Actual RAB roll forward'!G806</f>
        <v>0</v>
      </c>
      <c r="H536" s="115">
        <f>'Actual RAB roll forward'!H806</f>
        <v>0</v>
      </c>
      <c r="I536" s="115">
        <f>'Actual RAB roll forward'!I806</f>
        <v>0</v>
      </c>
      <c r="J536" s="115">
        <f>'Actual RAB roll forward'!J806</f>
        <v>0</v>
      </c>
      <c r="K536" s="115">
        <f>'Actual RAB roll forward'!K806</f>
        <v>0</v>
      </c>
      <c r="L536" s="115">
        <f>'Actual RAB roll forward'!L806</f>
        <v>0</v>
      </c>
      <c r="M536" s="115">
        <f>'Actual RAB roll forward'!M806</f>
        <v>0</v>
      </c>
      <c r="N536" s="115">
        <f>'Actual RAB roll forward'!N806</f>
        <v>0</v>
      </c>
      <c r="O536" s="115">
        <f>'Actual RAB roll forward'!O806</f>
        <v>0</v>
      </c>
      <c r="P536" s="115">
        <f>'Actual RAB roll forward'!P806</f>
        <v>0</v>
      </c>
      <c r="Q536" s="115">
        <f>'Actual RAB roll forward'!Q806</f>
        <v>0</v>
      </c>
      <c r="R536" s="29"/>
      <c r="S536" s="104"/>
      <c r="T536" s="104"/>
      <c r="U536" s="104"/>
      <c r="V536" s="104"/>
      <c r="W536" s="104"/>
      <c r="X536" s="104"/>
      <c r="Y536" s="104"/>
      <c r="Z536" s="104"/>
      <c r="AA536" s="23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231"/>
      <c r="BE536" s="231"/>
      <c r="BF536" s="231"/>
      <c r="BG536" s="231"/>
      <c r="BH536" s="231"/>
      <c r="BI536" s="231"/>
      <c r="BJ536" s="231"/>
      <c r="BK536" s="224"/>
      <c r="BL536" s="224"/>
    </row>
    <row r="537" spans="1:64" hidden="1" outlineLevel="1">
      <c r="A537" s="9"/>
      <c r="B537" s="9"/>
      <c r="C537" s="44"/>
      <c r="D537" s="271">
        <f>Asset14</f>
        <v>0</v>
      </c>
      <c r="E537" s="9"/>
      <c r="F537" s="9"/>
      <c r="G537" s="204">
        <f>'Actual RAB roll forward'!G807</f>
        <v>0</v>
      </c>
      <c r="H537" s="115">
        <f>'Actual RAB roll forward'!H807</f>
        <v>0</v>
      </c>
      <c r="I537" s="115">
        <f>'Actual RAB roll forward'!I807</f>
        <v>0</v>
      </c>
      <c r="J537" s="115">
        <f>'Actual RAB roll forward'!J807</f>
        <v>0</v>
      </c>
      <c r="K537" s="115">
        <f>'Actual RAB roll forward'!K807</f>
        <v>0</v>
      </c>
      <c r="L537" s="115">
        <f>'Actual RAB roll forward'!L807</f>
        <v>0</v>
      </c>
      <c r="M537" s="115">
        <f>'Actual RAB roll forward'!M807</f>
        <v>0</v>
      </c>
      <c r="N537" s="115">
        <f>'Actual RAB roll forward'!N807</f>
        <v>0</v>
      </c>
      <c r="O537" s="115">
        <f>'Actual RAB roll forward'!O807</f>
        <v>0</v>
      </c>
      <c r="P537" s="115">
        <f>'Actual RAB roll forward'!P807</f>
        <v>0</v>
      </c>
      <c r="Q537" s="115">
        <f>'Actual RAB roll forward'!Q807</f>
        <v>0</v>
      </c>
      <c r="R537" s="29"/>
      <c r="S537" s="104"/>
      <c r="T537" s="104"/>
      <c r="U537" s="104"/>
      <c r="V537" s="104"/>
      <c r="W537" s="104"/>
      <c r="X537" s="104"/>
      <c r="Y537" s="104"/>
      <c r="Z537" s="104"/>
      <c r="AA537" s="23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231"/>
      <c r="BE537" s="231"/>
      <c r="BF537" s="231"/>
      <c r="BG537" s="231"/>
      <c r="BH537" s="231"/>
      <c r="BI537" s="231"/>
      <c r="BJ537" s="231"/>
      <c r="BK537" s="224"/>
      <c r="BL537" s="224"/>
    </row>
    <row r="538" spans="1:64" hidden="1" outlineLevel="1">
      <c r="A538" s="9"/>
      <c r="B538" s="9"/>
      <c r="C538" s="44"/>
      <c r="D538" s="271">
        <f>Asset15</f>
        <v>0</v>
      </c>
      <c r="E538" s="9"/>
      <c r="F538" s="9"/>
      <c r="G538" s="204">
        <f>'Actual RAB roll forward'!G808</f>
        <v>0</v>
      </c>
      <c r="H538" s="115">
        <f>'Actual RAB roll forward'!H808</f>
        <v>0</v>
      </c>
      <c r="I538" s="115">
        <f>'Actual RAB roll forward'!I808</f>
        <v>0</v>
      </c>
      <c r="J538" s="115">
        <f>'Actual RAB roll forward'!J808</f>
        <v>0</v>
      </c>
      <c r="K538" s="115">
        <f>'Actual RAB roll forward'!K808</f>
        <v>0</v>
      </c>
      <c r="L538" s="115">
        <f>'Actual RAB roll forward'!L808</f>
        <v>0</v>
      </c>
      <c r="M538" s="115">
        <f>'Actual RAB roll forward'!M808</f>
        <v>0</v>
      </c>
      <c r="N538" s="115">
        <f>'Actual RAB roll forward'!N808</f>
        <v>0</v>
      </c>
      <c r="O538" s="115">
        <f>'Actual RAB roll forward'!O808</f>
        <v>0</v>
      </c>
      <c r="P538" s="115">
        <f>'Actual RAB roll forward'!P808</f>
        <v>0</v>
      </c>
      <c r="Q538" s="115">
        <f>'Actual RAB roll forward'!Q808</f>
        <v>0</v>
      </c>
      <c r="R538" s="29"/>
      <c r="S538" s="104"/>
      <c r="T538" s="104"/>
      <c r="U538" s="104"/>
      <c r="V538" s="104"/>
      <c r="W538" s="104"/>
      <c r="X538" s="104"/>
      <c r="Y538" s="104"/>
      <c r="Z538" s="104"/>
      <c r="AA538" s="23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231"/>
      <c r="BE538" s="231"/>
      <c r="BF538" s="231"/>
      <c r="BG538" s="231"/>
      <c r="BH538" s="231"/>
      <c r="BI538" s="231"/>
      <c r="BJ538" s="231"/>
      <c r="BK538" s="224"/>
      <c r="BL538" s="224"/>
    </row>
    <row r="539" spans="1:64" hidden="1" outlineLevel="1">
      <c r="A539" s="9"/>
      <c r="B539" s="9"/>
      <c r="C539" s="44"/>
      <c r="D539" s="271">
        <f>Asset16</f>
        <v>0</v>
      </c>
      <c r="E539" s="9"/>
      <c r="F539" s="9"/>
      <c r="G539" s="204">
        <f>'Actual RAB roll forward'!G809</f>
        <v>0</v>
      </c>
      <c r="H539" s="115">
        <f>'Actual RAB roll forward'!H809</f>
        <v>0</v>
      </c>
      <c r="I539" s="115">
        <f>'Actual RAB roll forward'!I809</f>
        <v>0</v>
      </c>
      <c r="J539" s="115">
        <f>'Actual RAB roll forward'!J809</f>
        <v>0</v>
      </c>
      <c r="K539" s="115">
        <f>'Actual RAB roll forward'!K809</f>
        <v>0</v>
      </c>
      <c r="L539" s="115">
        <f>'Actual RAB roll forward'!L809</f>
        <v>0</v>
      </c>
      <c r="M539" s="115">
        <f>'Actual RAB roll forward'!M809</f>
        <v>0</v>
      </c>
      <c r="N539" s="115">
        <f>'Actual RAB roll forward'!N809</f>
        <v>0</v>
      </c>
      <c r="O539" s="115">
        <f>'Actual RAB roll forward'!O809</f>
        <v>0</v>
      </c>
      <c r="P539" s="115">
        <f>'Actual RAB roll forward'!P809</f>
        <v>0</v>
      </c>
      <c r="Q539" s="115">
        <f>'Actual RAB roll forward'!Q809</f>
        <v>0</v>
      </c>
      <c r="R539" s="29"/>
      <c r="S539" s="104"/>
      <c r="T539" s="104"/>
      <c r="U539" s="104"/>
      <c r="V539" s="104"/>
      <c r="W539" s="104"/>
      <c r="X539" s="104"/>
      <c r="Y539" s="104"/>
      <c r="Z539" s="104"/>
      <c r="AA539" s="23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231"/>
      <c r="BE539" s="231"/>
      <c r="BF539" s="231"/>
      <c r="BG539" s="231"/>
      <c r="BH539" s="231"/>
      <c r="BI539" s="231"/>
      <c r="BJ539" s="231"/>
      <c r="BK539" s="224"/>
      <c r="BL539" s="224"/>
    </row>
    <row r="540" spans="1:64" hidden="1" outlineLevel="1">
      <c r="A540" s="9"/>
      <c r="B540" s="9"/>
      <c r="C540" s="44"/>
      <c r="D540" s="271">
        <f>Asset17</f>
        <v>0</v>
      </c>
      <c r="E540" s="9"/>
      <c r="F540" s="9"/>
      <c r="G540" s="204">
        <f>'Actual RAB roll forward'!G810</f>
        <v>0</v>
      </c>
      <c r="H540" s="115">
        <f>'Actual RAB roll forward'!H810</f>
        <v>0</v>
      </c>
      <c r="I540" s="115">
        <f>'Actual RAB roll forward'!I810</f>
        <v>0</v>
      </c>
      <c r="J540" s="115">
        <f>'Actual RAB roll forward'!J810</f>
        <v>0</v>
      </c>
      <c r="K540" s="115">
        <f>'Actual RAB roll forward'!K810</f>
        <v>0</v>
      </c>
      <c r="L540" s="115">
        <f>'Actual RAB roll forward'!L810</f>
        <v>0</v>
      </c>
      <c r="M540" s="115">
        <f>'Actual RAB roll forward'!M810</f>
        <v>0</v>
      </c>
      <c r="N540" s="115">
        <f>'Actual RAB roll forward'!N810</f>
        <v>0</v>
      </c>
      <c r="O540" s="115">
        <f>'Actual RAB roll forward'!O810</f>
        <v>0</v>
      </c>
      <c r="P540" s="115">
        <f>'Actual RAB roll forward'!P810</f>
        <v>0</v>
      </c>
      <c r="Q540" s="115">
        <f>'Actual RAB roll forward'!Q810</f>
        <v>0</v>
      </c>
      <c r="R540" s="29"/>
      <c r="S540" s="104"/>
      <c r="T540" s="104"/>
      <c r="U540" s="104"/>
      <c r="V540" s="104"/>
      <c r="W540" s="104"/>
      <c r="X540" s="104"/>
      <c r="Y540" s="104"/>
      <c r="Z540" s="104"/>
      <c r="AA540" s="23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231"/>
      <c r="BE540" s="231"/>
      <c r="BF540" s="231"/>
      <c r="BG540" s="231"/>
      <c r="BH540" s="231"/>
      <c r="BI540" s="231"/>
      <c r="BJ540" s="231"/>
      <c r="BK540" s="224"/>
      <c r="BL540" s="224"/>
    </row>
    <row r="541" spans="1:64" hidden="1" outlineLevel="1">
      <c r="A541" s="9"/>
      <c r="B541" s="9"/>
      <c r="C541" s="44"/>
      <c r="D541" s="271">
        <f>Asset18</f>
        <v>0</v>
      </c>
      <c r="E541" s="9"/>
      <c r="F541" s="9"/>
      <c r="G541" s="204">
        <f>'Actual RAB roll forward'!G811</f>
        <v>0</v>
      </c>
      <c r="H541" s="115">
        <f>'Actual RAB roll forward'!H811</f>
        <v>0</v>
      </c>
      <c r="I541" s="115">
        <f>'Actual RAB roll forward'!I811</f>
        <v>0</v>
      </c>
      <c r="J541" s="115">
        <f>'Actual RAB roll forward'!J811</f>
        <v>0</v>
      </c>
      <c r="K541" s="115">
        <f>'Actual RAB roll forward'!K811</f>
        <v>0</v>
      </c>
      <c r="L541" s="115">
        <f>'Actual RAB roll forward'!L811</f>
        <v>0</v>
      </c>
      <c r="M541" s="115">
        <f>'Actual RAB roll forward'!M811</f>
        <v>0</v>
      </c>
      <c r="N541" s="115">
        <f>'Actual RAB roll forward'!N811</f>
        <v>0</v>
      </c>
      <c r="O541" s="115">
        <f>'Actual RAB roll forward'!O811</f>
        <v>0</v>
      </c>
      <c r="P541" s="115">
        <f>'Actual RAB roll forward'!P811</f>
        <v>0</v>
      </c>
      <c r="Q541" s="115">
        <f>'Actual RAB roll forward'!Q811</f>
        <v>0</v>
      </c>
      <c r="R541" s="29"/>
      <c r="S541" s="104"/>
      <c r="T541" s="104"/>
      <c r="U541" s="104"/>
      <c r="V541" s="104"/>
      <c r="W541" s="104"/>
      <c r="X541" s="104"/>
      <c r="Y541" s="104"/>
      <c r="Z541" s="104"/>
      <c r="AA541" s="23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231"/>
      <c r="BE541" s="231"/>
      <c r="BF541" s="231"/>
      <c r="BG541" s="231"/>
      <c r="BH541" s="231"/>
      <c r="BI541" s="231"/>
      <c r="BJ541" s="231"/>
      <c r="BK541" s="224"/>
      <c r="BL541" s="224"/>
    </row>
    <row r="542" spans="1:64" hidden="1" outlineLevel="1">
      <c r="A542" s="9"/>
      <c r="B542" s="9"/>
      <c r="C542" s="44"/>
      <c r="D542" s="271">
        <f>Asset19</f>
        <v>0</v>
      </c>
      <c r="E542" s="9"/>
      <c r="F542" s="9"/>
      <c r="G542" s="204">
        <f>'Actual RAB roll forward'!G812</f>
        <v>0</v>
      </c>
      <c r="H542" s="115">
        <f>'Actual RAB roll forward'!H812</f>
        <v>0</v>
      </c>
      <c r="I542" s="115">
        <f>'Actual RAB roll forward'!I812</f>
        <v>0</v>
      </c>
      <c r="J542" s="115">
        <f>'Actual RAB roll forward'!J812</f>
        <v>0</v>
      </c>
      <c r="K542" s="115">
        <f>'Actual RAB roll forward'!K812</f>
        <v>0</v>
      </c>
      <c r="L542" s="115">
        <f>'Actual RAB roll forward'!L812</f>
        <v>0</v>
      </c>
      <c r="M542" s="115">
        <f>'Actual RAB roll forward'!M812</f>
        <v>0</v>
      </c>
      <c r="N542" s="115">
        <f>'Actual RAB roll forward'!N812</f>
        <v>0</v>
      </c>
      <c r="O542" s="115">
        <f>'Actual RAB roll forward'!O812</f>
        <v>0</v>
      </c>
      <c r="P542" s="115">
        <f>'Actual RAB roll forward'!P812</f>
        <v>0</v>
      </c>
      <c r="Q542" s="115">
        <f>'Actual RAB roll forward'!Q812</f>
        <v>0</v>
      </c>
      <c r="R542" s="29"/>
      <c r="S542" s="104"/>
      <c r="T542" s="104"/>
      <c r="U542" s="104"/>
      <c r="V542" s="104"/>
      <c r="W542" s="104"/>
      <c r="X542" s="104"/>
      <c r="Y542" s="104"/>
      <c r="Z542" s="104"/>
      <c r="AA542" s="23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231"/>
      <c r="BE542" s="231"/>
      <c r="BF542" s="231"/>
      <c r="BG542" s="231"/>
      <c r="BH542" s="231"/>
      <c r="BI542" s="231"/>
      <c r="BJ542" s="231"/>
      <c r="BK542" s="224"/>
      <c r="BL542" s="224"/>
    </row>
    <row r="543" spans="1:64" hidden="1" outlineLevel="1">
      <c r="A543" s="9"/>
      <c r="B543" s="9"/>
      <c r="C543" s="44"/>
      <c r="D543" s="271">
        <f>Asset20</f>
        <v>0</v>
      </c>
      <c r="E543" s="9"/>
      <c r="F543" s="9"/>
      <c r="G543" s="204">
        <f>'Actual RAB roll forward'!G813</f>
        <v>0</v>
      </c>
      <c r="H543" s="115">
        <f>'Actual RAB roll forward'!H813</f>
        <v>0</v>
      </c>
      <c r="I543" s="115">
        <f>'Actual RAB roll forward'!I813</f>
        <v>0</v>
      </c>
      <c r="J543" s="115">
        <f>'Actual RAB roll forward'!J813</f>
        <v>0</v>
      </c>
      <c r="K543" s="115">
        <f>'Actual RAB roll forward'!K813</f>
        <v>0</v>
      </c>
      <c r="L543" s="115">
        <f>'Actual RAB roll forward'!L813</f>
        <v>0</v>
      </c>
      <c r="M543" s="115">
        <f>'Actual RAB roll forward'!M813</f>
        <v>0</v>
      </c>
      <c r="N543" s="115">
        <f>'Actual RAB roll forward'!N813</f>
        <v>0</v>
      </c>
      <c r="O543" s="115">
        <f>'Actual RAB roll forward'!O813</f>
        <v>0</v>
      </c>
      <c r="P543" s="115">
        <f>'Actual RAB roll forward'!P813</f>
        <v>0</v>
      </c>
      <c r="Q543" s="115">
        <f>'Actual RAB roll forward'!Q813</f>
        <v>0</v>
      </c>
      <c r="R543" s="29"/>
      <c r="S543" s="104"/>
      <c r="T543" s="104"/>
      <c r="U543" s="104"/>
      <c r="V543" s="104"/>
      <c r="W543" s="104"/>
      <c r="X543" s="104"/>
      <c r="Y543" s="104"/>
      <c r="Z543" s="104"/>
      <c r="AA543" s="23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231"/>
      <c r="BE543" s="231"/>
      <c r="BF543" s="231"/>
      <c r="BG543" s="231"/>
      <c r="BH543" s="231"/>
      <c r="BI543" s="231"/>
      <c r="BJ543" s="231"/>
      <c r="BK543" s="224"/>
      <c r="BL543" s="224"/>
    </row>
    <row r="544" spans="1:64" hidden="1" outlineLevel="1">
      <c r="A544" s="9"/>
      <c r="B544" s="9"/>
      <c r="C544" s="44"/>
      <c r="D544" s="271">
        <f>Asset21</f>
        <v>0</v>
      </c>
      <c r="E544" s="9"/>
      <c r="F544" s="9"/>
      <c r="G544" s="204">
        <f>'Actual RAB roll forward'!G814</f>
        <v>0</v>
      </c>
      <c r="H544" s="115">
        <f>'Actual RAB roll forward'!H814</f>
        <v>0</v>
      </c>
      <c r="I544" s="115">
        <f>'Actual RAB roll forward'!I814</f>
        <v>0</v>
      </c>
      <c r="J544" s="115">
        <f>'Actual RAB roll forward'!J814</f>
        <v>0</v>
      </c>
      <c r="K544" s="115">
        <f>'Actual RAB roll forward'!K814</f>
        <v>0</v>
      </c>
      <c r="L544" s="115">
        <f>'Actual RAB roll forward'!L814</f>
        <v>0</v>
      </c>
      <c r="M544" s="115">
        <f>'Actual RAB roll forward'!M814</f>
        <v>0</v>
      </c>
      <c r="N544" s="115">
        <f>'Actual RAB roll forward'!N814</f>
        <v>0</v>
      </c>
      <c r="O544" s="115">
        <f>'Actual RAB roll forward'!O814</f>
        <v>0</v>
      </c>
      <c r="P544" s="115">
        <f>'Actual RAB roll forward'!P814</f>
        <v>0</v>
      </c>
      <c r="Q544" s="115">
        <f>'Actual RAB roll forward'!Q814</f>
        <v>0</v>
      </c>
      <c r="R544" s="29"/>
      <c r="S544" s="104"/>
      <c r="T544" s="104"/>
      <c r="U544" s="104"/>
      <c r="V544" s="104"/>
      <c r="W544" s="104"/>
      <c r="X544" s="104"/>
      <c r="Y544" s="104"/>
      <c r="Z544" s="104"/>
      <c r="AA544" s="23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231"/>
      <c r="BE544" s="231"/>
      <c r="BF544" s="231"/>
      <c r="BG544" s="231"/>
      <c r="BH544" s="231"/>
      <c r="BI544" s="231"/>
      <c r="BJ544" s="231"/>
      <c r="BK544" s="224"/>
      <c r="BL544" s="224"/>
    </row>
    <row r="545" spans="1:64" hidden="1" outlineLevel="1">
      <c r="A545" s="9"/>
      <c r="B545" s="9"/>
      <c r="C545" s="44"/>
      <c r="D545" s="271">
        <f>Asset22</f>
        <v>0</v>
      </c>
      <c r="E545" s="9"/>
      <c r="F545" s="9"/>
      <c r="G545" s="204">
        <f>'Actual RAB roll forward'!G815</f>
        <v>0</v>
      </c>
      <c r="H545" s="115">
        <f>'Actual RAB roll forward'!H815</f>
        <v>0</v>
      </c>
      <c r="I545" s="115">
        <f>'Actual RAB roll forward'!I815</f>
        <v>0</v>
      </c>
      <c r="J545" s="115">
        <f>'Actual RAB roll forward'!J815</f>
        <v>0</v>
      </c>
      <c r="K545" s="115">
        <f>'Actual RAB roll forward'!K815</f>
        <v>0</v>
      </c>
      <c r="L545" s="115">
        <f>'Actual RAB roll forward'!L815</f>
        <v>0</v>
      </c>
      <c r="M545" s="115">
        <f>'Actual RAB roll forward'!M815</f>
        <v>0</v>
      </c>
      <c r="N545" s="115">
        <f>'Actual RAB roll forward'!N815</f>
        <v>0</v>
      </c>
      <c r="O545" s="115">
        <f>'Actual RAB roll forward'!O815</f>
        <v>0</v>
      </c>
      <c r="P545" s="115">
        <f>'Actual RAB roll forward'!P815</f>
        <v>0</v>
      </c>
      <c r="Q545" s="115">
        <f>'Actual RAB roll forward'!Q815</f>
        <v>0</v>
      </c>
      <c r="R545" s="29"/>
      <c r="S545" s="104"/>
      <c r="T545" s="104"/>
      <c r="U545" s="104"/>
      <c r="V545" s="104"/>
      <c r="W545" s="104"/>
      <c r="X545" s="104"/>
      <c r="Y545" s="104"/>
      <c r="Z545" s="104"/>
      <c r="AA545" s="23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231"/>
      <c r="BE545" s="231"/>
      <c r="BF545" s="231"/>
      <c r="BG545" s="231"/>
      <c r="BH545" s="231"/>
      <c r="BI545" s="231"/>
      <c r="BJ545" s="231"/>
      <c r="BK545" s="224"/>
      <c r="BL545" s="224"/>
    </row>
    <row r="546" spans="1:64" hidden="1" outlineLevel="1">
      <c r="A546" s="9"/>
      <c r="B546" s="9"/>
      <c r="C546" s="44"/>
      <c r="D546" s="271">
        <f>Asset23</f>
        <v>0</v>
      </c>
      <c r="E546" s="9"/>
      <c r="F546" s="9"/>
      <c r="G546" s="204">
        <f>'Actual RAB roll forward'!G816</f>
        <v>0</v>
      </c>
      <c r="H546" s="115">
        <f>'Actual RAB roll forward'!H816</f>
        <v>0</v>
      </c>
      <c r="I546" s="115">
        <f>'Actual RAB roll forward'!I816</f>
        <v>0</v>
      </c>
      <c r="J546" s="115">
        <f>'Actual RAB roll forward'!J816</f>
        <v>0</v>
      </c>
      <c r="K546" s="115">
        <f>'Actual RAB roll forward'!K816</f>
        <v>0</v>
      </c>
      <c r="L546" s="115">
        <f>'Actual RAB roll forward'!L816</f>
        <v>0</v>
      </c>
      <c r="M546" s="115">
        <f>'Actual RAB roll forward'!M816</f>
        <v>0</v>
      </c>
      <c r="N546" s="115">
        <f>'Actual RAB roll forward'!N816</f>
        <v>0</v>
      </c>
      <c r="O546" s="115">
        <f>'Actual RAB roll forward'!O816</f>
        <v>0</v>
      </c>
      <c r="P546" s="115">
        <f>'Actual RAB roll forward'!P816</f>
        <v>0</v>
      </c>
      <c r="Q546" s="115">
        <f>'Actual RAB roll forward'!Q816</f>
        <v>0</v>
      </c>
      <c r="R546" s="29"/>
      <c r="S546" s="104"/>
      <c r="T546" s="104"/>
      <c r="U546" s="104"/>
      <c r="V546" s="104"/>
      <c r="W546" s="104"/>
      <c r="X546" s="104"/>
      <c r="Y546" s="104"/>
      <c r="Z546" s="104"/>
      <c r="AA546" s="23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231"/>
      <c r="BE546" s="231"/>
      <c r="BF546" s="231"/>
      <c r="BG546" s="231"/>
      <c r="BH546" s="231"/>
      <c r="BI546" s="231"/>
      <c r="BJ546" s="231"/>
      <c r="BK546" s="224"/>
      <c r="BL546" s="224"/>
    </row>
    <row r="547" spans="1:64" hidden="1" outlineLevel="1">
      <c r="A547" s="9"/>
      <c r="B547" s="9"/>
      <c r="C547" s="44"/>
      <c r="D547" s="271">
        <f>Asset24</f>
        <v>0</v>
      </c>
      <c r="E547" s="9"/>
      <c r="F547" s="9"/>
      <c r="G547" s="204">
        <f>'Actual RAB roll forward'!G817</f>
        <v>0</v>
      </c>
      <c r="H547" s="115">
        <f>'Actual RAB roll forward'!H817</f>
        <v>0</v>
      </c>
      <c r="I547" s="115">
        <f>'Actual RAB roll forward'!I817</f>
        <v>0</v>
      </c>
      <c r="J547" s="115">
        <f>'Actual RAB roll forward'!J817</f>
        <v>0</v>
      </c>
      <c r="K547" s="115">
        <f>'Actual RAB roll forward'!K817</f>
        <v>0</v>
      </c>
      <c r="L547" s="115">
        <f>'Actual RAB roll forward'!L817</f>
        <v>0</v>
      </c>
      <c r="M547" s="115">
        <f>'Actual RAB roll forward'!M817</f>
        <v>0</v>
      </c>
      <c r="N547" s="115">
        <f>'Actual RAB roll forward'!N817</f>
        <v>0</v>
      </c>
      <c r="O547" s="115">
        <f>'Actual RAB roll forward'!O817</f>
        <v>0</v>
      </c>
      <c r="P547" s="115">
        <f>'Actual RAB roll forward'!P817</f>
        <v>0</v>
      </c>
      <c r="Q547" s="115">
        <f>'Actual RAB roll forward'!Q817</f>
        <v>0</v>
      </c>
      <c r="R547" s="29"/>
      <c r="S547" s="104"/>
      <c r="T547" s="104"/>
      <c r="U547" s="104"/>
      <c r="V547" s="104"/>
      <c r="W547" s="104"/>
      <c r="X547" s="104"/>
      <c r="Y547" s="104"/>
      <c r="Z547" s="104"/>
      <c r="AA547" s="23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231"/>
      <c r="BE547" s="231"/>
      <c r="BF547" s="231"/>
      <c r="BG547" s="231"/>
      <c r="BH547" s="231"/>
      <c r="BI547" s="231"/>
      <c r="BJ547" s="231"/>
      <c r="BK547" s="224"/>
      <c r="BL547" s="224"/>
    </row>
    <row r="548" spans="1:64" hidden="1" outlineLevel="1">
      <c r="A548" s="9"/>
      <c r="B548" s="9"/>
      <c r="C548" s="44"/>
      <c r="D548" s="271">
        <f>Asset25</f>
        <v>0</v>
      </c>
      <c r="E548" s="9"/>
      <c r="F548" s="9"/>
      <c r="G548" s="204">
        <f>'Actual RAB roll forward'!G818</f>
        <v>0</v>
      </c>
      <c r="H548" s="115">
        <f>'Actual RAB roll forward'!H818</f>
        <v>0</v>
      </c>
      <c r="I548" s="115">
        <f>'Actual RAB roll forward'!I818</f>
        <v>0</v>
      </c>
      <c r="J548" s="115">
        <f>'Actual RAB roll forward'!J818</f>
        <v>0</v>
      </c>
      <c r="K548" s="115">
        <f>'Actual RAB roll forward'!K818</f>
        <v>0</v>
      </c>
      <c r="L548" s="115">
        <f>'Actual RAB roll forward'!L818</f>
        <v>0</v>
      </c>
      <c r="M548" s="115">
        <f>'Actual RAB roll forward'!M818</f>
        <v>0</v>
      </c>
      <c r="N548" s="115">
        <f>'Actual RAB roll forward'!N818</f>
        <v>0</v>
      </c>
      <c r="O548" s="115">
        <f>'Actual RAB roll forward'!O818</f>
        <v>0</v>
      </c>
      <c r="P548" s="115">
        <f>'Actual RAB roll forward'!P818</f>
        <v>0</v>
      </c>
      <c r="Q548" s="115">
        <f>'Actual RAB roll forward'!Q818</f>
        <v>0</v>
      </c>
      <c r="R548" s="29"/>
      <c r="S548" s="104"/>
      <c r="T548" s="104"/>
      <c r="U548" s="104"/>
      <c r="V548" s="104"/>
      <c r="W548" s="104"/>
      <c r="X548" s="104"/>
      <c r="Y548" s="104"/>
      <c r="Z548" s="104"/>
      <c r="AA548" s="23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231"/>
      <c r="BE548" s="231"/>
      <c r="BF548" s="231"/>
      <c r="BG548" s="231"/>
      <c r="BH548" s="231"/>
      <c r="BI548" s="231"/>
      <c r="BJ548" s="231"/>
      <c r="BK548" s="224"/>
      <c r="BL548" s="224"/>
    </row>
    <row r="549" spans="1:64" hidden="1" outlineLevel="1">
      <c r="A549" s="9"/>
      <c r="B549" s="9"/>
      <c r="C549" s="44"/>
      <c r="D549" s="271">
        <f>Asset26</f>
        <v>0</v>
      </c>
      <c r="E549" s="9"/>
      <c r="F549" s="9"/>
      <c r="G549" s="204">
        <f>'Actual RAB roll forward'!G819</f>
        <v>0</v>
      </c>
      <c r="H549" s="115">
        <f>'Actual RAB roll forward'!H819</f>
        <v>0</v>
      </c>
      <c r="I549" s="115">
        <f>'Actual RAB roll forward'!I819</f>
        <v>0</v>
      </c>
      <c r="J549" s="115">
        <f>'Actual RAB roll forward'!J819</f>
        <v>0</v>
      </c>
      <c r="K549" s="115">
        <f>'Actual RAB roll forward'!K819</f>
        <v>0</v>
      </c>
      <c r="L549" s="115">
        <f>'Actual RAB roll forward'!L819</f>
        <v>0</v>
      </c>
      <c r="M549" s="115">
        <f>'Actual RAB roll forward'!M819</f>
        <v>0</v>
      </c>
      <c r="N549" s="115">
        <f>'Actual RAB roll forward'!N819</f>
        <v>0</v>
      </c>
      <c r="O549" s="115">
        <f>'Actual RAB roll forward'!O819</f>
        <v>0</v>
      </c>
      <c r="P549" s="115">
        <f>'Actual RAB roll forward'!P819</f>
        <v>0</v>
      </c>
      <c r="Q549" s="115">
        <f>'Actual RAB roll forward'!Q819</f>
        <v>0</v>
      </c>
      <c r="R549" s="29"/>
      <c r="S549" s="104"/>
      <c r="T549" s="104"/>
      <c r="U549" s="104"/>
      <c r="V549" s="104"/>
      <c r="W549" s="104"/>
      <c r="X549" s="104"/>
      <c r="Y549" s="104"/>
      <c r="Z549" s="104"/>
      <c r="AA549" s="23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231"/>
      <c r="BE549" s="231"/>
      <c r="BF549" s="231"/>
      <c r="BG549" s="231"/>
      <c r="BH549" s="231"/>
      <c r="BI549" s="231"/>
      <c r="BJ549" s="231"/>
      <c r="BK549" s="224"/>
      <c r="BL549" s="224"/>
    </row>
    <row r="550" spans="1:64" hidden="1" outlineLevel="1">
      <c r="A550" s="9"/>
      <c r="B550" s="9"/>
      <c r="C550" s="44"/>
      <c r="D550" s="271">
        <f>Asset27</f>
        <v>0</v>
      </c>
      <c r="E550" s="9"/>
      <c r="F550" s="9"/>
      <c r="G550" s="204">
        <f>'Actual RAB roll forward'!G820</f>
        <v>0</v>
      </c>
      <c r="H550" s="115">
        <f>'Actual RAB roll forward'!H820</f>
        <v>0</v>
      </c>
      <c r="I550" s="115">
        <f>'Actual RAB roll forward'!I820</f>
        <v>0</v>
      </c>
      <c r="J550" s="115">
        <f>'Actual RAB roll forward'!J820</f>
        <v>0</v>
      </c>
      <c r="K550" s="115">
        <f>'Actual RAB roll forward'!K820</f>
        <v>0</v>
      </c>
      <c r="L550" s="115">
        <f>'Actual RAB roll forward'!L820</f>
        <v>0</v>
      </c>
      <c r="M550" s="115">
        <f>'Actual RAB roll forward'!M820</f>
        <v>0</v>
      </c>
      <c r="N550" s="115">
        <f>'Actual RAB roll forward'!N820</f>
        <v>0</v>
      </c>
      <c r="O550" s="115">
        <f>'Actual RAB roll forward'!O820</f>
        <v>0</v>
      </c>
      <c r="P550" s="115">
        <f>'Actual RAB roll forward'!P820</f>
        <v>0</v>
      </c>
      <c r="Q550" s="115">
        <f>'Actual RAB roll forward'!Q820</f>
        <v>0</v>
      </c>
      <c r="R550" s="29"/>
      <c r="S550" s="104"/>
      <c r="T550" s="104"/>
      <c r="U550" s="104"/>
      <c r="V550" s="104"/>
      <c r="W550" s="104"/>
      <c r="X550" s="104"/>
      <c r="Y550" s="104"/>
      <c r="Z550" s="104"/>
      <c r="AA550" s="23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231"/>
      <c r="BE550" s="231"/>
      <c r="BF550" s="231"/>
      <c r="BG550" s="231"/>
      <c r="BH550" s="231"/>
      <c r="BI550" s="231"/>
      <c r="BJ550" s="231"/>
      <c r="BK550" s="224"/>
      <c r="BL550" s="224"/>
    </row>
    <row r="551" spans="1:64" hidden="1" outlineLevel="1">
      <c r="A551" s="9"/>
      <c r="B551" s="9"/>
      <c r="C551" s="44"/>
      <c r="D551" s="271">
        <f>Asset28</f>
        <v>0</v>
      </c>
      <c r="E551" s="9"/>
      <c r="F551" s="9"/>
      <c r="G551" s="204">
        <f>'Actual RAB roll forward'!G821</f>
        <v>0</v>
      </c>
      <c r="H551" s="115">
        <f>'Actual RAB roll forward'!H821</f>
        <v>0</v>
      </c>
      <c r="I551" s="115">
        <f>'Actual RAB roll forward'!I821</f>
        <v>0</v>
      </c>
      <c r="J551" s="115">
        <f>'Actual RAB roll forward'!J821</f>
        <v>0</v>
      </c>
      <c r="K551" s="115">
        <f>'Actual RAB roll forward'!K821</f>
        <v>0</v>
      </c>
      <c r="L551" s="115">
        <f>'Actual RAB roll forward'!L821</f>
        <v>0</v>
      </c>
      <c r="M551" s="115">
        <f>'Actual RAB roll forward'!M821</f>
        <v>0</v>
      </c>
      <c r="N551" s="115">
        <f>'Actual RAB roll forward'!N821</f>
        <v>0</v>
      </c>
      <c r="O551" s="115">
        <f>'Actual RAB roll forward'!O821</f>
        <v>0</v>
      </c>
      <c r="P551" s="115">
        <f>'Actual RAB roll forward'!P821</f>
        <v>0</v>
      </c>
      <c r="Q551" s="115">
        <f>'Actual RAB roll forward'!Q821</f>
        <v>0</v>
      </c>
      <c r="R551" s="29"/>
      <c r="S551" s="104"/>
      <c r="T551" s="104"/>
      <c r="U551" s="104"/>
      <c r="V551" s="104"/>
      <c r="W551" s="104"/>
      <c r="X551" s="104"/>
      <c r="Y551" s="104"/>
      <c r="Z551" s="104"/>
      <c r="AA551" s="23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231"/>
      <c r="BE551" s="231"/>
      <c r="BF551" s="231"/>
      <c r="BG551" s="231"/>
      <c r="BH551" s="231"/>
      <c r="BI551" s="231"/>
      <c r="BJ551" s="231"/>
      <c r="BK551" s="224"/>
      <c r="BL551" s="224"/>
    </row>
    <row r="552" spans="1:64" hidden="1" outlineLevel="1">
      <c r="A552" s="9"/>
      <c r="B552" s="9"/>
      <c r="C552" s="44"/>
      <c r="D552" s="271">
        <f>Asset29</f>
        <v>0</v>
      </c>
      <c r="E552" s="9"/>
      <c r="F552" s="9"/>
      <c r="G552" s="204">
        <f>'Actual RAB roll forward'!G822</f>
        <v>0</v>
      </c>
      <c r="H552" s="115">
        <f>'Actual RAB roll forward'!H822</f>
        <v>0</v>
      </c>
      <c r="I552" s="115">
        <f>'Actual RAB roll forward'!I822</f>
        <v>0</v>
      </c>
      <c r="J552" s="115">
        <f>'Actual RAB roll forward'!J822</f>
        <v>0</v>
      </c>
      <c r="K552" s="115">
        <f>'Actual RAB roll forward'!K822</f>
        <v>0</v>
      </c>
      <c r="L552" s="115">
        <f>'Actual RAB roll forward'!L822</f>
        <v>0</v>
      </c>
      <c r="M552" s="115">
        <f>'Actual RAB roll forward'!M822</f>
        <v>0</v>
      </c>
      <c r="N552" s="115">
        <f>'Actual RAB roll forward'!N822</f>
        <v>0</v>
      </c>
      <c r="O552" s="115">
        <f>'Actual RAB roll forward'!O822</f>
        <v>0</v>
      </c>
      <c r="P552" s="115">
        <f>'Actual RAB roll forward'!P822</f>
        <v>0</v>
      </c>
      <c r="Q552" s="115">
        <f>'Actual RAB roll forward'!Q822</f>
        <v>0</v>
      </c>
      <c r="R552" s="29"/>
      <c r="S552" s="104"/>
      <c r="T552" s="104"/>
      <c r="U552" s="104"/>
      <c r="V552" s="104"/>
      <c r="W552" s="104"/>
      <c r="X552" s="104"/>
      <c r="Y552" s="104"/>
      <c r="Z552" s="104"/>
      <c r="AA552" s="23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24"/>
      <c r="BL552" s="224"/>
    </row>
    <row r="553" spans="1:64" hidden="1" outlineLevel="1">
      <c r="A553" s="9"/>
      <c r="B553" s="9"/>
      <c r="C553" s="44"/>
      <c r="D553" s="271">
        <f>Asset30</f>
        <v>0</v>
      </c>
      <c r="E553" s="9"/>
      <c r="F553" s="9"/>
      <c r="G553" s="204">
        <f>'Actual RAB roll forward'!G823</f>
        <v>0</v>
      </c>
      <c r="H553" s="115">
        <f>'Actual RAB roll forward'!H823</f>
        <v>0</v>
      </c>
      <c r="I553" s="115">
        <f>'Actual RAB roll forward'!I823</f>
        <v>0</v>
      </c>
      <c r="J553" s="115">
        <f>'Actual RAB roll forward'!J823</f>
        <v>0</v>
      </c>
      <c r="K553" s="115">
        <f>'Actual RAB roll forward'!K823</f>
        <v>0</v>
      </c>
      <c r="L553" s="115">
        <f>'Actual RAB roll forward'!L823</f>
        <v>0</v>
      </c>
      <c r="M553" s="115">
        <f>'Actual RAB roll forward'!M823</f>
        <v>0</v>
      </c>
      <c r="N553" s="115">
        <f>'Actual RAB roll forward'!N823</f>
        <v>0</v>
      </c>
      <c r="O553" s="115">
        <f>'Actual RAB roll forward'!O823</f>
        <v>0</v>
      </c>
      <c r="P553" s="115">
        <f>'Actual RAB roll forward'!P823</f>
        <v>0</v>
      </c>
      <c r="Q553" s="115">
        <f>'Actual RAB roll forward'!Q823</f>
        <v>0</v>
      </c>
      <c r="R553" s="29"/>
      <c r="S553" s="104"/>
      <c r="T553" s="104"/>
      <c r="U553" s="104"/>
      <c r="V553" s="104"/>
      <c r="W553" s="104"/>
      <c r="X553" s="104"/>
      <c r="Y553" s="104"/>
      <c r="Z553" s="104"/>
      <c r="AA553" s="23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24"/>
      <c r="BL553" s="224"/>
    </row>
    <row r="554" spans="1:64" collapsed="1">
      <c r="A554" s="9"/>
      <c r="B554" s="9"/>
      <c r="C554" s="44"/>
      <c r="D554" s="117"/>
      <c r="E554" s="9"/>
      <c r="F554" s="9"/>
      <c r="G554" s="213"/>
      <c r="H554" s="35"/>
      <c r="I554" s="35"/>
      <c r="J554" s="35"/>
      <c r="K554" s="35"/>
      <c r="L554" s="35"/>
      <c r="M554" s="35"/>
      <c r="N554" s="104"/>
      <c r="O554" s="29"/>
      <c r="P554" s="29"/>
      <c r="Q554" s="29"/>
      <c r="R554" s="29"/>
      <c r="S554" s="104"/>
      <c r="T554" s="104"/>
      <c r="U554" s="104"/>
      <c r="V554" s="104"/>
      <c r="W554" s="104"/>
      <c r="X554" s="104"/>
      <c r="Y554" s="104"/>
      <c r="Z554" s="104"/>
      <c r="AA554" s="23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231"/>
      <c r="BE554" s="231"/>
      <c r="BF554" s="231"/>
      <c r="BG554" s="231"/>
      <c r="BH554" s="231"/>
      <c r="BI554" s="231"/>
      <c r="BJ554" s="231"/>
      <c r="BK554" s="224"/>
      <c r="BL554" s="224"/>
    </row>
    <row r="555" spans="1:64">
      <c r="A555" s="9"/>
      <c r="B555" s="9"/>
      <c r="C555" s="94" t="s">
        <v>49</v>
      </c>
      <c r="D555" s="12"/>
      <c r="E555" s="9"/>
      <c r="F555" s="9"/>
      <c r="G555" s="205">
        <f>SUM(G556:G585)</f>
        <v>-85.497842544496294</v>
      </c>
      <c r="H555" s="35">
        <f>SUM(H556:H585)</f>
        <v>-89.005231496529916</v>
      </c>
      <c r="I555" s="35">
        <f t="shared" ref="I555:Q555" si="53">SUM(I556:I585)</f>
        <v>-34.714075478242158</v>
      </c>
      <c r="J555" s="35">
        <f t="shared" si="53"/>
        <v>-83.120548490464657</v>
      </c>
      <c r="K555" s="35">
        <f t="shared" si="53"/>
        <v>-79.084031742681205</v>
      </c>
      <c r="L555" s="35">
        <f t="shared" si="53"/>
        <v>-72.973664130462026</v>
      </c>
      <c r="M555" s="35">
        <f t="shared" si="53"/>
        <v>0</v>
      </c>
      <c r="N555" s="35">
        <f t="shared" si="53"/>
        <v>0</v>
      </c>
      <c r="O555" s="35">
        <f t="shared" si="53"/>
        <v>0</v>
      </c>
      <c r="P555" s="35">
        <f t="shared" si="53"/>
        <v>0</v>
      </c>
      <c r="Q555" s="35">
        <f t="shared" si="53"/>
        <v>0</v>
      </c>
      <c r="R555" s="29"/>
      <c r="S555" s="104"/>
      <c r="T555" s="104"/>
      <c r="U555" s="104"/>
      <c r="V555" s="104"/>
      <c r="W555" s="104"/>
      <c r="X555" s="104"/>
      <c r="Y555" s="104"/>
      <c r="Z555" s="104"/>
      <c r="AA555" s="23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231"/>
      <c r="BE555" s="231"/>
      <c r="BF555" s="231"/>
      <c r="BG555" s="231"/>
      <c r="BH555" s="231"/>
      <c r="BI555" s="231"/>
      <c r="BJ555" s="231"/>
      <c r="BK555" s="224"/>
      <c r="BL555" s="224"/>
    </row>
    <row r="556" spans="1:64" hidden="1" outlineLevel="1">
      <c r="A556" s="9"/>
      <c r="B556" s="9"/>
      <c r="C556" s="44"/>
      <c r="D556" s="271" t="str">
        <f>Asset1</f>
        <v>Subtransmission</v>
      </c>
      <c r="E556" s="9"/>
      <c r="F556" s="9"/>
      <c r="G556" s="204">
        <f>'Actual RAB roll forward'!G826</f>
        <v>-6.6911891775343548</v>
      </c>
      <c r="H556" s="115">
        <f>'Actual RAB roll forward'!H826</f>
        <v>-1.4121726060074709</v>
      </c>
      <c r="I556" s="115">
        <f>'Actual RAB roll forward'!I826</f>
        <v>5.2644874861382362E-2</v>
      </c>
      <c r="J556" s="115">
        <f>'Actual RAB roll forward'!J826</f>
        <v>-3.6168212369029087</v>
      </c>
      <c r="K556" s="115">
        <f>'Actual RAB roll forward'!K826</f>
        <v>-3.5384730273056562</v>
      </c>
      <c r="L556" s="115">
        <f>'Actual RAB roll forward'!L826</f>
        <v>-3.3569311841354992</v>
      </c>
      <c r="M556" s="115">
        <f>'Actual RAB roll forward'!M826</f>
        <v>0</v>
      </c>
      <c r="N556" s="115">
        <f>'Actual RAB roll forward'!N826</f>
        <v>0</v>
      </c>
      <c r="O556" s="115">
        <f>'Actual RAB roll forward'!O826</f>
        <v>0</v>
      </c>
      <c r="P556" s="115">
        <f>'Actual RAB roll forward'!P826</f>
        <v>0</v>
      </c>
      <c r="Q556" s="115">
        <f>'Actual RAB roll forward'!Q826</f>
        <v>0</v>
      </c>
      <c r="R556" s="29"/>
      <c r="S556" s="104"/>
      <c r="T556" s="104"/>
      <c r="U556" s="104"/>
      <c r="V556" s="104"/>
      <c r="W556" s="104"/>
      <c r="X556" s="104"/>
      <c r="Y556" s="104"/>
      <c r="Z556" s="104"/>
      <c r="AA556" s="23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231"/>
      <c r="BE556" s="231"/>
      <c r="BF556" s="231"/>
      <c r="BG556" s="231"/>
      <c r="BH556" s="231"/>
      <c r="BI556" s="231"/>
      <c r="BJ556" s="231"/>
      <c r="BK556" s="224"/>
      <c r="BL556" s="224"/>
    </row>
    <row r="557" spans="1:64" hidden="1" outlineLevel="1">
      <c r="A557" s="9"/>
      <c r="B557" s="9"/>
      <c r="C557" s="44"/>
      <c r="D557" s="271" t="str">
        <f>Asset2</f>
        <v>Distribution system assets</v>
      </c>
      <c r="E557" s="9"/>
      <c r="F557" s="9"/>
      <c r="G557" s="204">
        <f>'Actual RAB roll forward'!G827</f>
        <v>-30.502351015154549</v>
      </c>
      <c r="H557" s="115">
        <f>'Actual RAB roll forward'!H827</f>
        <v>-13.086408647832833</v>
      </c>
      <c r="I557" s="115">
        <f>'Actual RAB roll forward'!I827</f>
        <v>-9.2938846340430814E-2</v>
      </c>
      <c r="J557" s="115">
        <f>'Actual RAB roll forward'!J827</f>
        <v>-30.829169357900689</v>
      </c>
      <c r="K557" s="115">
        <f>'Actual RAB roll forward'!K827</f>
        <v>-29.421117476512855</v>
      </c>
      <c r="L557" s="115">
        <f>'Actual RAB roll forward'!L827</f>
        <v>-27.717469934295117</v>
      </c>
      <c r="M557" s="115">
        <f>'Actual RAB roll forward'!M827</f>
        <v>0</v>
      </c>
      <c r="N557" s="115">
        <f>'Actual RAB roll forward'!N827</f>
        <v>0</v>
      </c>
      <c r="O557" s="115">
        <f>'Actual RAB roll forward'!O827</f>
        <v>0</v>
      </c>
      <c r="P557" s="115">
        <f>'Actual RAB roll forward'!P827</f>
        <v>0</v>
      </c>
      <c r="Q557" s="115">
        <f>'Actual RAB roll forward'!Q827</f>
        <v>0</v>
      </c>
      <c r="R557" s="29"/>
      <c r="S557" s="104"/>
      <c r="T557" s="104"/>
      <c r="U557" s="104"/>
      <c r="V557" s="104"/>
      <c r="W557" s="104"/>
      <c r="X557" s="104"/>
      <c r="Y557" s="104"/>
      <c r="Z557" s="104"/>
      <c r="AA557" s="23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231"/>
      <c r="BE557" s="231"/>
      <c r="BF557" s="231"/>
      <c r="BG557" s="231"/>
      <c r="BH557" s="231"/>
      <c r="BI557" s="231"/>
      <c r="BJ557" s="231"/>
      <c r="BK557" s="224"/>
      <c r="BL557" s="224"/>
    </row>
    <row r="558" spans="1:64" hidden="1" outlineLevel="1">
      <c r="A558" s="9"/>
      <c r="B558" s="9"/>
      <c r="C558" s="44"/>
      <c r="D558" s="271" t="str">
        <f>Asset3</f>
        <v>Standard metering</v>
      </c>
      <c r="E558" s="9"/>
      <c r="F558" s="9"/>
      <c r="G558" s="204">
        <f>'Actual RAB roll forward'!G828</f>
        <v>-13.489445516505549</v>
      </c>
      <c r="H558" s="115">
        <f>'Actual RAB roll forward'!H828</f>
        <v>-15.790380770985779</v>
      </c>
      <c r="I558" s="115">
        <f>'Actual RAB roll forward'!I828</f>
        <v>0</v>
      </c>
      <c r="J558" s="115">
        <f>'Actual RAB roll forward'!J828</f>
        <v>0</v>
      </c>
      <c r="K558" s="115">
        <f>'Actual RAB roll forward'!K828</f>
        <v>0</v>
      </c>
      <c r="L558" s="115">
        <f>'Actual RAB roll forward'!L828</f>
        <v>0</v>
      </c>
      <c r="M558" s="115">
        <f>'Actual RAB roll forward'!M828</f>
        <v>0</v>
      </c>
      <c r="N558" s="115">
        <f>'Actual RAB roll forward'!N828</f>
        <v>0</v>
      </c>
      <c r="O558" s="115">
        <f>'Actual RAB roll forward'!O828</f>
        <v>0</v>
      </c>
      <c r="P558" s="115">
        <f>'Actual RAB roll forward'!P828</f>
        <v>0</v>
      </c>
      <c r="Q558" s="115">
        <f>'Actual RAB roll forward'!Q828</f>
        <v>0</v>
      </c>
      <c r="R558" s="29"/>
      <c r="S558" s="104"/>
      <c r="T558" s="104"/>
      <c r="U558" s="104"/>
      <c r="V558" s="104"/>
      <c r="W558" s="104"/>
      <c r="X558" s="104"/>
      <c r="Y558" s="104"/>
      <c r="Z558" s="104"/>
      <c r="AA558" s="23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231"/>
      <c r="BE558" s="231"/>
      <c r="BF558" s="231"/>
      <c r="BG558" s="231"/>
      <c r="BH558" s="231"/>
      <c r="BI558" s="231"/>
      <c r="BJ558" s="231"/>
      <c r="BK558" s="224"/>
      <c r="BL558" s="224"/>
    </row>
    <row r="559" spans="1:64" hidden="1" outlineLevel="1">
      <c r="A559" s="9"/>
      <c r="B559" s="9"/>
      <c r="C559" s="44"/>
      <c r="D559" s="271" t="str">
        <f>Asset4</f>
        <v>Public lighting</v>
      </c>
      <c r="E559" s="9"/>
      <c r="F559" s="9"/>
      <c r="G559" s="204">
        <f>'Actual RAB roll forward'!G829</f>
        <v>-6.5389223827045004</v>
      </c>
      <c r="H559" s="115">
        <f>'Actual RAB roll forward'!H829</f>
        <v>-0.38897486718899543</v>
      </c>
      <c r="I559" s="115">
        <f>'Actual RAB roll forward'!I829</f>
        <v>0</v>
      </c>
      <c r="J559" s="115">
        <f>'Actual RAB roll forward'!J829</f>
        <v>0</v>
      </c>
      <c r="K559" s="115">
        <f>'Actual RAB roll forward'!K829</f>
        <v>0</v>
      </c>
      <c r="L559" s="115">
        <f>'Actual RAB roll forward'!L829</f>
        <v>0</v>
      </c>
      <c r="M559" s="115">
        <f>'Actual RAB roll forward'!M829</f>
        <v>0</v>
      </c>
      <c r="N559" s="115">
        <f>'Actual RAB roll forward'!N829</f>
        <v>0</v>
      </c>
      <c r="O559" s="115">
        <f>'Actual RAB roll forward'!O829</f>
        <v>0</v>
      </c>
      <c r="P559" s="115">
        <f>'Actual RAB roll forward'!P829</f>
        <v>0</v>
      </c>
      <c r="Q559" s="115">
        <f>'Actual RAB roll forward'!Q829</f>
        <v>0</v>
      </c>
      <c r="R559" s="29"/>
      <c r="S559" s="104"/>
      <c r="T559" s="104"/>
      <c r="U559" s="104"/>
      <c r="V559" s="104"/>
      <c r="W559" s="104"/>
      <c r="X559" s="104"/>
      <c r="Y559" s="104"/>
      <c r="Z559" s="104"/>
      <c r="AA559" s="23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231"/>
      <c r="BE559" s="231"/>
      <c r="BF559" s="231"/>
      <c r="BG559" s="231"/>
      <c r="BH559" s="231"/>
      <c r="BI559" s="231"/>
      <c r="BJ559" s="231"/>
      <c r="BK559" s="224"/>
      <c r="BL559" s="224"/>
    </row>
    <row r="560" spans="1:64" hidden="1" outlineLevel="1">
      <c r="A560" s="9"/>
      <c r="B560" s="9"/>
      <c r="C560" s="44"/>
      <c r="D560" s="271" t="str">
        <f>Asset5</f>
        <v>SCADA/Network control</v>
      </c>
      <c r="E560" s="9"/>
      <c r="F560" s="9"/>
      <c r="G560" s="204">
        <f>'Actual RAB roll forward'!G830</f>
        <v>-9.9973617177477241</v>
      </c>
      <c r="H560" s="115">
        <f>'Actual RAB roll forward'!H830</f>
        <v>-1.6653345369377348E-15</v>
      </c>
      <c r="I560" s="115">
        <f>'Actual RAB roll forward'!I830</f>
        <v>-0.2286760460721044</v>
      </c>
      <c r="J560" s="115">
        <f>'Actual RAB roll forward'!J830</f>
        <v>-1.4038840086916538</v>
      </c>
      <c r="K560" s="115">
        <f>'Actual RAB roll forward'!K830</f>
        <v>-1.8236807268729756</v>
      </c>
      <c r="L560" s="115">
        <f>'Actual RAB roll forward'!L830</f>
        <v>-2.0398525519937203</v>
      </c>
      <c r="M560" s="115">
        <f>'Actual RAB roll forward'!M830</f>
        <v>0</v>
      </c>
      <c r="N560" s="115">
        <f>'Actual RAB roll forward'!N830</f>
        <v>0</v>
      </c>
      <c r="O560" s="115">
        <f>'Actual RAB roll forward'!O830</f>
        <v>0</v>
      </c>
      <c r="P560" s="115">
        <f>'Actual RAB roll forward'!P830</f>
        <v>0</v>
      </c>
      <c r="Q560" s="115">
        <f>'Actual RAB roll forward'!Q830</f>
        <v>0</v>
      </c>
      <c r="R560" s="29"/>
      <c r="S560" s="104"/>
      <c r="T560" s="104"/>
      <c r="U560" s="104"/>
      <c r="V560" s="104"/>
      <c r="W560" s="104"/>
      <c r="X560" s="104"/>
      <c r="Y560" s="104"/>
      <c r="Z560" s="104"/>
      <c r="AA560" s="23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231"/>
      <c r="BE560" s="231"/>
      <c r="BF560" s="231"/>
      <c r="BG560" s="231"/>
      <c r="BH560" s="231"/>
      <c r="BI560" s="231"/>
      <c r="BJ560" s="231"/>
      <c r="BK560" s="224"/>
      <c r="BL560" s="224"/>
    </row>
    <row r="561" spans="1:64" hidden="1" outlineLevel="1">
      <c r="A561" s="9"/>
      <c r="B561" s="9"/>
      <c r="C561" s="44"/>
      <c r="D561" s="271" t="str">
        <f>Asset6</f>
        <v>Non-network general assets - IT</v>
      </c>
      <c r="E561" s="9"/>
      <c r="F561" s="9"/>
      <c r="G561" s="204">
        <f>'Actual RAB roll forward'!G831</f>
        <v>-18.232941669919043</v>
      </c>
      <c r="H561" s="115">
        <f>'Actual RAB roll forward'!H831</f>
        <v>-24.051650203029588</v>
      </c>
      <c r="I561" s="115">
        <f>'Actual RAB roll forward'!I831</f>
        <v>-33.579678639948213</v>
      </c>
      <c r="J561" s="115">
        <f>'Actual RAB roll forward'!J831</f>
        <v>-45.549130105242405</v>
      </c>
      <c r="K561" s="115">
        <f>'Actual RAB roll forward'!K831</f>
        <v>-41.467596794153749</v>
      </c>
      <c r="L561" s="115">
        <f>'Actual RAB roll forward'!L831</f>
        <v>-36.071174665794985</v>
      </c>
      <c r="M561" s="115">
        <f>'Actual RAB roll forward'!M831</f>
        <v>0</v>
      </c>
      <c r="N561" s="115">
        <f>'Actual RAB roll forward'!N831</f>
        <v>0</v>
      </c>
      <c r="O561" s="115">
        <f>'Actual RAB roll forward'!O831</f>
        <v>0</v>
      </c>
      <c r="P561" s="115">
        <f>'Actual RAB roll forward'!P831</f>
        <v>0</v>
      </c>
      <c r="Q561" s="115">
        <f>'Actual RAB roll forward'!Q831</f>
        <v>0</v>
      </c>
      <c r="R561" s="29"/>
      <c r="S561" s="104"/>
      <c r="T561" s="104"/>
      <c r="U561" s="104"/>
      <c r="V561" s="104"/>
      <c r="W561" s="104"/>
      <c r="X561" s="104"/>
      <c r="Y561" s="104"/>
      <c r="Z561" s="104"/>
      <c r="AA561" s="23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231"/>
      <c r="BE561" s="231"/>
      <c r="BF561" s="231"/>
      <c r="BG561" s="231"/>
      <c r="BH561" s="231"/>
      <c r="BI561" s="231"/>
      <c r="BJ561" s="231"/>
      <c r="BK561" s="224"/>
      <c r="BL561" s="224"/>
    </row>
    <row r="562" spans="1:64" hidden="1" outlineLevel="1">
      <c r="A562" s="9"/>
      <c r="B562" s="9"/>
      <c r="C562" s="44"/>
      <c r="D562" s="271" t="str">
        <f>Asset7</f>
        <v>Non-network general assets - Other</v>
      </c>
      <c r="E562" s="9"/>
      <c r="F562" s="9"/>
      <c r="G562" s="204">
        <f>'Actual RAB roll forward'!G832</f>
        <v>-4.5631064930580612E-2</v>
      </c>
      <c r="H562" s="115">
        <f>'Actual RAB roll forward'!H832</f>
        <v>-34.275644401485252</v>
      </c>
      <c r="I562" s="115">
        <f>'Actual RAB roll forward'!I832</f>
        <v>-0.88552901952294794</v>
      </c>
      <c r="J562" s="115">
        <f>'Actual RAB roll forward'!J832</f>
        <v>-1.7177770951143159</v>
      </c>
      <c r="K562" s="115">
        <f>'Actual RAB roll forward'!K832</f>
        <v>-2.8310268264286993</v>
      </c>
      <c r="L562" s="115">
        <f>'Actual RAB roll forward'!L832</f>
        <v>-3.7875204145944852</v>
      </c>
      <c r="M562" s="115">
        <f>'Actual RAB roll forward'!M832</f>
        <v>0</v>
      </c>
      <c r="N562" s="115">
        <f>'Actual RAB roll forward'!N832</f>
        <v>0</v>
      </c>
      <c r="O562" s="115">
        <f>'Actual RAB roll forward'!O832</f>
        <v>0</v>
      </c>
      <c r="P562" s="115">
        <f>'Actual RAB roll forward'!P832</f>
        <v>0</v>
      </c>
      <c r="Q562" s="115">
        <f>'Actual RAB roll forward'!Q832</f>
        <v>0</v>
      </c>
      <c r="R562" s="29"/>
      <c r="S562" s="104"/>
      <c r="T562" s="104"/>
      <c r="U562" s="104"/>
      <c r="V562" s="104"/>
      <c r="W562" s="104"/>
      <c r="X562" s="104"/>
      <c r="Y562" s="104"/>
      <c r="Z562" s="104"/>
      <c r="AA562" s="23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231"/>
      <c r="BE562" s="231"/>
      <c r="BF562" s="231"/>
      <c r="BG562" s="231"/>
      <c r="BH562" s="231"/>
      <c r="BI562" s="231"/>
      <c r="BJ562" s="231"/>
      <c r="BK562" s="224"/>
      <c r="BL562" s="224"/>
    </row>
    <row r="563" spans="1:64" hidden="1" outlineLevel="1">
      <c r="A563" s="9"/>
      <c r="B563" s="9"/>
      <c r="C563" s="44"/>
      <c r="D563" s="271" t="str">
        <f>Asset8</f>
        <v>Equity Raising Costs</v>
      </c>
      <c r="E563" s="9"/>
      <c r="F563" s="9"/>
      <c r="G563" s="204">
        <f>'Actual RAB roll forward'!G833</f>
        <v>0</v>
      </c>
      <c r="H563" s="115">
        <f>'Actual RAB roll forward'!H833</f>
        <v>0</v>
      </c>
      <c r="I563" s="115">
        <f>'Actual RAB roll forward'!I833</f>
        <v>2.0102198780155262E-2</v>
      </c>
      <c r="J563" s="115">
        <f>'Actual RAB roll forward'!J833</f>
        <v>-3.7666866126759915E-3</v>
      </c>
      <c r="K563" s="115">
        <f>'Actual RAB roll forward'!K833</f>
        <v>-2.1368914072693382E-3</v>
      </c>
      <c r="L563" s="115">
        <f>'Actual RAB roll forward'!L833</f>
        <v>-7.1537964822988159E-4</v>
      </c>
      <c r="M563" s="115">
        <f>'Actual RAB roll forward'!M833</f>
        <v>0</v>
      </c>
      <c r="N563" s="115">
        <f>'Actual RAB roll forward'!N833</f>
        <v>0</v>
      </c>
      <c r="O563" s="115">
        <f>'Actual RAB roll forward'!O833</f>
        <v>0</v>
      </c>
      <c r="P563" s="115">
        <f>'Actual RAB roll forward'!P833</f>
        <v>0</v>
      </c>
      <c r="Q563" s="115">
        <f>'Actual RAB roll forward'!Q833</f>
        <v>0</v>
      </c>
      <c r="R563" s="29"/>
      <c r="S563" s="104"/>
      <c r="T563" s="104"/>
      <c r="U563" s="104"/>
      <c r="V563" s="104"/>
      <c r="W563" s="104"/>
      <c r="X563" s="104"/>
      <c r="Y563" s="104"/>
      <c r="Z563" s="104"/>
      <c r="AA563" s="23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231"/>
      <c r="BE563" s="231"/>
      <c r="BF563" s="231"/>
      <c r="BG563" s="231"/>
      <c r="BH563" s="231"/>
      <c r="BI563" s="231"/>
      <c r="BJ563" s="231"/>
      <c r="BK563" s="224"/>
      <c r="BL563" s="224"/>
    </row>
    <row r="564" spans="1:64" hidden="1" outlineLevel="1">
      <c r="A564" s="9"/>
      <c r="B564" s="9"/>
      <c r="C564" s="44"/>
      <c r="D564" s="271">
        <f>Asset9</f>
        <v>0</v>
      </c>
      <c r="E564" s="9"/>
      <c r="F564" s="9"/>
      <c r="G564" s="204">
        <f>'Actual RAB roll forward'!G834</f>
        <v>0</v>
      </c>
      <c r="H564" s="115">
        <f>'Actual RAB roll forward'!H834</f>
        <v>0</v>
      </c>
      <c r="I564" s="115">
        <f>'Actual RAB roll forward'!I834</f>
        <v>0</v>
      </c>
      <c r="J564" s="115">
        <f>'Actual RAB roll forward'!J834</f>
        <v>0</v>
      </c>
      <c r="K564" s="115">
        <f>'Actual RAB roll forward'!K834</f>
        <v>0</v>
      </c>
      <c r="L564" s="115">
        <f>'Actual RAB roll forward'!L834</f>
        <v>0</v>
      </c>
      <c r="M564" s="115">
        <f>'Actual RAB roll forward'!M834</f>
        <v>0</v>
      </c>
      <c r="N564" s="115">
        <f>'Actual RAB roll forward'!N834</f>
        <v>0</v>
      </c>
      <c r="O564" s="115">
        <f>'Actual RAB roll forward'!O834</f>
        <v>0</v>
      </c>
      <c r="P564" s="115">
        <f>'Actual RAB roll forward'!P834</f>
        <v>0</v>
      </c>
      <c r="Q564" s="115">
        <f>'Actual RAB roll forward'!Q834</f>
        <v>0</v>
      </c>
      <c r="R564" s="29"/>
      <c r="S564" s="104"/>
      <c r="T564" s="104"/>
      <c r="U564" s="104"/>
      <c r="V564" s="104"/>
      <c r="W564" s="104"/>
      <c r="X564" s="104"/>
      <c r="Y564" s="104"/>
      <c r="Z564" s="104"/>
      <c r="AA564" s="23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231"/>
      <c r="BE564" s="231"/>
      <c r="BF564" s="231"/>
      <c r="BG564" s="231"/>
      <c r="BH564" s="231"/>
      <c r="BI564" s="231"/>
      <c r="BJ564" s="231"/>
      <c r="BK564" s="224"/>
      <c r="BL564" s="224"/>
    </row>
    <row r="565" spans="1:64" hidden="1" outlineLevel="1">
      <c r="A565" s="9"/>
      <c r="B565" s="9"/>
      <c r="C565" s="44"/>
      <c r="D565" s="271">
        <f>Asset10</f>
        <v>0</v>
      </c>
      <c r="E565" s="9"/>
      <c r="F565" s="9"/>
      <c r="G565" s="204">
        <f>'Actual RAB roll forward'!G835</f>
        <v>0</v>
      </c>
      <c r="H565" s="115">
        <f>'Actual RAB roll forward'!H835</f>
        <v>0</v>
      </c>
      <c r="I565" s="115">
        <f>'Actual RAB roll forward'!I835</f>
        <v>0</v>
      </c>
      <c r="J565" s="115">
        <f>'Actual RAB roll forward'!J835</f>
        <v>0</v>
      </c>
      <c r="K565" s="115">
        <f>'Actual RAB roll forward'!K835</f>
        <v>0</v>
      </c>
      <c r="L565" s="115">
        <f>'Actual RAB roll forward'!L835</f>
        <v>0</v>
      </c>
      <c r="M565" s="115">
        <f>'Actual RAB roll forward'!M835</f>
        <v>0</v>
      </c>
      <c r="N565" s="115">
        <f>'Actual RAB roll forward'!N835</f>
        <v>0</v>
      </c>
      <c r="O565" s="115">
        <f>'Actual RAB roll forward'!O835</f>
        <v>0</v>
      </c>
      <c r="P565" s="115">
        <f>'Actual RAB roll forward'!P835</f>
        <v>0</v>
      </c>
      <c r="Q565" s="115">
        <f>'Actual RAB roll forward'!Q835</f>
        <v>0</v>
      </c>
      <c r="R565" s="29"/>
      <c r="S565" s="104"/>
      <c r="T565" s="104"/>
      <c r="U565" s="104"/>
      <c r="V565" s="104"/>
      <c r="W565" s="104"/>
      <c r="X565" s="104"/>
      <c r="Y565" s="104"/>
      <c r="Z565" s="104"/>
      <c r="AA565" s="23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231"/>
      <c r="BE565" s="231"/>
      <c r="BF565" s="231"/>
      <c r="BG565" s="231"/>
      <c r="BH565" s="231"/>
      <c r="BI565" s="231"/>
      <c r="BJ565" s="231"/>
      <c r="BK565" s="224"/>
      <c r="BL565" s="224"/>
    </row>
    <row r="566" spans="1:64" hidden="1" outlineLevel="1">
      <c r="A566" s="9"/>
      <c r="B566" s="9"/>
      <c r="C566" s="44"/>
      <c r="D566" s="271">
        <f>Asset11</f>
        <v>0</v>
      </c>
      <c r="E566" s="9"/>
      <c r="F566" s="9"/>
      <c r="G566" s="204">
        <f>'Actual RAB roll forward'!G836</f>
        <v>0</v>
      </c>
      <c r="H566" s="115">
        <f>'Actual RAB roll forward'!H836</f>
        <v>0</v>
      </c>
      <c r="I566" s="115">
        <f>'Actual RAB roll forward'!I836</f>
        <v>0</v>
      </c>
      <c r="J566" s="115">
        <f>'Actual RAB roll forward'!J836</f>
        <v>0</v>
      </c>
      <c r="K566" s="115">
        <f>'Actual RAB roll forward'!K836</f>
        <v>0</v>
      </c>
      <c r="L566" s="115">
        <f>'Actual RAB roll forward'!L836</f>
        <v>0</v>
      </c>
      <c r="M566" s="115">
        <f>'Actual RAB roll forward'!M836</f>
        <v>0</v>
      </c>
      <c r="N566" s="115">
        <f>'Actual RAB roll forward'!N836</f>
        <v>0</v>
      </c>
      <c r="O566" s="115">
        <f>'Actual RAB roll forward'!O836</f>
        <v>0</v>
      </c>
      <c r="P566" s="115">
        <f>'Actual RAB roll forward'!P836</f>
        <v>0</v>
      </c>
      <c r="Q566" s="115">
        <f>'Actual RAB roll forward'!Q836</f>
        <v>0</v>
      </c>
      <c r="R566" s="29"/>
      <c r="S566" s="104"/>
      <c r="T566" s="104"/>
      <c r="U566" s="104"/>
      <c r="V566" s="104"/>
      <c r="W566" s="104"/>
      <c r="X566" s="104"/>
      <c r="Y566" s="104"/>
      <c r="Z566" s="104"/>
      <c r="AA566" s="23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231"/>
      <c r="BE566" s="231"/>
      <c r="BF566" s="231"/>
      <c r="BG566" s="231"/>
      <c r="BH566" s="231"/>
      <c r="BI566" s="231"/>
      <c r="BJ566" s="231"/>
      <c r="BK566" s="224"/>
      <c r="BL566" s="224"/>
    </row>
    <row r="567" spans="1:64" hidden="1" outlineLevel="1">
      <c r="A567" s="9"/>
      <c r="B567" s="9"/>
      <c r="C567" s="44"/>
      <c r="D567" s="271">
        <f>Asset12</f>
        <v>0</v>
      </c>
      <c r="E567" s="9"/>
      <c r="F567" s="9"/>
      <c r="G567" s="204">
        <f>'Actual RAB roll forward'!G837</f>
        <v>0</v>
      </c>
      <c r="H567" s="115">
        <f>'Actual RAB roll forward'!H837</f>
        <v>0</v>
      </c>
      <c r="I567" s="115">
        <f>'Actual RAB roll forward'!I837</f>
        <v>0</v>
      </c>
      <c r="J567" s="115">
        <f>'Actual RAB roll forward'!J837</f>
        <v>0</v>
      </c>
      <c r="K567" s="115">
        <f>'Actual RAB roll forward'!K837</f>
        <v>0</v>
      </c>
      <c r="L567" s="115">
        <f>'Actual RAB roll forward'!L837</f>
        <v>0</v>
      </c>
      <c r="M567" s="115">
        <f>'Actual RAB roll forward'!M837</f>
        <v>0</v>
      </c>
      <c r="N567" s="115">
        <f>'Actual RAB roll forward'!N837</f>
        <v>0</v>
      </c>
      <c r="O567" s="115">
        <f>'Actual RAB roll forward'!O837</f>
        <v>0</v>
      </c>
      <c r="P567" s="115">
        <f>'Actual RAB roll forward'!P837</f>
        <v>0</v>
      </c>
      <c r="Q567" s="115">
        <f>'Actual RAB roll forward'!Q837</f>
        <v>0</v>
      </c>
      <c r="R567" s="29"/>
      <c r="S567" s="104"/>
      <c r="T567" s="104"/>
      <c r="U567" s="104"/>
      <c r="V567" s="104"/>
      <c r="W567" s="104"/>
      <c r="X567" s="104"/>
      <c r="Y567" s="104"/>
      <c r="Z567" s="104"/>
      <c r="AA567" s="23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231"/>
      <c r="BE567" s="231"/>
      <c r="BF567" s="231"/>
      <c r="BG567" s="231"/>
      <c r="BH567" s="231"/>
      <c r="BI567" s="231"/>
      <c r="BJ567" s="231"/>
      <c r="BK567" s="224"/>
      <c r="BL567" s="224"/>
    </row>
    <row r="568" spans="1:64" hidden="1" outlineLevel="1">
      <c r="A568" s="9"/>
      <c r="B568" s="9"/>
      <c r="C568" s="44"/>
      <c r="D568" s="271">
        <f>Asset13</f>
        <v>0</v>
      </c>
      <c r="E568" s="9"/>
      <c r="F568" s="9"/>
      <c r="G568" s="204">
        <f>'Actual RAB roll forward'!G838</f>
        <v>0</v>
      </c>
      <c r="H568" s="115">
        <f>'Actual RAB roll forward'!H838</f>
        <v>0</v>
      </c>
      <c r="I568" s="115">
        <f>'Actual RAB roll forward'!I838</f>
        <v>0</v>
      </c>
      <c r="J568" s="115">
        <f>'Actual RAB roll forward'!J838</f>
        <v>0</v>
      </c>
      <c r="K568" s="115">
        <f>'Actual RAB roll forward'!K838</f>
        <v>0</v>
      </c>
      <c r="L568" s="115">
        <f>'Actual RAB roll forward'!L838</f>
        <v>0</v>
      </c>
      <c r="M568" s="115">
        <f>'Actual RAB roll forward'!M838</f>
        <v>0</v>
      </c>
      <c r="N568" s="115">
        <f>'Actual RAB roll forward'!N838</f>
        <v>0</v>
      </c>
      <c r="O568" s="115">
        <f>'Actual RAB roll forward'!O838</f>
        <v>0</v>
      </c>
      <c r="P568" s="115">
        <f>'Actual RAB roll forward'!P838</f>
        <v>0</v>
      </c>
      <c r="Q568" s="115">
        <f>'Actual RAB roll forward'!Q838</f>
        <v>0</v>
      </c>
      <c r="R568" s="29"/>
      <c r="S568" s="104"/>
      <c r="T568" s="104"/>
      <c r="U568" s="104"/>
      <c r="V568" s="104"/>
      <c r="W568" s="104"/>
      <c r="X568" s="104"/>
      <c r="Y568" s="104"/>
      <c r="Z568" s="104"/>
      <c r="AA568" s="23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231"/>
      <c r="BE568" s="231"/>
      <c r="BF568" s="231"/>
      <c r="BG568" s="231"/>
      <c r="BH568" s="231"/>
      <c r="BI568" s="231"/>
      <c r="BJ568" s="231"/>
      <c r="BK568" s="224"/>
      <c r="BL568" s="224"/>
    </row>
    <row r="569" spans="1:64" hidden="1" outlineLevel="1">
      <c r="A569" s="9"/>
      <c r="B569" s="9"/>
      <c r="C569" s="44"/>
      <c r="D569" s="271">
        <f>Asset14</f>
        <v>0</v>
      </c>
      <c r="E569" s="9"/>
      <c r="F569" s="9"/>
      <c r="G569" s="204">
        <f>'Actual RAB roll forward'!G839</f>
        <v>0</v>
      </c>
      <c r="H569" s="115">
        <f>'Actual RAB roll forward'!H839</f>
        <v>0</v>
      </c>
      <c r="I569" s="115">
        <f>'Actual RAB roll forward'!I839</f>
        <v>0</v>
      </c>
      <c r="J569" s="115">
        <f>'Actual RAB roll forward'!J839</f>
        <v>0</v>
      </c>
      <c r="K569" s="115">
        <f>'Actual RAB roll forward'!K839</f>
        <v>0</v>
      </c>
      <c r="L569" s="115">
        <f>'Actual RAB roll forward'!L839</f>
        <v>0</v>
      </c>
      <c r="M569" s="115">
        <f>'Actual RAB roll forward'!M839</f>
        <v>0</v>
      </c>
      <c r="N569" s="115">
        <f>'Actual RAB roll forward'!N839</f>
        <v>0</v>
      </c>
      <c r="O569" s="115">
        <f>'Actual RAB roll forward'!O839</f>
        <v>0</v>
      </c>
      <c r="P569" s="115">
        <f>'Actual RAB roll forward'!P839</f>
        <v>0</v>
      </c>
      <c r="Q569" s="115">
        <f>'Actual RAB roll forward'!Q839</f>
        <v>0</v>
      </c>
      <c r="R569" s="29"/>
      <c r="S569" s="104"/>
      <c r="T569" s="104"/>
      <c r="U569" s="104"/>
      <c r="V569" s="104"/>
      <c r="W569" s="104"/>
      <c r="X569" s="104"/>
      <c r="Y569" s="104"/>
      <c r="Z569" s="104"/>
      <c r="AA569" s="23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231"/>
      <c r="BE569" s="231"/>
      <c r="BF569" s="231"/>
      <c r="BG569" s="231"/>
      <c r="BH569" s="231"/>
      <c r="BI569" s="231"/>
      <c r="BJ569" s="231"/>
      <c r="BK569" s="224"/>
      <c r="BL569" s="224"/>
    </row>
    <row r="570" spans="1:64" hidden="1" outlineLevel="1">
      <c r="A570" s="9"/>
      <c r="B570" s="9"/>
      <c r="C570" s="44"/>
      <c r="D570" s="271">
        <f>Asset15</f>
        <v>0</v>
      </c>
      <c r="E570" s="9"/>
      <c r="F570" s="9"/>
      <c r="G570" s="204">
        <f>'Actual RAB roll forward'!G840</f>
        <v>0</v>
      </c>
      <c r="H570" s="115">
        <f>'Actual RAB roll forward'!H840</f>
        <v>0</v>
      </c>
      <c r="I570" s="115">
        <f>'Actual RAB roll forward'!I840</f>
        <v>0</v>
      </c>
      <c r="J570" s="115">
        <f>'Actual RAB roll forward'!J840</f>
        <v>0</v>
      </c>
      <c r="K570" s="115">
        <f>'Actual RAB roll forward'!K840</f>
        <v>0</v>
      </c>
      <c r="L570" s="115">
        <f>'Actual RAB roll forward'!L840</f>
        <v>0</v>
      </c>
      <c r="M570" s="115">
        <f>'Actual RAB roll forward'!M840</f>
        <v>0</v>
      </c>
      <c r="N570" s="115">
        <f>'Actual RAB roll forward'!N840</f>
        <v>0</v>
      </c>
      <c r="O570" s="115">
        <f>'Actual RAB roll forward'!O840</f>
        <v>0</v>
      </c>
      <c r="P570" s="115">
        <f>'Actual RAB roll forward'!P840</f>
        <v>0</v>
      </c>
      <c r="Q570" s="115">
        <f>'Actual RAB roll forward'!Q840</f>
        <v>0</v>
      </c>
      <c r="R570" s="29"/>
      <c r="S570" s="104"/>
      <c r="T570" s="104"/>
      <c r="U570" s="104"/>
      <c r="V570" s="104"/>
      <c r="W570" s="104"/>
      <c r="X570" s="104"/>
      <c r="Y570" s="104"/>
      <c r="Z570" s="104"/>
      <c r="AA570" s="23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231"/>
      <c r="BE570" s="231"/>
      <c r="BF570" s="231"/>
      <c r="BG570" s="231"/>
      <c r="BH570" s="231"/>
      <c r="BI570" s="231"/>
      <c r="BJ570" s="231"/>
      <c r="BK570" s="224"/>
      <c r="BL570" s="224"/>
    </row>
    <row r="571" spans="1:64" hidden="1" outlineLevel="1">
      <c r="A571" s="9"/>
      <c r="B571" s="9"/>
      <c r="C571" s="44"/>
      <c r="D571" s="271">
        <f>Asset16</f>
        <v>0</v>
      </c>
      <c r="E571" s="9"/>
      <c r="F571" s="9"/>
      <c r="G571" s="204">
        <f>'Actual RAB roll forward'!G841</f>
        <v>0</v>
      </c>
      <c r="H571" s="115">
        <f>'Actual RAB roll forward'!H841</f>
        <v>0</v>
      </c>
      <c r="I571" s="115">
        <f>'Actual RAB roll forward'!I841</f>
        <v>0</v>
      </c>
      <c r="J571" s="115">
        <f>'Actual RAB roll forward'!J841</f>
        <v>0</v>
      </c>
      <c r="K571" s="115">
        <f>'Actual RAB roll forward'!K841</f>
        <v>0</v>
      </c>
      <c r="L571" s="115">
        <f>'Actual RAB roll forward'!L841</f>
        <v>0</v>
      </c>
      <c r="M571" s="115">
        <f>'Actual RAB roll forward'!M841</f>
        <v>0</v>
      </c>
      <c r="N571" s="115">
        <f>'Actual RAB roll forward'!N841</f>
        <v>0</v>
      </c>
      <c r="O571" s="115">
        <f>'Actual RAB roll forward'!O841</f>
        <v>0</v>
      </c>
      <c r="P571" s="115">
        <f>'Actual RAB roll forward'!P841</f>
        <v>0</v>
      </c>
      <c r="Q571" s="115">
        <f>'Actual RAB roll forward'!Q841</f>
        <v>0</v>
      </c>
      <c r="R571" s="29"/>
      <c r="S571" s="104"/>
      <c r="T571" s="104"/>
      <c r="U571" s="104"/>
      <c r="V571" s="104"/>
      <c r="W571" s="104"/>
      <c r="X571" s="104"/>
      <c r="Y571" s="104"/>
      <c r="Z571" s="104"/>
      <c r="AA571" s="23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231"/>
      <c r="BE571" s="231"/>
      <c r="BF571" s="231"/>
      <c r="BG571" s="231"/>
      <c r="BH571" s="231"/>
      <c r="BI571" s="231"/>
      <c r="BJ571" s="231"/>
      <c r="BK571" s="224"/>
      <c r="BL571" s="224"/>
    </row>
    <row r="572" spans="1:64" hidden="1" outlineLevel="1">
      <c r="A572" s="9"/>
      <c r="B572" s="9"/>
      <c r="C572" s="44"/>
      <c r="D572" s="271">
        <f>Asset17</f>
        <v>0</v>
      </c>
      <c r="E572" s="9"/>
      <c r="F572" s="9"/>
      <c r="G572" s="204">
        <f>'Actual RAB roll forward'!G842</f>
        <v>0</v>
      </c>
      <c r="H572" s="115">
        <f>'Actual RAB roll forward'!H842</f>
        <v>0</v>
      </c>
      <c r="I572" s="115">
        <f>'Actual RAB roll forward'!I842</f>
        <v>0</v>
      </c>
      <c r="J572" s="115">
        <f>'Actual RAB roll forward'!J842</f>
        <v>0</v>
      </c>
      <c r="K572" s="115">
        <f>'Actual RAB roll forward'!K842</f>
        <v>0</v>
      </c>
      <c r="L572" s="115">
        <f>'Actual RAB roll forward'!L842</f>
        <v>0</v>
      </c>
      <c r="M572" s="115">
        <f>'Actual RAB roll forward'!M842</f>
        <v>0</v>
      </c>
      <c r="N572" s="115">
        <f>'Actual RAB roll forward'!N842</f>
        <v>0</v>
      </c>
      <c r="O572" s="115">
        <f>'Actual RAB roll forward'!O842</f>
        <v>0</v>
      </c>
      <c r="P572" s="115">
        <f>'Actual RAB roll forward'!P842</f>
        <v>0</v>
      </c>
      <c r="Q572" s="115">
        <f>'Actual RAB roll forward'!Q842</f>
        <v>0</v>
      </c>
      <c r="R572" s="29"/>
      <c r="S572" s="104"/>
      <c r="T572" s="104"/>
      <c r="U572" s="104"/>
      <c r="V572" s="104"/>
      <c r="W572" s="104"/>
      <c r="X572" s="104"/>
      <c r="Y572" s="104"/>
      <c r="Z572" s="104"/>
      <c r="AA572" s="23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231"/>
      <c r="BE572" s="231"/>
      <c r="BF572" s="231"/>
      <c r="BG572" s="231"/>
      <c r="BH572" s="231"/>
      <c r="BI572" s="231"/>
      <c r="BJ572" s="231"/>
      <c r="BK572" s="224"/>
      <c r="BL572" s="224"/>
    </row>
    <row r="573" spans="1:64" hidden="1" outlineLevel="1">
      <c r="A573" s="9"/>
      <c r="B573" s="9"/>
      <c r="C573" s="44"/>
      <c r="D573" s="271">
        <f>Asset18</f>
        <v>0</v>
      </c>
      <c r="E573" s="9"/>
      <c r="F573" s="9"/>
      <c r="G573" s="204">
        <f>'Actual RAB roll forward'!G843</f>
        <v>0</v>
      </c>
      <c r="H573" s="115">
        <f>'Actual RAB roll forward'!H843</f>
        <v>0</v>
      </c>
      <c r="I573" s="115">
        <f>'Actual RAB roll forward'!I843</f>
        <v>0</v>
      </c>
      <c r="J573" s="115">
        <f>'Actual RAB roll forward'!J843</f>
        <v>0</v>
      </c>
      <c r="K573" s="115">
        <f>'Actual RAB roll forward'!K843</f>
        <v>0</v>
      </c>
      <c r="L573" s="115">
        <f>'Actual RAB roll forward'!L843</f>
        <v>0</v>
      </c>
      <c r="M573" s="115">
        <f>'Actual RAB roll forward'!M843</f>
        <v>0</v>
      </c>
      <c r="N573" s="115">
        <f>'Actual RAB roll forward'!N843</f>
        <v>0</v>
      </c>
      <c r="O573" s="115">
        <f>'Actual RAB roll forward'!O843</f>
        <v>0</v>
      </c>
      <c r="P573" s="115">
        <f>'Actual RAB roll forward'!P843</f>
        <v>0</v>
      </c>
      <c r="Q573" s="115">
        <f>'Actual RAB roll forward'!Q843</f>
        <v>0</v>
      </c>
      <c r="R573" s="29"/>
      <c r="S573" s="104"/>
      <c r="T573" s="104"/>
      <c r="U573" s="104"/>
      <c r="V573" s="104"/>
      <c r="W573" s="104"/>
      <c r="X573" s="104"/>
      <c r="Y573" s="104"/>
      <c r="Z573" s="104"/>
      <c r="AA573" s="23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231"/>
      <c r="BE573" s="231"/>
      <c r="BF573" s="231"/>
      <c r="BG573" s="231"/>
      <c r="BH573" s="231"/>
      <c r="BI573" s="231"/>
      <c r="BJ573" s="231"/>
      <c r="BK573" s="224"/>
      <c r="BL573" s="224"/>
    </row>
    <row r="574" spans="1:64" hidden="1" outlineLevel="1">
      <c r="A574" s="9"/>
      <c r="B574" s="9"/>
      <c r="C574" s="44"/>
      <c r="D574" s="271">
        <f>Asset19</f>
        <v>0</v>
      </c>
      <c r="E574" s="9"/>
      <c r="F574" s="9"/>
      <c r="G574" s="204">
        <f>'Actual RAB roll forward'!G844</f>
        <v>0</v>
      </c>
      <c r="H574" s="115">
        <f>'Actual RAB roll forward'!H844</f>
        <v>0</v>
      </c>
      <c r="I574" s="115">
        <f>'Actual RAB roll forward'!I844</f>
        <v>0</v>
      </c>
      <c r="J574" s="115">
        <f>'Actual RAB roll forward'!J844</f>
        <v>0</v>
      </c>
      <c r="K574" s="115">
        <f>'Actual RAB roll forward'!K844</f>
        <v>0</v>
      </c>
      <c r="L574" s="115">
        <f>'Actual RAB roll forward'!L844</f>
        <v>0</v>
      </c>
      <c r="M574" s="115">
        <f>'Actual RAB roll forward'!M844</f>
        <v>0</v>
      </c>
      <c r="N574" s="115">
        <f>'Actual RAB roll forward'!N844</f>
        <v>0</v>
      </c>
      <c r="O574" s="115">
        <f>'Actual RAB roll forward'!O844</f>
        <v>0</v>
      </c>
      <c r="P574" s="115">
        <f>'Actual RAB roll forward'!P844</f>
        <v>0</v>
      </c>
      <c r="Q574" s="115">
        <f>'Actual RAB roll forward'!Q844</f>
        <v>0</v>
      </c>
      <c r="R574" s="29"/>
      <c r="S574" s="104"/>
      <c r="T574" s="104"/>
      <c r="U574" s="104"/>
      <c r="V574" s="104"/>
      <c r="W574" s="104"/>
      <c r="X574" s="104"/>
      <c r="Y574" s="104"/>
      <c r="Z574" s="104"/>
      <c r="AA574" s="23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231"/>
      <c r="BE574" s="231"/>
      <c r="BF574" s="231"/>
      <c r="BG574" s="231"/>
      <c r="BH574" s="231"/>
      <c r="BI574" s="231"/>
      <c r="BJ574" s="231"/>
      <c r="BK574" s="224"/>
      <c r="BL574" s="224"/>
    </row>
    <row r="575" spans="1:64" hidden="1" outlineLevel="1">
      <c r="A575" s="9"/>
      <c r="B575" s="9"/>
      <c r="C575" s="44"/>
      <c r="D575" s="271">
        <f>Asset20</f>
        <v>0</v>
      </c>
      <c r="E575" s="9"/>
      <c r="F575" s="9"/>
      <c r="G575" s="204">
        <f>'Actual RAB roll forward'!G845</f>
        <v>0</v>
      </c>
      <c r="H575" s="115">
        <f>'Actual RAB roll forward'!H845</f>
        <v>0</v>
      </c>
      <c r="I575" s="115">
        <f>'Actual RAB roll forward'!I845</f>
        <v>0</v>
      </c>
      <c r="J575" s="115">
        <f>'Actual RAB roll forward'!J845</f>
        <v>0</v>
      </c>
      <c r="K575" s="115">
        <f>'Actual RAB roll forward'!K845</f>
        <v>0</v>
      </c>
      <c r="L575" s="115">
        <f>'Actual RAB roll forward'!L845</f>
        <v>0</v>
      </c>
      <c r="M575" s="115">
        <f>'Actual RAB roll forward'!M845</f>
        <v>0</v>
      </c>
      <c r="N575" s="115">
        <f>'Actual RAB roll forward'!N845</f>
        <v>0</v>
      </c>
      <c r="O575" s="115">
        <f>'Actual RAB roll forward'!O845</f>
        <v>0</v>
      </c>
      <c r="P575" s="115">
        <f>'Actual RAB roll forward'!P845</f>
        <v>0</v>
      </c>
      <c r="Q575" s="115">
        <f>'Actual RAB roll forward'!Q845</f>
        <v>0</v>
      </c>
      <c r="R575" s="29"/>
      <c r="S575" s="104"/>
      <c r="T575" s="104"/>
      <c r="U575" s="104"/>
      <c r="V575" s="104"/>
      <c r="W575" s="104"/>
      <c r="X575" s="104"/>
      <c r="Y575" s="104"/>
      <c r="Z575" s="104"/>
      <c r="AA575" s="23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231"/>
      <c r="BE575" s="231"/>
      <c r="BF575" s="231"/>
      <c r="BG575" s="231"/>
      <c r="BH575" s="231"/>
      <c r="BI575" s="231"/>
      <c r="BJ575" s="231"/>
      <c r="BK575" s="224"/>
      <c r="BL575" s="224"/>
    </row>
    <row r="576" spans="1:64" hidden="1" outlineLevel="1">
      <c r="A576" s="9"/>
      <c r="B576" s="9"/>
      <c r="C576" s="44"/>
      <c r="D576" s="271">
        <f>Asset21</f>
        <v>0</v>
      </c>
      <c r="E576" s="9"/>
      <c r="F576" s="9"/>
      <c r="G576" s="204">
        <f>'Actual RAB roll forward'!G846</f>
        <v>0</v>
      </c>
      <c r="H576" s="115">
        <f>'Actual RAB roll forward'!H846</f>
        <v>0</v>
      </c>
      <c r="I576" s="115">
        <f>'Actual RAB roll forward'!I846</f>
        <v>0</v>
      </c>
      <c r="J576" s="115">
        <f>'Actual RAB roll forward'!J846</f>
        <v>0</v>
      </c>
      <c r="K576" s="115">
        <f>'Actual RAB roll forward'!K846</f>
        <v>0</v>
      </c>
      <c r="L576" s="115">
        <f>'Actual RAB roll forward'!L846</f>
        <v>0</v>
      </c>
      <c r="M576" s="115">
        <f>'Actual RAB roll forward'!M846</f>
        <v>0</v>
      </c>
      <c r="N576" s="115">
        <f>'Actual RAB roll forward'!N846</f>
        <v>0</v>
      </c>
      <c r="O576" s="115">
        <f>'Actual RAB roll forward'!O846</f>
        <v>0</v>
      </c>
      <c r="P576" s="115">
        <f>'Actual RAB roll forward'!P846</f>
        <v>0</v>
      </c>
      <c r="Q576" s="115">
        <f>'Actual RAB roll forward'!Q846</f>
        <v>0</v>
      </c>
      <c r="R576" s="29"/>
      <c r="S576" s="104"/>
      <c r="T576" s="104"/>
      <c r="U576" s="104"/>
      <c r="V576" s="104"/>
      <c r="W576" s="104"/>
      <c r="X576" s="104"/>
      <c r="Y576" s="104"/>
      <c r="Z576" s="104"/>
      <c r="AA576" s="23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231"/>
      <c r="BE576" s="231"/>
      <c r="BF576" s="231"/>
      <c r="BG576" s="231"/>
      <c r="BH576" s="231"/>
      <c r="BI576" s="231"/>
      <c r="BJ576" s="231"/>
      <c r="BK576" s="224"/>
      <c r="BL576" s="224"/>
    </row>
    <row r="577" spans="1:64" hidden="1" outlineLevel="1">
      <c r="A577" s="9"/>
      <c r="B577" s="9"/>
      <c r="C577" s="44"/>
      <c r="D577" s="271">
        <f>Asset22</f>
        <v>0</v>
      </c>
      <c r="E577" s="9"/>
      <c r="F577" s="9"/>
      <c r="G577" s="204">
        <f>'Actual RAB roll forward'!G847</f>
        <v>0</v>
      </c>
      <c r="H577" s="115">
        <f>'Actual RAB roll forward'!H847</f>
        <v>0</v>
      </c>
      <c r="I577" s="115">
        <f>'Actual RAB roll forward'!I847</f>
        <v>0</v>
      </c>
      <c r="J577" s="115">
        <f>'Actual RAB roll forward'!J847</f>
        <v>0</v>
      </c>
      <c r="K577" s="115">
        <f>'Actual RAB roll forward'!K847</f>
        <v>0</v>
      </c>
      <c r="L577" s="115">
        <f>'Actual RAB roll forward'!L847</f>
        <v>0</v>
      </c>
      <c r="M577" s="115">
        <f>'Actual RAB roll forward'!M847</f>
        <v>0</v>
      </c>
      <c r="N577" s="115">
        <f>'Actual RAB roll forward'!N847</f>
        <v>0</v>
      </c>
      <c r="O577" s="115">
        <f>'Actual RAB roll forward'!O847</f>
        <v>0</v>
      </c>
      <c r="P577" s="115">
        <f>'Actual RAB roll forward'!P847</f>
        <v>0</v>
      </c>
      <c r="Q577" s="115">
        <f>'Actual RAB roll forward'!Q847</f>
        <v>0</v>
      </c>
      <c r="R577" s="29"/>
      <c r="S577" s="104"/>
      <c r="T577" s="104"/>
      <c r="U577" s="104"/>
      <c r="V577" s="104"/>
      <c r="W577" s="104"/>
      <c r="X577" s="104"/>
      <c r="Y577" s="104"/>
      <c r="Z577" s="104"/>
      <c r="AA577" s="23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231"/>
      <c r="BE577" s="231"/>
      <c r="BF577" s="231"/>
      <c r="BG577" s="231"/>
      <c r="BH577" s="231"/>
      <c r="BI577" s="231"/>
      <c r="BJ577" s="231"/>
      <c r="BK577" s="224"/>
      <c r="BL577" s="224"/>
    </row>
    <row r="578" spans="1:64" hidden="1" outlineLevel="1">
      <c r="A578" s="9"/>
      <c r="B578" s="9"/>
      <c r="C578" s="44"/>
      <c r="D578" s="271">
        <f>Asset23</f>
        <v>0</v>
      </c>
      <c r="E578" s="9"/>
      <c r="F578" s="9"/>
      <c r="G578" s="204">
        <f>'Actual RAB roll forward'!G848</f>
        <v>0</v>
      </c>
      <c r="H578" s="115">
        <f>'Actual RAB roll forward'!H848</f>
        <v>0</v>
      </c>
      <c r="I578" s="115">
        <f>'Actual RAB roll forward'!I848</f>
        <v>0</v>
      </c>
      <c r="J578" s="115">
        <f>'Actual RAB roll forward'!J848</f>
        <v>0</v>
      </c>
      <c r="K578" s="115">
        <f>'Actual RAB roll forward'!K848</f>
        <v>0</v>
      </c>
      <c r="L578" s="115">
        <f>'Actual RAB roll forward'!L848</f>
        <v>0</v>
      </c>
      <c r="M578" s="115">
        <f>'Actual RAB roll forward'!M848</f>
        <v>0</v>
      </c>
      <c r="N578" s="115">
        <f>'Actual RAB roll forward'!N848</f>
        <v>0</v>
      </c>
      <c r="O578" s="115">
        <f>'Actual RAB roll forward'!O848</f>
        <v>0</v>
      </c>
      <c r="P578" s="115">
        <f>'Actual RAB roll forward'!P848</f>
        <v>0</v>
      </c>
      <c r="Q578" s="115">
        <f>'Actual RAB roll forward'!Q848</f>
        <v>0</v>
      </c>
      <c r="R578" s="29"/>
      <c r="S578" s="104"/>
      <c r="T578" s="104"/>
      <c r="U578" s="104"/>
      <c r="V578" s="104"/>
      <c r="W578" s="104"/>
      <c r="X578" s="104"/>
      <c r="Y578" s="104"/>
      <c r="Z578" s="104"/>
      <c r="AA578" s="23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231"/>
      <c r="BE578" s="231"/>
      <c r="BF578" s="231"/>
      <c r="BG578" s="231"/>
      <c r="BH578" s="231"/>
      <c r="BI578" s="231"/>
      <c r="BJ578" s="231"/>
      <c r="BK578" s="224"/>
      <c r="BL578" s="224"/>
    </row>
    <row r="579" spans="1:64" hidden="1" outlineLevel="1">
      <c r="A579" s="9"/>
      <c r="B579" s="9"/>
      <c r="C579" s="44"/>
      <c r="D579" s="271">
        <f>Asset24</f>
        <v>0</v>
      </c>
      <c r="E579" s="9"/>
      <c r="F579" s="9"/>
      <c r="G579" s="204">
        <f>'Actual RAB roll forward'!G849</f>
        <v>0</v>
      </c>
      <c r="H579" s="115">
        <f>'Actual RAB roll forward'!H849</f>
        <v>0</v>
      </c>
      <c r="I579" s="115">
        <f>'Actual RAB roll forward'!I849</f>
        <v>0</v>
      </c>
      <c r="J579" s="115">
        <f>'Actual RAB roll forward'!J849</f>
        <v>0</v>
      </c>
      <c r="K579" s="115">
        <f>'Actual RAB roll forward'!K849</f>
        <v>0</v>
      </c>
      <c r="L579" s="115">
        <f>'Actual RAB roll forward'!L849</f>
        <v>0</v>
      </c>
      <c r="M579" s="115">
        <f>'Actual RAB roll forward'!M849</f>
        <v>0</v>
      </c>
      <c r="N579" s="115">
        <f>'Actual RAB roll forward'!N849</f>
        <v>0</v>
      </c>
      <c r="O579" s="115">
        <f>'Actual RAB roll forward'!O849</f>
        <v>0</v>
      </c>
      <c r="P579" s="115">
        <f>'Actual RAB roll forward'!P849</f>
        <v>0</v>
      </c>
      <c r="Q579" s="115">
        <f>'Actual RAB roll forward'!Q849</f>
        <v>0</v>
      </c>
      <c r="R579" s="29"/>
      <c r="S579" s="104"/>
      <c r="T579" s="104"/>
      <c r="U579" s="104"/>
      <c r="V579" s="104"/>
      <c r="W579" s="104"/>
      <c r="X579" s="104"/>
      <c r="Y579" s="104"/>
      <c r="Z579" s="104"/>
      <c r="AA579" s="23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231"/>
      <c r="BE579" s="231"/>
      <c r="BF579" s="231"/>
      <c r="BG579" s="231"/>
      <c r="BH579" s="231"/>
      <c r="BI579" s="231"/>
      <c r="BJ579" s="231"/>
      <c r="BK579" s="224"/>
      <c r="BL579" s="224"/>
    </row>
    <row r="580" spans="1:64" hidden="1" outlineLevel="1">
      <c r="A580" s="9"/>
      <c r="B580" s="9"/>
      <c r="C580" s="44"/>
      <c r="D580" s="271">
        <f>Asset25</f>
        <v>0</v>
      </c>
      <c r="E580" s="9"/>
      <c r="F580" s="9"/>
      <c r="G580" s="204">
        <f>'Actual RAB roll forward'!G850</f>
        <v>0</v>
      </c>
      <c r="H580" s="115">
        <f>'Actual RAB roll forward'!H850</f>
        <v>0</v>
      </c>
      <c r="I580" s="115">
        <f>'Actual RAB roll forward'!I850</f>
        <v>0</v>
      </c>
      <c r="J580" s="115">
        <f>'Actual RAB roll forward'!J850</f>
        <v>0</v>
      </c>
      <c r="K580" s="115">
        <f>'Actual RAB roll forward'!K850</f>
        <v>0</v>
      </c>
      <c r="L580" s="115">
        <f>'Actual RAB roll forward'!L850</f>
        <v>0</v>
      </c>
      <c r="M580" s="115">
        <f>'Actual RAB roll forward'!M850</f>
        <v>0</v>
      </c>
      <c r="N580" s="115">
        <f>'Actual RAB roll forward'!N850</f>
        <v>0</v>
      </c>
      <c r="O580" s="115">
        <f>'Actual RAB roll forward'!O850</f>
        <v>0</v>
      </c>
      <c r="P580" s="115">
        <f>'Actual RAB roll forward'!P850</f>
        <v>0</v>
      </c>
      <c r="Q580" s="115">
        <f>'Actual RAB roll forward'!Q850</f>
        <v>0</v>
      </c>
      <c r="R580" s="29"/>
      <c r="S580" s="104"/>
      <c r="T580" s="104"/>
      <c r="U580" s="104"/>
      <c r="V580" s="104"/>
      <c r="W580" s="104"/>
      <c r="X580" s="104"/>
      <c r="Y580" s="104"/>
      <c r="Z580" s="104"/>
      <c r="AA580" s="23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231"/>
      <c r="BE580" s="231"/>
      <c r="BF580" s="231"/>
      <c r="BG580" s="231"/>
      <c r="BH580" s="231"/>
      <c r="BI580" s="231"/>
      <c r="BJ580" s="231"/>
      <c r="BK580" s="224"/>
      <c r="BL580" s="224"/>
    </row>
    <row r="581" spans="1:64" hidden="1" outlineLevel="1">
      <c r="A581" s="9"/>
      <c r="B581" s="9"/>
      <c r="C581" s="44"/>
      <c r="D581" s="271">
        <f>Asset26</f>
        <v>0</v>
      </c>
      <c r="E581" s="9"/>
      <c r="F581" s="9"/>
      <c r="G581" s="204">
        <f>'Actual RAB roll forward'!G851</f>
        <v>0</v>
      </c>
      <c r="H581" s="115">
        <f>'Actual RAB roll forward'!H851</f>
        <v>0</v>
      </c>
      <c r="I581" s="115">
        <f>'Actual RAB roll forward'!I851</f>
        <v>0</v>
      </c>
      <c r="J581" s="115">
        <f>'Actual RAB roll forward'!J851</f>
        <v>0</v>
      </c>
      <c r="K581" s="115">
        <f>'Actual RAB roll forward'!K851</f>
        <v>0</v>
      </c>
      <c r="L581" s="115">
        <f>'Actual RAB roll forward'!L851</f>
        <v>0</v>
      </c>
      <c r="M581" s="115">
        <f>'Actual RAB roll forward'!M851</f>
        <v>0</v>
      </c>
      <c r="N581" s="115">
        <f>'Actual RAB roll forward'!N851</f>
        <v>0</v>
      </c>
      <c r="O581" s="115">
        <f>'Actual RAB roll forward'!O851</f>
        <v>0</v>
      </c>
      <c r="P581" s="115">
        <f>'Actual RAB roll forward'!P851</f>
        <v>0</v>
      </c>
      <c r="Q581" s="115">
        <f>'Actual RAB roll forward'!Q851</f>
        <v>0</v>
      </c>
      <c r="R581" s="29"/>
      <c r="S581" s="104"/>
      <c r="T581" s="104"/>
      <c r="U581" s="104"/>
      <c r="V581" s="104"/>
      <c r="W581" s="104"/>
      <c r="X581" s="104"/>
      <c r="Y581" s="104"/>
      <c r="Z581" s="104"/>
      <c r="AA581" s="23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231"/>
      <c r="BE581" s="231"/>
      <c r="BF581" s="231"/>
      <c r="BG581" s="231"/>
      <c r="BH581" s="231"/>
      <c r="BI581" s="231"/>
      <c r="BJ581" s="231"/>
      <c r="BK581" s="224"/>
      <c r="BL581" s="224"/>
    </row>
    <row r="582" spans="1:64" hidden="1" outlineLevel="1">
      <c r="A582" s="9"/>
      <c r="B582" s="9"/>
      <c r="C582" s="44"/>
      <c r="D582" s="271">
        <f>Asset27</f>
        <v>0</v>
      </c>
      <c r="E582" s="9"/>
      <c r="F582" s="9"/>
      <c r="G582" s="204">
        <f>'Actual RAB roll forward'!G852</f>
        <v>0</v>
      </c>
      <c r="H582" s="115">
        <f>'Actual RAB roll forward'!H852</f>
        <v>0</v>
      </c>
      <c r="I582" s="115">
        <f>'Actual RAB roll forward'!I852</f>
        <v>0</v>
      </c>
      <c r="J582" s="115">
        <f>'Actual RAB roll forward'!J852</f>
        <v>0</v>
      </c>
      <c r="K582" s="115">
        <f>'Actual RAB roll forward'!K852</f>
        <v>0</v>
      </c>
      <c r="L582" s="115">
        <f>'Actual RAB roll forward'!L852</f>
        <v>0</v>
      </c>
      <c r="M582" s="115">
        <f>'Actual RAB roll forward'!M852</f>
        <v>0</v>
      </c>
      <c r="N582" s="115">
        <f>'Actual RAB roll forward'!N852</f>
        <v>0</v>
      </c>
      <c r="O582" s="115">
        <f>'Actual RAB roll forward'!O852</f>
        <v>0</v>
      </c>
      <c r="P582" s="115">
        <f>'Actual RAB roll forward'!P852</f>
        <v>0</v>
      </c>
      <c r="Q582" s="115">
        <f>'Actual RAB roll forward'!Q852</f>
        <v>0</v>
      </c>
      <c r="R582" s="29"/>
      <c r="S582" s="104"/>
      <c r="T582" s="104"/>
      <c r="U582" s="104"/>
      <c r="V582" s="104"/>
      <c r="W582" s="104"/>
      <c r="X582" s="104"/>
      <c r="Y582" s="104"/>
      <c r="Z582" s="104"/>
      <c r="AA582" s="23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231"/>
      <c r="BE582" s="231"/>
      <c r="BF582" s="231"/>
      <c r="BG582" s="231"/>
      <c r="BH582" s="231"/>
      <c r="BI582" s="231"/>
      <c r="BJ582" s="231"/>
      <c r="BK582" s="224"/>
      <c r="BL582" s="224"/>
    </row>
    <row r="583" spans="1:64" hidden="1" outlineLevel="1">
      <c r="A583" s="9"/>
      <c r="B583" s="9"/>
      <c r="C583" s="44"/>
      <c r="D583" s="271">
        <f>Asset28</f>
        <v>0</v>
      </c>
      <c r="E583" s="9"/>
      <c r="F583" s="9"/>
      <c r="G583" s="204">
        <f>'Actual RAB roll forward'!G853</f>
        <v>0</v>
      </c>
      <c r="H583" s="115">
        <f>'Actual RAB roll forward'!H853</f>
        <v>0</v>
      </c>
      <c r="I583" s="115">
        <f>'Actual RAB roll forward'!I853</f>
        <v>0</v>
      </c>
      <c r="J583" s="115">
        <f>'Actual RAB roll forward'!J853</f>
        <v>0</v>
      </c>
      <c r="K583" s="115">
        <f>'Actual RAB roll forward'!K853</f>
        <v>0</v>
      </c>
      <c r="L583" s="115">
        <f>'Actual RAB roll forward'!L853</f>
        <v>0</v>
      </c>
      <c r="M583" s="115">
        <f>'Actual RAB roll forward'!M853</f>
        <v>0</v>
      </c>
      <c r="N583" s="115">
        <f>'Actual RAB roll forward'!N853</f>
        <v>0</v>
      </c>
      <c r="O583" s="115">
        <f>'Actual RAB roll forward'!O853</f>
        <v>0</v>
      </c>
      <c r="P583" s="115">
        <f>'Actual RAB roll forward'!P853</f>
        <v>0</v>
      </c>
      <c r="Q583" s="115">
        <f>'Actual RAB roll forward'!Q853</f>
        <v>0</v>
      </c>
      <c r="R583" s="29"/>
      <c r="S583" s="104"/>
      <c r="T583" s="104"/>
      <c r="U583" s="104"/>
      <c r="V583" s="104"/>
      <c r="W583" s="104"/>
      <c r="X583" s="104"/>
      <c r="Y583" s="104"/>
      <c r="Z583" s="104"/>
      <c r="AA583" s="23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231"/>
      <c r="BE583" s="231"/>
      <c r="BF583" s="231"/>
      <c r="BG583" s="231"/>
      <c r="BH583" s="231"/>
      <c r="BI583" s="231"/>
      <c r="BJ583" s="231"/>
      <c r="BK583" s="224"/>
      <c r="BL583" s="224"/>
    </row>
    <row r="584" spans="1:64" hidden="1" outlineLevel="1">
      <c r="A584" s="9"/>
      <c r="B584" s="9"/>
      <c r="C584" s="44"/>
      <c r="D584" s="271">
        <f>Asset29</f>
        <v>0</v>
      </c>
      <c r="E584" s="9"/>
      <c r="F584" s="9"/>
      <c r="G584" s="204">
        <f>'Actual RAB roll forward'!G854</f>
        <v>0</v>
      </c>
      <c r="H584" s="115">
        <f>'Actual RAB roll forward'!H854</f>
        <v>0</v>
      </c>
      <c r="I584" s="115">
        <f>'Actual RAB roll forward'!I854</f>
        <v>0</v>
      </c>
      <c r="J584" s="115">
        <f>'Actual RAB roll forward'!J854</f>
        <v>0</v>
      </c>
      <c r="K584" s="115">
        <f>'Actual RAB roll forward'!K854</f>
        <v>0</v>
      </c>
      <c r="L584" s="115">
        <f>'Actual RAB roll forward'!L854</f>
        <v>0</v>
      </c>
      <c r="M584" s="115">
        <f>'Actual RAB roll forward'!M854</f>
        <v>0</v>
      </c>
      <c r="N584" s="115">
        <f>'Actual RAB roll forward'!N854</f>
        <v>0</v>
      </c>
      <c r="O584" s="115">
        <f>'Actual RAB roll forward'!O854</f>
        <v>0</v>
      </c>
      <c r="P584" s="115">
        <f>'Actual RAB roll forward'!P854</f>
        <v>0</v>
      </c>
      <c r="Q584" s="115">
        <f>'Actual RAB roll forward'!Q854</f>
        <v>0</v>
      </c>
      <c r="R584" s="29"/>
      <c r="S584" s="104"/>
      <c r="T584" s="104"/>
      <c r="U584" s="104"/>
      <c r="V584" s="104"/>
      <c r="W584" s="104"/>
      <c r="X584" s="104"/>
      <c r="Y584" s="104"/>
      <c r="Z584" s="104"/>
      <c r="AA584" s="23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231"/>
      <c r="BE584" s="231"/>
      <c r="BF584" s="231"/>
      <c r="BG584" s="231"/>
      <c r="BH584" s="231"/>
      <c r="BI584" s="231"/>
      <c r="BJ584" s="231"/>
      <c r="BK584" s="224"/>
      <c r="BL584" s="224"/>
    </row>
    <row r="585" spans="1:64" hidden="1" outlineLevel="1">
      <c r="A585" s="9"/>
      <c r="B585" s="9"/>
      <c r="C585" s="44"/>
      <c r="D585" s="271">
        <f>Asset30</f>
        <v>0</v>
      </c>
      <c r="E585" s="9"/>
      <c r="F585" s="9"/>
      <c r="G585" s="204">
        <f>'Actual RAB roll forward'!G855</f>
        <v>0</v>
      </c>
      <c r="H585" s="115">
        <f>'Actual RAB roll forward'!H855</f>
        <v>0</v>
      </c>
      <c r="I585" s="115">
        <f>'Actual RAB roll forward'!I855</f>
        <v>0</v>
      </c>
      <c r="J585" s="115">
        <f>'Actual RAB roll forward'!J855</f>
        <v>0</v>
      </c>
      <c r="K585" s="115">
        <f>'Actual RAB roll forward'!K855</f>
        <v>0</v>
      </c>
      <c r="L585" s="115">
        <f>'Actual RAB roll forward'!L855</f>
        <v>0</v>
      </c>
      <c r="M585" s="115">
        <f>'Actual RAB roll forward'!M855</f>
        <v>0</v>
      </c>
      <c r="N585" s="115">
        <f>'Actual RAB roll forward'!N855</f>
        <v>0</v>
      </c>
      <c r="O585" s="115">
        <f>'Actual RAB roll forward'!O855</f>
        <v>0</v>
      </c>
      <c r="P585" s="115">
        <f>'Actual RAB roll forward'!P855</f>
        <v>0</v>
      </c>
      <c r="Q585" s="115">
        <f>'Actual RAB roll forward'!Q855</f>
        <v>0</v>
      </c>
      <c r="R585" s="29"/>
      <c r="S585" s="104"/>
      <c r="T585" s="104"/>
      <c r="U585" s="104"/>
      <c r="V585" s="104"/>
      <c r="W585" s="104"/>
      <c r="X585" s="104"/>
      <c r="Y585" s="104"/>
      <c r="Z585" s="104"/>
      <c r="AA585" s="23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231"/>
      <c r="BE585" s="231"/>
      <c r="BF585" s="231"/>
      <c r="BG585" s="231"/>
      <c r="BH585" s="231"/>
      <c r="BI585" s="231"/>
      <c r="BJ585" s="231"/>
      <c r="BK585" s="224"/>
      <c r="BL585" s="224"/>
    </row>
    <row r="586" spans="1:64" collapsed="1">
      <c r="A586" s="9"/>
      <c r="B586" s="9"/>
      <c r="C586" s="44"/>
      <c r="D586" s="131"/>
      <c r="E586" s="9"/>
      <c r="F586" s="9"/>
      <c r="G586" s="213"/>
      <c r="H586" s="115"/>
      <c r="I586" s="115"/>
      <c r="J586" s="115"/>
      <c r="K586" s="115"/>
      <c r="L586" s="115"/>
      <c r="M586" s="115"/>
      <c r="N586" s="104"/>
      <c r="O586" s="29"/>
      <c r="P586" s="29"/>
      <c r="Q586" s="29"/>
      <c r="R586" s="29"/>
      <c r="S586" s="104"/>
      <c r="T586" s="104"/>
      <c r="U586" s="104"/>
      <c r="V586" s="104"/>
      <c r="W586" s="104"/>
      <c r="X586" s="104"/>
      <c r="Y586" s="104"/>
      <c r="Z586" s="104"/>
      <c r="AA586" s="23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231"/>
      <c r="BE586" s="231"/>
      <c r="BF586" s="231"/>
      <c r="BG586" s="231"/>
      <c r="BH586" s="231"/>
      <c r="BI586" s="231"/>
      <c r="BJ586" s="231"/>
      <c r="BK586" s="224"/>
      <c r="BL586" s="224"/>
    </row>
    <row r="587" spans="1:64">
      <c r="A587" s="9"/>
      <c r="B587" s="9"/>
      <c r="C587" s="44" t="s">
        <v>26</v>
      </c>
      <c r="D587" s="117"/>
      <c r="E587" s="9"/>
      <c r="F587" s="9"/>
      <c r="G587" s="313">
        <f>SUM(G588:G617)</f>
        <v>27.807906237003301</v>
      </c>
      <c r="H587" s="35"/>
      <c r="I587" s="35"/>
      <c r="J587" s="35"/>
      <c r="K587" s="35"/>
      <c r="L587" s="35"/>
      <c r="M587" s="35"/>
      <c r="N587" s="104"/>
      <c r="O587" s="29"/>
      <c r="P587" s="29"/>
      <c r="Q587" s="29"/>
      <c r="R587" s="29"/>
      <c r="S587" s="104"/>
      <c r="T587" s="104"/>
      <c r="U587" s="104"/>
      <c r="V587" s="104"/>
      <c r="W587" s="104"/>
      <c r="X587" s="104"/>
      <c r="Y587" s="104"/>
      <c r="Z587" s="104"/>
      <c r="AA587" s="23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24"/>
      <c r="BL587" s="224"/>
    </row>
    <row r="588" spans="1:64" hidden="1" outlineLevel="1">
      <c r="A588" s="9"/>
      <c r="B588" s="9"/>
      <c r="C588" s="9"/>
      <c r="D588" s="271" t="str">
        <f>Asset1</f>
        <v>Subtransmission</v>
      </c>
      <c r="E588" s="9"/>
      <c r="F588" s="9"/>
      <c r="G588" s="207">
        <f>'Actual RAB roll forward'!G858</f>
        <v>-25.319625562178441</v>
      </c>
      <c r="H588" s="35"/>
      <c r="I588" s="35"/>
      <c r="J588" s="35"/>
      <c r="K588" s="35"/>
      <c r="L588" s="35"/>
      <c r="M588" s="35"/>
      <c r="N588" s="104"/>
      <c r="O588" s="29"/>
      <c r="P588" s="29"/>
      <c r="Q588" s="29"/>
      <c r="R588" s="29"/>
      <c r="S588" s="104"/>
      <c r="T588" s="104"/>
      <c r="U588" s="104"/>
      <c r="V588" s="104"/>
      <c r="W588" s="104"/>
      <c r="X588" s="104"/>
      <c r="Y588" s="104"/>
      <c r="Z588" s="104"/>
      <c r="AA588" s="23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24"/>
      <c r="BL588" s="224"/>
    </row>
    <row r="589" spans="1:64" hidden="1" outlineLevel="1">
      <c r="A589" s="9"/>
      <c r="B589" s="9"/>
      <c r="C589" s="44"/>
      <c r="D589" s="271" t="str">
        <f>Asset2</f>
        <v>Distribution system assets</v>
      </c>
      <c r="E589" s="9"/>
      <c r="F589" s="9"/>
      <c r="G589" s="207">
        <f>'Actual RAB roll forward'!G859</f>
        <v>32.156560835536396</v>
      </c>
      <c r="H589" s="35"/>
      <c r="I589" s="35"/>
      <c r="J589" s="35"/>
      <c r="K589" s="35"/>
      <c r="L589" s="35"/>
      <c r="M589" s="35"/>
      <c r="N589" s="104"/>
      <c r="O589" s="29"/>
      <c r="P589" s="29"/>
      <c r="Q589" s="29"/>
      <c r="R589" s="29"/>
      <c r="S589" s="104"/>
      <c r="T589" s="104"/>
      <c r="U589" s="104"/>
      <c r="V589" s="104"/>
      <c r="W589" s="104"/>
      <c r="X589" s="104"/>
      <c r="Y589" s="104"/>
      <c r="Z589" s="104"/>
      <c r="AA589" s="23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231"/>
      <c r="BE589" s="231"/>
      <c r="BF589" s="231"/>
      <c r="BG589" s="231"/>
      <c r="BH589" s="231"/>
      <c r="BI589" s="231"/>
      <c r="BJ589" s="231"/>
      <c r="BK589" s="224"/>
      <c r="BL589" s="224"/>
    </row>
    <row r="590" spans="1:64" hidden="1" outlineLevel="1">
      <c r="A590" s="9"/>
      <c r="B590" s="9"/>
      <c r="C590" s="44"/>
      <c r="D590" s="271" t="str">
        <f>Asset3</f>
        <v>Standard metering</v>
      </c>
      <c r="E590" s="9"/>
      <c r="F590" s="9"/>
      <c r="G590" s="207">
        <f>'Actual RAB roll forward'!G860</f>
        <v>9.7325555754664421</v>
      </c>
      <c r="H590" s="35"/>
      <c r="I590" s="35"/>
      <c r="J590" s="35"/>
      <c r="K590" s="35"/>
      <c r="L590" s="35"/>
      <c r="M590" s="35"/>
      <c r="N590" s="104"/>
      <c r="O590" s="29"/>
      <c r="P590" s="29"/>
      <c r="Q590" s="29"/>
      <c r="R590" s="29"/>
      <c r="S590" s="104"/>
      <c r="T590" s="104"/>
      <c r="U590" s="104"/>
      <c r="V590" s="104"/>
      <c r="W590" s="104"/>
      <c r="X590" s="104"/>
      <c r="Y590" s="104"/>
      <c r="Z590" s="104"/>
      <c r="AA590" s="23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231"/>
      <c r="BE590" s="231"/>
      <c r="BF590" s="231"/>
      <c r="BG590" s="231"/>
      <c r="BH590" s="231"/>
      <c r="BI590" s="231"/>
      <c r="BJ590" s="231"/>
      <c r="BK590" s="224"/>
      <c r="BL590" s="224"/>
    </row>
    <row r="591" spans="1:64" hidden="1" outlineLevel="1">
      <c r="A591" s="9"/>
      <c r="B591" s="9"/>
      <c r="C591" s="44"/>
      <c r="D591" s="271" t="str">
        <f>Asset4</f>
        <v>Public lighting</v>
      </c>
      <c r="E591" s="9"/>
      <c r="F591" s="9"/>
      <c r="G591" s="207">
        <f>'Actual RAB roll forward'!G861</f>
        <v>0</v>
      </c>
      <c r="H591" s="35"/>
      <c r="I591" s="35"/>
      <c r="J591" s="35"/>
      <c r="K591" s="35"/>
      <c r="L591" s="35"/>
      <c r="M591" s="35"/>
      <c r="N591" s="104"/>
      <c r="O591" s="29"/>
      <c r="P591" s="29"/>
      <c r="Q591" s="29"/>
      <c r="R591" s="29"/>
      <c r="S591" s="104"/>
      <c r="T591" s="104"/>
      <c r="U591" s="104"/>
      <c r="V591" s="104"/>
      <c r="W591" s="104"/>
      <c r="X591" s="104"/>
      <c r="Y591" s="104"/>
      <c r="Z591" s="104"/>
      <c r="AA591" s="23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231"/>
      <c r="BE591" s="231"/>
      <c r="BF591" s="231"/>
      <c r="BG591" s="231"/>
      <c r="BH591" s="231"/>
      <c r="BI591" s="231"/>
      <c r="BJ591" s="231"/>
      <c r="BK591" s="224"/>
      <c r="BL591" s="224"/>
    </row>
    <row r="592" spans="1:64" hidden="1" outlineLevel="1">
      <c r="A592" s="9"/>
      <c r="B592" s="9"/>
      <c r="C592" s="44"/>
      <c r="D592" s="271" t="str">
        <f>Asset5</f>
        <v>SCADA/Network control</v>
      </c>
      <c r="E592" s="9"/>
      <c r="F592" s="9"/>
      <c r="G592" s="207">
        <f>'Actual RAB roll forward'!G862</f>
        <v>2.4654834392613107</v>
      </c>
      <c r="H592" s="35"/>
      <c r="I592" s="35"/>
      <c r="J592" s="35"/>
      <c r="K592" s="35"/>
      <c r="L592" s="35"/>
      <c r="M592" s="35"/>
      <c r="N592" s="104"/>
      <c r="O592" s="29"/>
      <c r="P592" s="29"/>
      <c r="Q592" s="29"/>
      <c r="R592" s="29"/>
      <c r="S592" s="104"/>
      <c r="T592" s="104"/>
      <c r="U592" s="104"/>
      <c r="V592" s="104"/>
      <c r="W592" s="104"/>
      <c r="X592" s="104"/>
      <c r="Y592" s="104"/>
      <c r="Z592" s="104"/>
      <c r="AA592" s="23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231"/>
      <c r="BE592" s="231"/>
      <c r="BF592" s="231"/>
      <c r="BG592" s="231"/>
      <c r="BH592" s="231"/>
      <c r="BI592" s="231"/>
      <c r="BJ592" s="231"/>
      <c r="BK592" s="224"/>
      <c r="BL592" s="224"/>
    </row>
    <row r="593" spans="1:64" hidden="1" outlineLevel="1">
      <c r="A593" s="9"/>
      <c r="B593" s="9"/>
      <c r="C593" s="44"/>
      <c r="D593" s="271" t="str">
        <f>Asset6</f>
        <v>Non-network general assets - IT</v>
      </c>
      <c r="E593" s="9"/>
      <c r="F593" s="9"/>
      <c r="G593" s="207">
        <f>'Actual RAB roll forward'!G863</f>
        <v>5.9967896688978106</v>
      </c>
      <c r="H593" s="35"/>
      <c r="I593" s="35"/>
      <c r="J593" s="35"/>
      <c r="K593" s="35"/>
      <c r="L593" s="35"/>
      <c r="M593" s="35"/>
      <c r="N593" s="104"/>
      <c r="O593" s="29"/>
      <c r="P593" s="29"/>
      <c r="Q593" s="29"/>
      <c r="R593" s="29"/>
      <c r="S593" s="104"/>
      <c r="T593" s="104"/>
      <c r="U593" s="104"/>
      <c r="V593" s="104"/>
      <c r="W593" s="104"/>
      <c r="X593" s="104"/>
      <c r="Y593" s="104"/>
      <c r="Z593" s="104"/>
      <c r="AA593" s="23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231"/>
      <c r="BE593" s="231"/>
      <c r="BF593" s="231"/>
      <c r="BG593" s="231"/>
      <c r="BH593" s="231"/>
      <c r="BI593" s="231"/>
      <c r="BJ593" s="231"/>
      <c r="BK593" s="224"/>
      <c r="BL593" s="224"/>
    </row>
    <row r="594" spans="1:64" hidden="1" outlineLevel="1">
      <c r="A594" s="9"/>
      <c r="B594" s="9"/>
      <c r="C594" s="44"/>
      <c r="D594" s="271" t="str">
        <f>Asset7</f>
        <v>Non-network general assets - Other</v>
      </c>
      <c r="E594" s="9"/>
      <c r="F594" s="9"/>
      <c r="G594" s="207">
        <f>'Actual RAB roll forward'!G864</f>
        <v>2.7761422800197848</v>
      </c>
      <c r="H594" s="35"/>
      <c r="I594" s="35"/>
      <c r="J594" s="35"/>
      <c r="K594" s="35"/>
      <c r="L594" s="35"/>
      <c r="M594" s="35"/>
      <c r="N594" s="104"/>
      <c r="O594" s="29"/>
      <c r="P594" s="29"/>
      <c r="Q594" s="29"/>
      <c r="R594" s="29"/>
      <c r="S594" s="104"/>
      <c r="T594" s="104"/>
      <c r="U594" s="104"/>
      <c r="V594" s="104"/>
      <c r="W594" s="104"/>
      <c r="X594" s="104"/>
      <c r="Y594" s="104"/>
      <c r="Z594" s="104"/>
      <c r="AA594" s="23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231"/>
      <c r="BE594" s="231"/>
      <c r="BF594" s="231"/>
      <c r="BG594" s="231"/>
      <c r="BH594" s="231"/>
      <c r="BI594" s="231"/>
      <c r="BJ594" s="231"/>
      <c r="BK594" s="224"/>
      <c r="BL594" s="224"/>
    </row>
    <row r="595" spans="1:64" hidden="1" outlineLevel="1">
      <c r="A595" s="9"/>
      <c r="B595" s="9"/>
      <c r="C595" s="44"/>
      <c r="D595" s="271" t="str">
        <f>Asset8</f>
        <v>Equity Raising Costs</v>
      </c>
      <c r="E595" s="9"/>
      <c r="F595" s="9"/>
      <c r="G595" s="207">
        <f>'Actual RAB roll forward'!G865</f>
        <v>0</v>
      </c>
      <c r="H595" s="35"/>
      <c r="I595" s="35"/>
      <c r="J595" s="35"/>
      <c r="K595" s="35"/>
      <c r="L595" s="35"/>
      <c r="M595" s="35"/>
      <c r="N595" s="104"/>
      <c r="O595" s="29"/>
      <c r="P595" s="29"/>
      <c r="Q595" s="29"/>
      <c r="R595" s="29"/>
      <c r="S595" s="104"/>
      <c r="T595" s="104"/>
      <c r="U595" s="104"/>
      <c r="V595" s="104"/>
      <c r="W595" s="104"/>
      <c r="X595" s="104"/>
      <c r="Y595" s="104"/>
      <c r="Z595" s="104"/>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24"/>
      <c r="BL595" s="224"/>
    </row>
    <row r="596" spans="1:64" hidden="1" outlineLevel="1">
      <c r="A596" s="9"/>
      <c r="B596" s="9"/>
      <c r="C596" s="44"/>
      <c r="D596" s="271">
        <f>Asset9</f>
        <v>0</v>
      </c>
      <c r="E596" s="9"/>
      <c r="F596" s="9"/>
      <c r="G596" s="207">
        <f>'Actual RAB roll forward'!G866</f>
        <v>0</v>
      </c>
      <c r="H596" s="35"/>
      <c r="I596" s="35"/>
      <c r="J596" s="35"/>
      <c r="K596" s="35"/>
      <c r="L596" s="35"/>
      <c r="M596" s="35"/>
      <c r="N596" s="104"/>
      <c r="O596" s="29"/>
      <c r="P596" s="29"/>
      <c r="Q596" s="29"/>
      <c r="R596" s="29"/>
      <c r="S596" s="104"/>
      <c r="T596" s="104"/>
      <c r="U596" s="104"/>
      <c r="V596" s="104"/>
      <c r="W596" s="104"/>
      <c r="X596" s="104"/>
      <c r="Y596" s="104"/>
      <c r="Z596" s="104"/>
      <c r="AA596" s="23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231"/>
      <c r="BE596" s="231"/>
      <c r="BF596" s="231"/>
      <c r="BG596" s="231"/>
      <c r="BH596" s="231"/>
      <c r="BI596" s="231"/>
      <c r="BJ596" s="231"/>
      <c r="BK596" s="224"/>
      <c r="BL596" s="224"/>
    </row>
    <row r="597" spans="1:64" hidden="1" outlineLevel="1">
      <c r="A597" s="9"/>
      <c r="B597" s="9"/>
      <c r="C597" s="44"/>
      <c r="D597" s="271">
        <f>Asset10</f>
        <v>0</v>
      </c>
      <c r="E597" s="9"/>
      <c r="F597" s="9"/>
      <c r="G597" s="207">
        <f>'Actual RAB roll forward'!G867</f>
        <v>0</v>
      </c>
      <c r="H597" s="35"/>
      <c r="I597" s="35"/>
      <c r="J597" s="35"/>
      <c r="K597" s="35"/>
      <c r="L597" s="35"/>
      <c r="M597" s="35"/>
      <c r="N597" s="104"/>
      <c r="O597" s="29"/>
      <c r="P597" s="29"/>
      <c r="Q597" s="29"/>
      <c r="R597" s="29"/>
      <c r="S597" s="104"/>
      <c r="T597" s="104"/>
      <c r="U597" s="104"/>
      <c r="V597" s="104"/>
      <c r="W597" s="104"/>
      <c r="X597" s="104"/>
      <c r="Y597" s="104"/>
      <c r="Z597" s="104"/>
      <c r="AA597" s="23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231"/>
      <c r="BE597" s="231"/>
      <c r="BF597" s="231"/>
      <c r="BG597" s="231"/>
      <c r="BH597" s="231"/>
      <c r="BI597" s="231"/>
      <c r="BJ597" s="231"/>
      <c r="BK597" s="224"/>
      <c r="BL597" s="224"/>
    </row>
    <row r="598" spans="1:64" hidden="1" outlineLevel="1">
      <c r="A598" s="9"/>
      <c r="B598" s="9"/>
      <c r="C598" s="44"/>
      <c r="D598" s="271">
        <f>Asset11</f>
        <v>0</v>
      </c>
      <c r="E598" s="9"/>
      <c r="F598" s="9"/>
      <c r="G598" s="207">
        <f>'Actual RAB roll forward'!G868</f>
        <v>0</v>
      </c>
      <c r="H598" s="35"/>
      <c r="I598" s="35"/>
      <c r="J598" s="35"/>
      <c r="K598" s="35"/>
      <c r="L598" s="35"/>
      <c r="M598" s="35"/>
      <c r="N598" s="104"/>
      <c r="O598" s="29"/>
      <c r="P598" s="29"/>
      <c r="Q598" s="29"/>
      <c r="R598" s="29"/>
      <c r="S598" s="104"/>
      <c r="T598" s="104"/>
      <c r="U598" s="104"/>
      <c r="V598" s="104"/>
      <c r="W598" s="104"/>
      <c r="X598" s="104"/>
      <c r="Y598" s="104"/>
      <c r="Z598" s="104"/>
      <c r="AA598" s="23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231"/>
      <c r="BE598" s="231"/>
      <c r="BF598" s="231"/>
      <c r="BG598" s="231"/>
      <c r="BH598" s="231"/>
      <c r="BI598" s="231"/>
      <c r="BJ598" s="231"/>
      <c r="BK598" s="224"/>
      <c r="BL598" s="224"/>
    </row>
    <row r="599" spans="1:64" hidden="1" outlineLevel="1">
      <c r="A599" s="9"/>
      <c r="B599" s="9"/>
      <c r="C599" s="44"/>
      <c r="D599" s="271">
        <f>Asset12</f>
        <v>0</v>
      </c>
      <c r="E599" s="9"/>
      <c r="F599" s="9"/>
      <c r="G599" s="207">
        <f>'Actual RAB roll forward'!G869</f>
        <v>0</v>
      </c>
      <c r="H599" s="35"/>
      <c r="I599" s="35"/>
      <c r="J599" s="35"/>
      <c r="K599" s="35"/>
      <c r="L599" s="35"/>
      <c r="M599" s="35"/>
      <c r="N599" s="104"/>
      <c r="O599" s="29"/>
      <c r="P599" s="29"/>
      <c r="Q599" s="29"/>
      <c r="R599" s="29"/>
      <c r="S599" s="104"/>
      <c r="T599" s="104"/>
      <c r="U599" s="104"/>
      <c r="V599" s="104"/>
      <c r="W599" s="104"/>
      <c r="X599" s="104"/>
      <c r="Y599" s="104"/>
      <c r="Z599" s="104"/>
      <c r="AA599" s="23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231"/>
      <c r="BE599" s="231"/>
      <c r="BF599" s="231"/>
      <c r="BG599" s="231"/>
      <c r="BH599" s="231"/>
      <c r="BI599" s="231"/>
      <c r="BJ599" s="231"/>
      <c r="BK599" s="224"/>
      <c r="BL599" s="224"/>
    </row>
    <row r="600" spans="1:64" hidden="1" outlineLevel="1">
      <c r="A600" s="9"/>
      <c r="B600" s="9"/>
      <c r="C600" s="44"/>
      <c r="D600" s="271">
        <f>Asset13</f>
        <v>0</v>
      </c>
      <c r="E600" s="9"/>
      <c r="F600" s="9"/>
      <c r="G600" s="207">
        <f>'Actual RAB roll forward'!G870</f>
        <v>0</v>
      </c>
      <c r="H600" s="35"/>
      <c r="I600" s="35"/>
      <c r="J600" s="35"/>
      <c r="K600" s="35"/>
      <c r="L600" s="35"/>
      <c r="M600" s="35"/>
      <c r="N600" s="104"/>
      <c r="O600" s="29"/>
      <c r="P600" s="29"/>
      <c r="Q600" s="29"/>
      <c r="R600" s="29"/>
      <c r="S600" s="104"/>
      <c r="T600" s="104"/>
      <c r="U600" s="104"/>
      <c r="V600" s="104"/>
      <c r="W600" s="104"/>
      <c r="X600" s="104"/>
      <c r="Y600" s="104"/>
      <c r="Z600" s="104"/>
      <c r="AA600" s="23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231"/>
      <c r="BE600" s="231"/>
      <c r="BF600" s="231"/>
      <c r="BG600" s="231"/>
      <c r="BH600" s="231"/>
      <c r="BI600" s="231"/>
      <c r="BJ600" s="231"/>
      <c r="BK600" s="224"/>
      <c r="BL600" s="224"/>
    </row>
    <row r="601" spans="1:64" hidden="1" outlineLevel="1">
      <c r="A601" s="9"/>
      <c r="B601" s="9"/>
      <c r="C601" s="44"/>
      <c r="D601" s="271">
        <f>Asset14</f>
        <v>0</v>
      </c>
      <c r="E601" s="9"/>
      <c r="F601" s="9"/>
      <c r="G601" s="207">
        <f>'Actual RAB roll forward'!G871</f>
        <v>0</v>
      </c>
      <c r="H601" s="35"/>
      <c r="I601" s="35"/>
      <c r="J601" s="35"/>
      <c r="K601" s="35"/>
      <c r="L601" s="35"/>
      <c r="M601" s="35"/>
      <c r="N601" s="104"/>
      <c r="O601" s="29"/>
      <c r="P601" s="29"/>
      <c r="Q601" s="29"/>
      <c r="R601" s="29"/>
      <c r="S601" s="104"/>
      <c r="T601" s="104"/>
      <c r="U601" s="104"/>
      <c r="V601" s="104"/>
      <c r="W601" s="104"/>
      <c r="X601" s="104"/>
      <c r="Y601" s="104"/>
      <c r="Z601" s="104"/>
      <c r="AA601" s="23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231"/>
      <c r="BE601" s="231"/>
      <c r="BF601" s="231"/>
      <c r="BG601" s="231"/>
      <c r="BH601" s="231"/>
      <c r="BI601" s="231"/>
      <c r="BJ601" s="231"/>
      <c r="BK601" s="224"/>
      <c r="BL601" s="224"/>
    </row>
    <row r="602" spans="1:64" hidden="1" outlineLevel="1">
      <c r="A602" s="9"/>
      <c r="B602" s="9"/>
      <c r="C602" s="44"/>
      <c r="D602" s="271">
        <f>Asset15</f>
        <v>0</v>
      </c>
      <c r="E602" s="9"/>
      <c r="F602" s="9"/>
      <c r="G602" s="207">
        <f>'Actual RAB roll forward'!G872</f>
        <v>0</v>
      </c>
      <c r="H602" s="35"/>
      <c r="I602" s="35"/>
      <c r="J602" s="35"/>
      <c r="K602" s="35"/>
      <c r="L602" s="35"/>
      <c r="M602" s="35"/>
      <c r="N602" s="104"/>
      <c r="O602" s="29"/>
      <c r="P602" s="29"/>
      <c r="Q602" s="29"/>
      <c r="R602" s="29"/>
      <c r="S602" s="104"/>
      <c r="T602" s="104"/>
      <c r="U602" s="104"/>
      <c r="V602" s="104"/>
      <c r="W602" s="104"/>
      <c r="X602" s="104"/>
      <c r="Y602" s="104"/>
      <c r="Z602" s="104"/>
      <c r="AA602" s="23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231"/>
      <c r="BE602" s="231"/>
      <c r="BF602" s="231"/>
      <c r="BG602" s="231"/>
      <c r="BH602" s="231"/>
      <c r="BI602" s="231"/>
      <c r="BJ602" s="231"/>
      <c r="BK602" s="224"/>
      <c r="BL602" s="224"/>
    </row>
    <row r="603" spans="1:64" hidden="1" outlineLevel="1">
      <c r="A603" s="9"/>
      <c r="B603" s="9"/>
      <c r="C603" s="44"/>
      <c r="D603" s="271">
        <f>Asset16</f>
        <v>0</v>
      </c>
      <c r="E603" s="9"/>
      <c r="F603" s="9"/>
      <c r="G603" s="207">
        <f>'Actual RAB roll forward'!G873</f>
        <v>0</v>
      </c>
      <c r="H603" s="35"/>
      <c r="I603" s="35"/>
      <c r="J603" s="35"/>
      <c r="K603" s="35"/>
      <c r="L603" s="35"/>
      <c r="M603" s="35"/>
      <c r="N603" s="104"/>
      <c r="O603" s="29"/>
      <c r="P603" s="29"/>
      <c r="Q603" s="29"/>
      <c r="R603" s="29"/>
      <c r="S603" s="104"/>
      <c r="T603" s="104"/>
      <c r="U603" s="104"/>
      <c r="V603" s="104"/>
      <c r="W603" s="104"/>
      <c r="X603" s="104"/>
      <c r="Y603" s="104"/>
      <c r="Z603" s="104"/>
      <c r="AA603" s="23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231"/>
      <c r="BE603" s="231"/>
      <c r="BF603" s="231"/>
      <c r="BG603" s="231"/>
      <c r="BH603" s="231"/>
      <c r="BI603" s="231"/>
      <c r="BJ603" s="231"/>
      <c r="BK603" s="224"/>
      <c r="BL603" s="224"/>
    </row>
    <row r="604" spans="1:64" hidden="1" outlineLevel="1">
      <c r="A604" s="9"/>
      <c r="B604" s="9"/>
      <c r="C604" s="44"/>
      <c r="D604" s="271">
        <f>Asset17</f>
        <v>0</v>
      </c>
      <c r="E604" s="9"/>
      <c r="F604" s="9"/>
      <c r="G604" s="207">
        <f>'Actual RAB roll forward'!G874</f>
        <v>0</v>
      </c>
      <c r="H604" s="35"/>
      <c r="I604" s="35"/>
      <c r="J604" s="35"/>
      <c r="K604" s="35"/>
      <c r="L604" s="35"/>
      <c r="M604" s="35"/>
      <c r="N604" s="104"/>
      <c r="O604" s="29"/>
      <c r="P604" s="29"/>
      <c r="Q604" s="29"/>
      <c r="R604" s="29"/>
      <c r="S604" s="104"/>
      <c r="T604" s="104"/>
      <c r="U604" s="104"/>
      <c r="V604" s="104"/>
      <c r="W604" s="104"/>
      <c r="X604" s="104"/>
      <c r="Y604" s="104"/>
      <c r="Z604" s="104"/>
      <c r="AA604" s="23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231"/>
      <c r="BE604" s="231"/>
      <c r="BF604" s="231"/>
      <c r="BG604" s="231"/>
      <c r="BH604" s="231"/>
      <c r="BI604" s="231"/>
      <c r="BJ604" s="231"/>
      <c r="BK604" s="224"/>
      <c r="BL604" s="224"/>
    </row>
    <row r="605" spans="1:64" hidden="1" outlineLevel="1">
      <c r="A605" s="9"/>
      <c r="B605" s="9"/>
      <c r="C605" s="44"/>
      <c r="D605" s="271">
        <f>Asset18</f>
        <v>0</v>
      </c>
      <c r="E605" s="9"/>
      <c r="F605" s="9"/>
      <c r="G605" s="207">
        <f>'Actual RAB roll forward'!G875</f>
        <v>0</v>
      </c>
      <c r="H605" s="35"/>
      <c r="I605" s="35"/>
      <c r="J605" s="35"/>
      <c r="K605" s="35"/>
      <c r="L605" s="35"/>
      <c r="M605" s="35"/>
      <c r="N605" s="104"/>
      <c r="O605" s="29"/>
      <c r="P605" s="29"/>
      <c r="Q605" s="29"/>
      <c r="R605" s="29"/>
      <c r="S605" s="104"/>
      <c r="T605" s="104"/>
      <c r="U605" s="104"/>
      <c r="V605" s="104"/>
      <c r="W605" s="104"/>
      <c r="X605" s="104"/>
      <c r="Y605" s="104"/>
      <c r="Z605" s="104"/>
      <c r="AA605" s="23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231"/>
      <c r="BE605" s="231"/>
      <c r="BF605" s="231"/>
      <c r="BG605" s="231"/>
      <c r="BH605" s="231"/>
      <c r="BI605" s="231"/>
      <c r="BJ605" s="231"/>
      <c r="BK605" s="224"/>
      <c r="BL605" s="224"/>
    </row>
    <row r="606" spans="1:64" hidden="1" outlineLevel="1">
      <c r="A606" s="9"/>
      <c r="B606" s="9"/>
      <c r="C606" s="44"/>
      <c r="D606" s="271">
        <f>Asset19</f>
        <v>0</v>
      </c>
      <c r="E606" s="9"/>
      <c r="F606" s="9"/>
      <c r="G606" s="207">
        <f>'Actual RAB roll forward'!G876</f>
        <v>0</v>
      </c>
      <c r="H606" s="35"/>
      <c r="I606" s="35"/>
      <c r="J606" s="35"/>
      <c r="K606" s="35"/>
      <c r="L606" s="35"/>
      <c r="M606" s="35"/>
      <c r="N606" s="104"/>
      <c r="O606" s="29"/>
      <c r="P606" s="29"/>
      <c r="Q606" s="29"/>
      <c r="R606" s="29"/>
      <c r="S606" s="104"/>
      <c r="T606" s="104"/>
      <c r="U606" s="104"/>
      <c r="V606" s="104"/>
      <c r="W606" s="104"/>
      <c r="X606" s="104"/>
      <c r="Y606" s="104"/>
      <c r="Z606" s="104"/>
      <c r="AA606" s="23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231"/>
      <c r="BE606" s="231"/>
      <c r="BF606" s="231"/>
      <c r="BG606" s="231"/>
      <c r="BH606" s="231"/>
      <c r="BI606" s="231"/>
      <c r="BJ606" s="231"/>
      <c r="BK606" s="224"/>
      <c r="BL606" s="224"/>
    </row>
    <row r="607" spans="1:64" hidden="1" outlineLevel="1">
      <c r="A607" s="9"/>
      <c r="B607" s="9"/>
      <c r="C607" s="44"/>
      <c r="D607" s="271">
        <f>Asset20</f>
        <v>0</v>
      </c>
      <c r="E607" s="9"/>
      <c r="F607" s="9"/>
      <c r="G607" s="207">
        <f>'Actual RAB roll forward'!G877</f>
        <v>0</v>
      </c>
      <c r="H607" s="35"/>
      <c r="I607" s="35"/>
      <c r="J607" s="35"/>
      <c r="K607" s="35"/>
      <c r="L607" s="35"/>
      <c r="M607" s="35"/>
      <c r="N607" s="104"/>
      <c r="O607" s="29"/>
      <c r="P607" s="29"/>
      <c r="Q607" s="29"/>
      <c r="R607" s="29"/>
      <c r="S607" s="104"/>
      <c r="T607" s="104"/>
      <c r="U607" s="104"/>
      <c r="V607" s="104"/>
      <c r="W607" s="104"/>
      <c r="X607" s="104"/>
      <c r="Y607" s="104"/>
      <c r="Z607" s="104"/>
      <c r="AA607" s="23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231"/>
      <c r="BE607" s="231"/>
      <c r="BF607" s="231"/>
      <c r="BG607" s="231"/>
      <c r="BH607" s="231"/>
      <c r="BI607" s="231"/>
      <c r="BJ607" s="231"/>
      <c r="BK607" s="224"/>
      <c r="BL607" s="224"/>
    </row>
    <row r="608" spans="1:64" hidden="1" outlineLevel="1">
      <c r="A608" s="9"/>
      <c r="B608" s="9"/>
      <c r="C608" s="44"/>
      <c r="D608" s="271">
        <f>Asset21</f>
        <v>0</v>
      </c>
      <c r="E608" s="9"/>
      <c r="F608" s="9"/>
      <c r="G608" s="207">
        <f>'Actual RAB roll forward'!G878</f>
        <v>0</v>
      </c>
      <c r="H608" s="35"/>
      <c r="I608" s="35"/>
      <c r="J608" s="35"/>
      <c r="K608" s="35"/>
      <c r="L608" s="35"/>
      <c r="M608" s="35"/>
      <c r="N608" s="104"/>
      <c r="O608" s="29"/>
      <c r="P608" s="29"/>
      <c r="Q608" s="29"/>
      <c r="R608" s="29"/>
      <c r="S608" s="104"/>
      <c r="T608" s="104"/>
      <c r="U608" s="104"/>
      <c r="V608" s="104"/>
      <c r="W608" s="104"/>
      <c r="X608" s="104"/>
      <c r="Y608" s="104"/>
      <c r="Z608" s="104"/>
      <c r="AA608" s="23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231"/>
      <c r="BE608" s="231"/>
      <c r="BF608" s="231"/>
      <c r="BG608" s="231"/>
      <c r="BH608" s="231"/>
      <c r="BI608" s="231"/>
      <c r="BJ608" s="231"/>
      <c r="BK608" s="224"/>
      <c r="BL608" s="224"/>
    </row>
    <row r="609" spans="1:64" hidden="1" outlineLevel="1">
      <c r="A609" s="9"/>
      <c r="B609" s="9"/>
      <c r="C609" s="44"/>
      <c r="D609" s="271">
        <f>Asset22</f>
        <v>0</v>
      </c>
      <c r="E609" s="9"/>
      <c r="F609" s="9"/>
      <c r="G609" s="207">
        <f>'Actual RAB roll forward'!G879</f>
        <v>0</v>
      </c>
      <c r="H609" s="35"/>
      <c r="I609" s="35"/>
      <c r="J609" s="35"/>
      <c r="K609" s="35"/>
      <c r="L609" s="35"/>
      <c r="M609" s="35"/>
      <c r="N609" s="104"/>
      <c r="O609" s="29"/>
      <c r="P609" s="29"/>
      <c r="Q609" s="29"/>
      <c r="R609" s="29"/>
      <c r="S609" s="104"/>
      <c r="T609" s="104"/>
      <c r="U609" s="104"/>
      <c r="V609" s="104"/>
      <c r="W609" s="104"/>
      <c r="X609" s="104"/>
      <c r="Y609" s="104"/>
      <c r="Z609" s="104"/>
      <c r="AA609" s="23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231"/>
      <c r="BE609" s="231"/>
      <c r="BF609" s="231"/>
      <c r="BG609" s="231"/>
      <c r="BH609" s="231"/>
      <c r="BI609" s="231"/>
      <c r="BJ609" s="231"/>
      <c r="BK609" s="224"/>
      <c r="BL609" s="224"/>
    </row>
    <row r="610" spans="1:64" hidden="1" outlineLevel="1">
      <c r="A610" s="9"/>
      <c r="B610" s="9"/>
      <c r="C610" s="44"/>
      <c r="D610" s="271">
        <f>Asset23</f>
        <v>0</v>
      </c>
      <c r="E610" s="9"/>
      <c r="F610" s="9"/>
      <c r="G610" s="207">
        <f>'Actual RAB roll forward'!G880</f>
        <v>0</v>
      </c>
      <c r="H610" s="35"/>
      <c r="I610" s="35"/>
      <c r="J610" s="35"/>
      <c r="K610" s="35"/>
      <c r="L610" s="35"/>
      <c r="M610" s="35"/>
      <c r="N610" s="104"/>
      <c r="O610" s="29"/>
      <c r="P610" s="29"/>
      <c r="Q610" s="29"/>
      <c r="R610" s="29"/>
      <c r="S610" s="104"/>
      <c r="T610" s="104"/>
      <c r="U610" s="104"/>
      <c r="V610" s="104"/>
      <c r="W610" s="104"/>
      <c r="X610" s="104"/>
      <c r="Y610" s="104"/>
      <c r="Z610" s="104"/>
      <c r="AA610" s="23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231"/>
      <c r="BE610" s="231"/>
      <c r="BF610" s="231"/>
      <c r="BG610" s="231"/>
      <c r="BH610" s="231"/>
      <c r="BI610" s="231"/>
      <c r="BJ610" s="231"/>
      <c r="BK610" s="224"/>
      <c r="BL610" s="224"/>
    </row>
    <row r="611" spans="1:64" hidden="1" outlineLevel="1">
      <c r="A611" s="9"/>
      <c r="B611" s="9"/>
      <c r="C611" s="44"/>
      <c r="D611" s="271">
        <f>Asset24</f>
        <v>0</v>
      </c>
      <c r="E611" s="9"/>
      <c r="F611" s="9"/>
      <c r="G611" s="207">
        <f>'Actual RAB roll forward'!G881</f>
        <v>0</v>
      </c>
      <c r="H611" s="35"/>
      <c r="I611" s="35"/>
      <c r="J611" s="35"/>
      <c r="K611" s="35"/>
      <c r="L611" s="35"/>
      <c r="M611" s="35"/>
      <c r="N611" s="104"/>
      <c r="O611" s="29"/>
      <c r="P611" s="29"/>
      <c r="Q611" s="29"/>
      <c r="R611" s="29"/>
      <c r="S611" s="104"/>
      <c r="T611" s="104"/>
      <c r="U611" s="104"/>
      <c r="V611" s="104"/>
      <c r="W611" s="104"/>
      <c r="X611" s="104"/>
      <c r="Y611" s="104"/>
      <c r="Z611" s="104"/>
      <c r="AA611" s="23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231"/>
      <c r="BE611" s="231"/>
      <c r="BF611" s="231"/>
      <c r="BG611" s="231"/>
      <c r="BH611" s="231"/>
      <c r="BI611" s="231"/>
      <c r="BJ611" s="231"/>
      <c r="BK611" s="224"/>
      <c r="BL611" s="224"/>
    </row>
    <row r="612" spans="1:64" hidden="1" outlineLevel="1">
      <c r="A612" s="9"/>
      <c r="B612" s="9"/>
      <c r="C612" s="44"/>
      <c r="D612" s="271">
        <f>Asset25</f>
        <v>0</v>
      </c>
      <c r="E612" s="9"/>
      <c r="F612" s="9"/>
      <c r="G612" s="207">
        <f>'Actual RAB roll forward'!G882</f>
        <v>0</v>
      </c>
      <c r="H612" s="35"/>
      <c r="I612" s="35"/>
      <c r="J612" s="35"/>
      <c r="K612" s="35"/>
      <c r="L612" s="35"/>
      <c r="M612" s="35"/>
      <c r="N612" s="104"/>
      <c r="O612" s="29"/>
      <c r="P612" s="29"/>
      <c r="Q612" s="29"/>
      <c r="R612" s="29"/>
      <c r="S612" s="104"/>
      <c r="T612" s="104"/>
      <c r="U612" s="104"/>
      <c r="V612" s="104"/>
      <c r="W612" s="104"/>
      <c r="X612" s="104"/>
      <c r="Y612" s="104"/>
      <c r="Z612" s="104"/>
      <c r="AA612" s="23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231"/>
      <c r="BE612" s="231"/>
      <c r="BF612" s="231"/>
      <c r="BG612" s="231"/>
      <c r="BH612" s="231"/>
      <c r="BI612" s="231"/>
      <c r="BJ612" s="231"/>
      <c r="BK612" s="224"/>
      <c r="BL612" s="224"/>
    </row>
    <row r="613" spans="1:64" hidden="1" outlineLevel="1">
      <c r="A613" s="9"/>
      <c r="B613" s="9"/>
      <c r="C613" s="44"/>
      <c r="D613" s="271">
        <f>Asset26</f>
        <v>0</v>
      </c>
      <c r="E613" s="9"/>
      <c r="F613" s="9"/>
      <c r="G613" s="207">
        <f>'Actual RAB roll forward'!G883</f>
        <v>0</v>
      </c>
      <c r="H613" s="35"/>
      <c r="I613" s="35"/>
      <c r="J613" s="35"/>
      <c r="K613" s="35"/>
      <c r="L613" s="35"/>
      <c r="M613" s="35"/>
      <c r="N613" s="104"/>
      <c r="O613" s="29"/>
      <c r="P613" s="29"/>
      <c r="Q613" s="29"/>
      <c r="R613" s="29"/>
      <c r="S613" s="104"/>
      <c r="T613" s="104"/>
      <c r="U613" s="104"/>
      <c r="V613" s="104"/>
      <c r="W613" s="104"/>
      <c r="X613" s="104"/>
      <c r="Y613" s="104"/>
      <c r="Z613" s="104"/>
      <c r="AA613" s="23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231"/>
      <c r="BE613" s="231"/>
      <c r="BF613" s="231"/>
      <c r="BG613" s="231"/>
      <c r="BH613" s="231"/>
      <c r="BI613" s="231"/>
      <c r="BJ613" s="231"/>
      <c r="BK613" s="224"/>
      <c r="BL613" s="224"/>
    </row>
    <row r="614" spans="1:64" hidden="1" outlineLevel="1">
      <c r="A614" s="9"/>
      <c r="B614" s="9"/>
      <c r="C614" s="44"/>
      <c r="D614" s="271">
        <f>Asset27</f>
        <v>0</v>
      </c>
      <c r="E614" s="9"/>
      <c r="F614" s="9"/>
      <c r="G614" s="207">
        <f>'Actual RAB roll forward'!G884</f>
        <v>0</v>
      </c>
      <c r="H614" s="35"/>
      <c r="I614" s="35"/>
      <c r="J614" s="35"/>
      <c r="K614" s="35"/>
      <c r="L614" s="35"/>
      <c r="M614" s="35"/>
      <c r="N614" s="104"/>
      <c r="O614" s="29"/>
      <c r="P614" s="29"/>
      <c r="Q614" s="29"/>
      <c r="R614" s="29"/>
      <c r="S614" s="104"/>
      <c r="T614" s="104"/>
      <c r="U614" s="104"/>
      <c r="V614" s="104"/>
      <c r="W614" s="104"/>
      <c r="X614" s="104"/>
      <c r="Y614" s="104"/>
      <c r="Z614" s="104"/>
      <c r="AA614" s="23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231"/>
      <c r="BE614" s="231"/>
      <c r="BF614" s="231"/>
      <c r="BG614" s="231"/>
      <c r="BH614" s="231"/>
      <c r="BI614" s="231"/>
      <c r="BJ614" s="231"/>
      <c r="BK614" s="224"/>
      <c r="BL614" s="224"/>
    </row>
    <row r="615" spans="1:64" hidden="1" outlineLevel="1">
      <c r="A615" s="9"/>
      <c r="B615" s="9"/>
      <c r="C615" s="44"/>
      <c r="D615" s="271">
        <f>Asset28</f>
        <v>0</v>
      </c>
      <c r="E615" s="9"/>
      <c r="F615" s="9"/>
      <c r="G615" s="207">
        <f>'Actual RAB roll forward'!G885</f>
        <v>0</v>
      </c>
      <c r="H615" s="35"/>
      <c r="I615" s="35"/>
      <c r="J615" s="35"/>
      <c r="K615" s="35"/>
      <c r="L615" s="35"/>
      <c r="M615" s="35"/>
      <c r="N615" s="104"/>
      <c r="O615" s="29"/>
      <c r="P615" s="29"/>
      <c r="Q615" s="29"/>
      <c r="R615" s="29"/>
      <c r="S615" s="104"/>
      <c r="T615" s="104"/>
      <c r="U615" s="104"/>
      <c r="V615" s="104"/>
      <c r="W615" s="104"/>
      <c r="X615" s="104"/>
      <c r="Y615" s="104"/>
      <c r="Z615" s="104"/>
      <c r="AA615" s="23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231"/>
      <c r="BE615" s="231"/>
      <c r="BF615" s="231"/>
      <c r="BG615" s="231"/>
      <c r="BH615" s="231"/>
      <c r="BI615" s="231"/>
      <c r="BJ615" s="231"/>
      <c r="BK615" s="224"/>
      <c r="BL615" s="224"/>
    </row>
    <row r="616" spans="1:64" hidden="1" outlineLevel="1">
      <c r="A616" s="9"/>
      <c r="B616" s="9"/>
      <c r="C616" s="44"/>
      <c r="D616" s="271">
        <f>Asset29</f>
        <v>0</v>
      </c>
      <c r="E616" s="9"/>
      <c r="F616" s="9"/>
      <c r="G616" s="207">
        <f>'Actual RAB roll forward'!G886</f>
        <v>0</v>
      </c>
      <c r="H616" s="35"/>
      <c r="I616" s="35"/>
      <c r="J616" s="35"/>
      <c r="K616" s="35"/>
      <c r="L616" s="35"/>
      <c r="M616" s="35"/>
      <c r="N616" s="104"/>
      <c r="O616" s="29"/>
      <c r="P616" s="29"/>
      <c r="Q616" s="29"/>
      <c r="R616" s="29"/>
      <c r="S616" s="104"/>
      <c r="T616" s="104"/>
      <c r="U616" s="104"/>
      <c r="V616" s="104"/>
      <c r="W616" s="104"/>
      <c r="X616" s="104"/>
      <c r="Y616" s="104"/>
      <c r="Z616" s="104"/>
      <c r="AA616" s="23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231"/>
      <c r="BE616" s="231"/>
      <c r="BF616" s="231"/>
      <c r="BG616" s="231"/>
      <c r="BH616" s="231"/>
      <c r="BI616" s="231"/>
      <c r="BJ616" s="231"/>
      <c r="BK616" s="224"/>
      <c r="BL616" s="224"/>
    </row>
    <row r="617" spans="1:64" hidden="1" outlineLevel="1">
      <c r="A617" s="9"/>
      <c r="B617" s="9"/>
      <c r="C617" s="44"/>
      <c r="D617" s="271">
        <f>Asset30</f>
        <v>0</v>
      </c>
      <c r="E617" s="9"/>
      <c r="F617" s="9"/>
      <c r="G617" s="207">
        <f>'Actual RAB roll forward'!G887</f>
        <v>0</v>
      </c>
      <c r="H617" s="35"/>
      <c r="I617" s="35"/>
      <c r="J617" s="35"/>
      <c r="K617" s="35"/>
      <c r="L617" s="35"/>
      <c r="M617" s="35"/>
      <c r="N617" s="104"/>
      <c r="O617" s="29"/>
      <c r="P617" s="29"/>
      <c r="Q617" s="29"/>
      <c r="R617" s="29"/>
      <c r="S617" s="104"/>
      <c r="T617" s="104"/>
      <c r="U617" s="104"/>
      <c r="V617" s="104"/>
      <c r="W617" s="104"/>
      <c r="X617" s="104"/>
      <c r="Y617" s="104"/>
      <c r="Z617" s="104"/>
      <c r="AA617" s="23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231"/>
      <c r="BE617" s="231"/>
      <c r="BF617" s="231"/>
      <c r="BG617" s="231"/>
      <c r="BH617" s="231"/>
      <c r="BI617" s="231"/>
      <c r="BJ617" s="231"/>
      <c r="BK617" s="224"/>
      <c r="BL617" s="224"/>
    </row>
    <row r="618" spans="1:64" s="9" customFormat="1" collapsed="1">
      <c r="G618" s="212"/>
      <c r="AA618" s="201"/>
      <c r="AB618" s="201"/>
      <c r="AC618" s="201"/>
      <c r="AD618" s="201"/>
      <c r="AE618" s="201"/>
      <c r="AF618" s="201"/>
      <c r="AG618" s="201"/>
      <c r="AH618" s="201"/>
      <c r="AI618" s="201"/>
      <c r="AJ618" s="201"/>
      <c r="AK618" s="201"/>
      <c r="AL618" s="201"/>
      <c r="AM618" s="201"/>
      <c r="AN618" s="201"/>
      <c r="AO618" s="201"/>
      <c r="AP618" s="201"/>
      <c r="AQ618" s="201"/>
      <c r="AR618" s="201"/>
      <c r="AS618" s="201"/>
      <c r="AT618" s="201"/>
      <c r="AU618" s="201"/>
      <c r="AV618" s="201"/>
      <c r="AW618" s="201"/>
      <c r="AX618" s="201"/>
      <c r="AY618" s="201"/>
      <c r="AZ618" s="201"/>
      <c r="BA618" s="201"/>
      <c r="BB618" s="201"/>
      <c r="BC618" s="201"/>
      <c r="BD618" s="201"/>
      <c r="BE618" s="201"/>
      <c r="BF618" s="201"/>
      <c r="BG618" s="201"/>
      <c r="BH618" s="201"/>
      <c r="BI618" s="201"/>
      <c r="BJ618" s="201"/>
      <c r="BK618" s="201"/>
      <c r="BL618" s="201"/>
    </row>
    <row r="619" spans="1:64">
      <c r="A619" s="9"/>
      <c r="B619" s="9"/>
      <c r="C619" s="44" t="s">
        <v>38</v>
      </c>
      <c r="D619" s="117"/>
      <c r="E619" s="9"/>
      <c r="F619" s="9"/>
      <c r="G619" s="313">
        <f>SUM(G620:G649)</f>
        <v>15.015729169743596</v>
      </c>
      <c r="H619" s="35"/>
      <c r="I619" s="35"/>
      <c r="J619" s="35"/>
      <c r="K619" s="35"/>
      <c r="L619" s="35"/>
      <c r="M619" s="35"/>
      <c r="N619" s="104"/>
      <c r="O619" s="29"/>
      <c r="P619" s="29"/>
      <c r="Q619" s="29"/>
      <c r="R619" s="29"/>
      <c r="S619" s="104"/>
      <c r="T619" s="104"/>
      <c r="U619" s="104"/>
      <c r="V619" s="104"/>
      <c r="W619" s="104"/>
      <c r="X619" s="104"/>
      <c r="Y619" s="104"/>
      <c r="Z619" s="104"/>
      <c r="AA619" s="23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231"/>
      <c r="BE619" s="231"/>
      <c r="BF619" s="231"/>
      <c r="BG619" s="231"/>
      <c r="BH619" s="231"/>
      <c r="BI619" s="231"/>
      <c r="BJ619" s="231"/>
      <c r="BK619" s="224"/>
      <c r="BL619" s="224"/>
    </row>
    <row r="620" spans="1:64" hidden="1" outlineLevel="1">
      <c r="A620" s="9"/>
      <c r="B620" s="9"/>
      <c r="C620" s="9"/>
      <c r="D620" s="271" t="str">
        <f>Asset1</f>
        <v>Subtransmission</v>
      </c>
      <c r="E620" s="9"/>
      <c r="F620" s="9"/>
      <c r="G620" s="207">
        <f>'Actual RAB roll forward'!G890</f>
        <v>-13.672105942844249</v>
      </c>
      <c r="H620" s="35"/>
      <c r="I620" s="35"/>
      <c r="J620" s="35"/>
      <c r="K620" s="35"/>
      <c r="L620" s="35"/>
      <c r="M620" s="35"/>
      <c r="N620" s="104"/>
      <c r="O620" s="29"/>
      <c r="P620" s="29"/>
      <c r="Q620" s="29"/>
      <c r="R620" s="29"/>
      <c r="S620" s="104"/>
      <c r="T620" s="104"/>
      <c r="U620" s="104"/>
      <c r="V620" s="104"/>
      <c r="W620" s="104"/>
      <c r="X620" s="104"/>
      <c r="Y620" s="104"/>
      <c r="Z620" s="104"/>
      <c r="AA620" s="23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231"/>
      <c r="BE620" s="231"/>
      <c r="BF620" s="231"/>
      <c r="BG620" s="231"/>
      <c r="BH620" s="231"/>
      <c r="BI620" s="231"/>
      <c r="BJ620" s="231"/>
      <c r="BK620" s="224"/>
      <c r="BL620" s="224"/>
    </row>
    <row r="621" spans="1:64" hidden="1" outlineLevel="1">
      <c r="A621" s="9"/>
      <c r="B621" s="9"/>
      <c r="C621" s="44"/>
      <c r="D621" s="271" t="str">
        <f>Asset2</f>
        <v>Distribution system assets</v>
      </c>
      <c r="E621" s="9"/>
      <c r="F621" s="9"/>
      <c r="G621" s="207">
        <f>'Actual RAB roll forward'!G891</f>
        <v>17.363918175697677</v>
      </c>
      <c r="H621" s="35"/>
      <c r="I621" s="35"/>
      <c r="J621" s="35"/>
      <c r="K621" s="35"/>
      <c r="L621" s="35"/>
      <c r="M621" s="35"/>
      <c r="N621" s="104"/>
      <c r="O621" s="29"/>
      <c r="P621" s="29"/>
      <c r="Q621" s="29"/>
      <c r="R621" s="29"/>
      <c r="S621" s="104"/>
      <c r="T621" s="104"/>
      <c r="U621" s="104"/>
      <c r="V621" s="104"/>
      <c r="W621" s="104"/>
      <c r="X621" s="104"/>
      <c r="Y621" s="104"/>
      <c r="Z621" s="104"/>
      <c r="AA621" s="23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231"/>
      <c r="BE621" s="231"/>
      <c r="BF621" s="231"/>
      <c r="BG621" s="231"/>
      <c r="BH621" s="231"/>
      <c r="BI621" s="231"/>
      <c r="BJ621" s="231"/>
      <c r="BK621" s="224"/>
      <c r="BL621" s="224"/>
    </row>
    <row r="622" spans="1:64" hidden="1" outlineLevel="1">
      <c r="A622" s="9"/>
      <c r="B622" s="9"/>
      <c r="C622" s="44"/>
      <c r="D622" s="271" t="str">
        <f>Asset3</f>
        <v>Standard metering</v>
      </c>
      <c r="E622" s="9"/>
      <c r="F622" s="9"/>
      <c r="G622" s="207">
        <f>'Actual RAB roll forward'!G892</f>
        <v>5.2553909454792151</v>
      </c>
      <c r="H622" s="35"/>
      <c r="I622" s="35"/>
      <c r="J622" s="35"/>
      <c r="K622" s="35"/>
      <c r="L622" s="35"/>
      <c r="M622" s="35"/>
      <c r="N622" s="104"/>
      <c r="O622" s="29"/>
      <c r="P622" s="29"/>
      <c r="Q622" s="29"/>
      <c r="R622" s="29"/>
      <c r="S622" s="104"/>
      <c r="T622" s="104"/>
      <c r="U622" s="104"/>
      <c r="V622" s="104"/>
      <c r="W622" s="104"/>
      <c r="X622" s="104"/>
      <c r="Y622" s="104"/>
      <c r="Z622" s="104"/>
      <c r="AA622" s="23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231"/>
      <c r="BE622" s="231"/>
      <c r="BF622" s="231"/>
      <c r="BG622" s="231"/>
      <c r="BH622" s="231"/>
      <c r="BI622" s="231"/>
      <c r="BJ622" s="231"/>
      <c r="BK622" s="224"/>
      <c r="BL622" s="224"/>
    </row>
    <row r="623" spans="1:64" hidden="1" outlineLevel="1">
      <c r="A623" s="9"/>
      <c r="B623" s="9"/>
      <c r="C623" s="44"/>
      <c r="D623" s="271" t="str">
        <f>Asset4</f>
        <v>Public lighting</v>
      </c>
      <c r="E623" s="9"/>
      <c r="F623" s="9"/>
      <c r="G623" s="207">
        <f>'Actual RAB roll forward'!G893</f>
        <v>0</v>
      </c>
      <c r="H623" s="35"/>
      <c r="I623" s="35"/>
      <c r="J623" s="35"/>
      <c r="K623" s="35"/>
      <c r="L623" s="35"/>
      <c r="M623" s="35"/>
      <c r="N623" s="104"/>
      <c r="O623" s="29"/>
      <c r="P623" s="29"/>
      <c r="Q623" s="29"/>
      <c r="R623" s="29"/>
      <c r="S623" s="104"/>
      <c r="T623" s="104"/>
      <c r="U623" s="104"/>
      <c r="V623" s="104"/>
      <c r="W623" s="104"/>
      <c r="X623" s="104"/>
      <c r="Y623" s="104"/>
      <c r="Z623" s="104"/>
      <c r="AA623" s="23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231"/>
      <c r="BE623" s="231"/>
      <c r="BF623" s="231"/>
      <c r="BG623" s="231"/>
      <c r="BH623" s="231"/>
      <c r="BI623" s="231"/>
      <c r="BJ623" s="231"/>
      <c r="BK623" s="224"/>
      <c r="BL623" s="224"/>
    </row>
    <row r="624" spans="1:64" hidden="1" outlineLevel="1">
      <c r="A624" s="9"/>
      <c r="B624" s="9"/>
      <c r="C624" s="44"/>
      <c r="D624" s="271" t="str">
        <f>Asset5</f>
        <v>SCADA/Network control</v>
      </c>
      <c r="E624" s="9"/>
      <c r="F624" s="9"/>
      <c r="G624" s="207">
        <f>'Actual RAB roll forward'!G894</f>
        <v>-0.42581112592047277</v>
      </c>
      <c r="H624" s="35"/>
      <c r="I624" s="35"/>
      <c r="J624" s="35"/>
      <c r="K624" s="35"/>
      <c r="L624" s="35"/>
      <c r="M624" s="35"/>
      <c r="N624" s="104"/>
      <c r="O624" s="29"/>
      <c r="P624" s="29"/>
      <c r="Q624" s="29"/>
      <c r="R624" s="29"/>
      <c r="S624" s="104"/>
      <c r="T624" s="104"/>
      <c r="U624" s="104"/>
      <c r="V624" s="104"/>
      <c r="W624" s="104"/>
      <c r="X624" s="104"/>
      <c r="Y624" s="104"/>
      <c r="Z624" s="104"/>
      <c r="AA624" s="23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231"/>
      <c r="BE624" s="231"/>
      <c r="BF624" s="231"/>
      <c r="BG624" s="231"/>
      <c r="BH624" s="231"/>
      <c r="BI624" s="231"/>
      <c r="BJ624" s="231"/>
      <c r="BK624" s="224"/>
      <c r="BL624" s="224"/>
    </row>
    <row r="625" spans="1:64" hidden="1" outlineLevel="1">
      <c r="A625" s="9"/>
      <c r="B625" s="9"/>
      <c r="C625" s="44"/>
      <c r="D625" s="271" t="str">
        <f>Asset6</f>
        <v>Non-network general assets - IT</v>
      </c>
      <c r="E625" s="9"/>
      <c r="F625" s="9"/>
      <c r="G625" s="207">
        <f>'Actual RAB roll forward'!G895</f>
        <v>4.9952742156455265</v>
      </c>
      <c r="H625" s="35"/>
      <c r="I625" s="35"/>
      <c r="J625" s="35"/>
      <c r="K625" s="35"/>
      <c r="L625" s="35"/>
      <c r="M625" s="35"/>
      <c r="N625" s="104"/>
      <c r="O625" s="29"/>
      <c r="P625" s="29"/>
      <c r="Q625" s="29"/>
      <c r="R625" s="29"/>
      <c r="S625" s="104"/>
      <c r="T625" s="104"/>
      <c r="U625" s="104"/>
      <c r="V625" s="104"/>
      <c r="W625" s="104"/>
      <c r="X625" s="104"/>
      <c r="Y625" s="104"/>
      <c r="Z625" s="104"/>
      <c r="AA625" s="23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231"/>
      <c r="BE625" s="231"/>
      <c r="BF625" s="231"/>
      <c r="BG625" s="231"/>
      <c r="BH625" s="231"/>
      <c r="BI625" s="231"/>
      <c r="BJ625" s="231"/>
      <c r="BK625" s="224"/>
      <c r="BL625" s="224"/>
    </row>
    <row r="626" spans="1:64" hidden="1" outlineLevel="1">
      <c r="A626" s="9"/>
      <c r="B626" s="9"/>
      <c r="C626" s="44"/>
      <c r="D626" s="271" t="str">
        <f>Asset7</f>
        <v>Non-network general assets - Other</v>
      </c>
      <c r="E626" s="9"/>
      <c r="F626" s="9"/>
      <c r="G626" s="207">
        <f>'Actual RAB roll forward'!G896</f>
        <v>1.499062901685899</v>
      </c>
      <c r="H626" s="35"/>
      <c r="I626" s="35"/>
      <c r="J626" s="35"/>
      <c r="K626" s="35"/>
      <c r="L626" s="35"/>
      <c r="M626" s="35"/>
      <c r="N626" s="104"/>
      <c r="O626" s="29"/>
      <c r="P626" s="29"/>
      <c r="Q626" s="29"/>
      <c r="R626" s="29"/>
      <c r="S626" s="104"/>
      <c r="T626" s="104"/>
      <c r="U626" s="104"/>
      <c r="V626" s="104"/>
      <c r="W626" s="104"/>
      <c r="X626" s="104"/>
      <c r="Y626" s="104"/>
      <c r="Z626" s="104"/>
      <c r="AA626" s="23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231"/>
      <c r="BE626" s="231"/>
      <c r="BF626" s="231"/>
      <c r="BG626" s="231"/>
      <c r="BH626" s="231"/>
      <c r="BI626" s="231"/>
      <c r="BJ626" s="231"/>
      <c r="BK626" s="224"/>
      <c r="BL626" s="224"/>
    </row>
    <row r="627" spans="1:64" hidden="1" outlineLevel="1">
      <c r="A627" s="9"/>
      <c r="B627" s="9"/>
      <c r="C627" s="44"/>
      <c r="D627" s="271" t="str">
        <f>Asset8</f>
        <v>Equity Raising Costs</v>
      </c>
      <c r="E627" s="9"/>
      <c r="F627" s="9"/>
      <c r="G627" s="207">
        <f>'Actual RAB roll forward'!G897</f>
        <v>0</v>
      </c>
      <c r="H627" s="35"/>
      <c r="I627" s="35"/>
      <c r="J627" s="35"/>
      <c r="K627" s="35"/>
      <c r="L627" s="35"/>
      <c r="M627" s="35"/>
      <c r="N627" s="104"/>
      <c r="O627" s="29"/>
      <c r="P627" s="29"/>
      <c r="Q627" s="29"/>
      <c r="R627" s="29"/>
      <c r="S627" s="104"/>
      <c r="T627" s="104"/>
      <c r="U627" s="104"/>
      <c r="V627" s="104"/>
      <c r="W627" s="104"/>
      <c r="X627" s="104"/>
      <c r="Y627" s="104"/>
      <c r="Z627" s="104"/>
      <c r="AA627" s="23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231"/>
      <c r="BE627" s="231"/>
      <c r="BF627" s="231"/>
      <c r="BG627" s="231"/>
      <c r="BH627" s="231"/>
      <c r="BI627" s="231"/>
      <c r="BJ627" s="231"/>
      <c r="BK627" s="224"/>
      <c r="BL627" s="224"/>
    </row>
    <row r="628" spans="1:64" hidden="1" outlineLevel="1">
      <c r="A628" s="9"/>
      <c r="B628" s="9"/>
      <c r="C628" s="44"/>
      <c r="D628" s="271">
        <f>Asset9</f>
        <v>0</v>
      </c>
      <c r="E628" s="9"/>
      <c r="F628" s="9"/>
      <c r="G628" s="207">
        <f>'Actual RAB roll forward'!G898</f>
        <v>0</v>
      </c>
      <c r="H628" s="35"/>
      <c r="I628" s="35"/>
      <c r="J628" s="35"/>
      <c r="K628" s="35"/>
      <c r="L628" s="35"/>
      <c r="M628" s="35"/>
      <c r="N628" s="104"/>
      <c r="O628" s="29"/>
      <c r="P628" s="29"/>
      <c r="Q628" s="29"/>
      <c r="R628" s="29"/>
      <c r="S628" s="104"/>
      <c r="T628" s="104"/>
      <c r="U628" s="104"/>
      <c r="V628" s="104"/>
      <c r="W628" s="104"/>
      <c r="X628" s="104"/>
      <c r="Y628" s="104"/>
      <c r="Z628" s="104"/>
      <c r="AA628" s="23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231"/>
      <c r="BE628" s="231"/>
      <c r="BF628" s="231"/>
      <c r="BG628" s="231"/>
      <c r="BH628" s="231"/>
      <c r="BI628" s="231"/>
      <c r="BJ628" s="231"/>
      <c r="BK628" s="224"/>
      <c r="BL628" s="224"/>
    </row>
    <row r="629" spans="1:64" hidden="1" outlineLevel="1">
      <c r="A629" s="9"/>
      <c r="B629" s="9"/>
      <c r="C629" s="44"/>
      <c r="D629" s="271">
        <f>Asset10</f>
        <v>0</v>
      </c>
      <c r="E629" s="9"/>
      <c r="F629" s="9"/>
      <c r="G629" s="207">
        <f>'Actual RAB roll forward'!G899</f>
        <v>0</v>
      </c>
      <c r="H629" s="35"/>
      <c r="I629" s="35"/>
      <c r="J629" s="35"/>
      <c r="K629" s="35"/>
      <c r="L629" s="35"/>
      <c r="M629" s="35"/>
      <c r="N629" s="104"/>
      <c r="O629" s="29"/>
      <c r="P629" s="29"/>
      <c r="Q629" s="29"/>
      <c r="R629" s="29"/>
      <c r="S629" s="104"/>
      <c r="T629" s="104"/>
      <c r="U629" s="104"/>
      <c r="V629" s="104"/>
      <c r="W629" s="104"/>
      <c r="X629" s="104"/>
      <c r="Y629" s="104"/>
      <c r="Z629" s="104"/>
      <c r="AA629" s="23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231"/>
      <c r="BE629" s="231"/>
      <c r="BF629" s="231"/>
      <c r="BG629" s="231"/>
      <c r="BH629" s="231"/>
      <c r="BI629" s="231"/>
      <c r="BJ629" s="231"/>
      <c r="BK629" s="224"/>
      <c r="BL629" s="224"/>
    </row>
    <row r="630" spans="1:64" hidden="1" outlineLevel="1">
      <c r="A630" s="9"/>
      <c r="B630" s="9"/>
      <c r="C630" s="44"/>
      <c r="D630" s="271">
        <f>Asset11</f>
        <v>0</v>
      </c>
      <c r="E630" s="9"/>
      <c r="F630" s="9"/>
      <c r="G630" s="207">
        <f>'Actual RAB roll forward'!G900</f>
        <v>0</v>
      </c>
      <c r="H630" s="35"/>
      <c r="I630" s="35"/>
      <c r="J630" s="35"/>
      <c r="K630" s="35"/>
      <c r="L630" s="35"/>
      <c r="M630" s="35"/>
      <c r="N630" s="104"/>
      <c r="O630" s="29"/>
      <c r="P630" s="29"/>
      <c r="Q630" s="29"/>
      <c r="R630" s="29"/>
      <c r="S630" s="104"/>
      <c r="T630" s="104"/>
      <c r="U630" s="104"/>
      <c r="V630" s="104"/>
      <c r="W630" s="104"/>
      <c r="X630" s="104"/>
      <c r="Y630" s="104"/>
      <c r="Z630" s="104"/>
      <c r="AA630" s="23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231"/>
      <c r="BE630" s="231"/>
      <c r="BF630" s="231"/>
      <c r="BG630" s="231"/>
      <c r="BH630" s="231"/>
      <c r="BI630" s="231"/>
      <c r="BJ630" s="231"/>
      <c r="BK630" s="224"/>
      <c r="BL630" s="224"/>
    </row>
    <row r="631" spans="1:64" hidden="1" outlineLevel="1">
      <c r="A631" s="9"/>
      <c r="B631" s="9"/>
      <c r="C631" s="44"/>
      <c r="D631" s="271">
        <f>Asset12</f>
        <v>0</v>
      </c>
      <c r="E631" s="9"/>
      <c r="F631" s="9"/>
      <c r="G631" s="207">
        <f>'Actual RAB roll forward'!G901</f>
        <v>0</v>
      </c>
      <c r="H631" s="35"/>
      <c r="I631" s="35"/>
      <c r="J631" s="35"/>
      <c r="K631" s="35"/>
      <c r="L631" s="35"/>
      <c r="M631" s="35"/>
      <c r="N631" s="104"/>
      <c r="O631" s="29"/>
      <c r="P631" s="29"/>
      <c r="Q631" s="29"/>
      <c r="R631" s="29"/>
      <c r="S631" s="104"/>
      <c r="T631" s="104"/>
      <c r="U631" s="104"/>
      <c r="V631" s="104"/>
      <c r="W631" s="104"/>
      <c r="X631" s="104"/>
      <c r="Y631" s="104"/>
      <c r="Z631" s="104"/>
      <c r="AA631" s="231"/>
      <c r="AB631" s="231"/>
      <c r="AC631" s="231"/>
      <c r="AD631" s="231"/>
      <c r="AE631" s="231"/>
      <c r="AF631" s="231"/>
      <c r="AG631" s="231"/>
      <c r="AH631" s="231"/>
      <c r="AI631" s="231"/>
      <c r="AJ631" s="231"/>
      <c r="AK631" s="231"/>
      <c r="AL631" s="231"/>
      <c r="AM631" s="231"/>
      <c r="AN631" s="231"/>
      <c r="AO631" s="231"/>
      <c r="AP631" s="231"/>
      <c r="AQ631" s="231"/>
      <c r="AR631" s="231"/>
      <c r="AS631" s="231"/>
      <c r="AT631" s="231"/>
      <c r="AU631" s="231"/>
      <c r="AV631" s="231"/>
      <c r="AW631" s="231"/>
      <c r="AX631" s="231"/>
      <c r="AY631" s="231"/>
      <c r="AZ631" s="231"/>
      <c r="BA631" s="231"/>
      <c r="BB631" s="231"/>
      <c r="BC631" s="231"/>
      <c r="BD631" s="231"/>
      <c r="BE631" s="231"/>
      <c r="BF631" s="231"/>
      <c r="BG631" s="231"/>
      <c r="BH631" s="231"/>
      <c r="BI631" s="231"/>
      <c r="BJ631" s="231"/>
      <c r="BK631" s="224"/>
      <c r="BL631" s="224"/>
    </row>
    <row r="632" spans="1:64" hidden="1" outlineLevel="1">
      <c r="A632" s="9"/>
      <c r="B632" s="9"/>
      <c r="C632" s="44"/>
      <c r="D632" s="271">
        <f>Asset13</f>
        <v>0</v>
      </c>
      <c r="E632" s="9"/>
      <c r="F632" s="9"/>
      <c r="G632" s="207">
        <f>'Actual RAB roll forward'!G902</f>
        <v>0</v>
      </c>
      <c r="H632" s="35"/>
      <c r="I632" s="35"/>
      <c r="J632" s="35"/>
      <c r="K632" s="35"/>
      <c r="L632" s="35"/>
      <c r="M632" s="35"/>
      <c r="N632" s="104"/>
      <c r="O632" s="29"/>
      <c r="P632" s="29"/>
      <c r="Q632" s="29"/>
      <c r="R632" s="29"/>
      <c r="S632" s="104"/>
      <c r="T632" s="104"/>
      <c r="U632" s="104"/>
      <c r="V632" s="104"/>
      <c r="W632" s="104"/>
      <c r="X632" s="104"/>
      <c r="Y632" s="104"/>
      <c r="Z632" s="104"/>
      <c r="AA632" s="231"/>
      <c r="AB632" s="231"/>
      <c r="AC632" s="231"/>
      <c r="AD632" s="231"/>
      <c r="AE632" s="231"/>
      <c r="AF632" s="231"/>
      <c r="AG632" s="231"/>
      <c r="AH632" s="231"/>
      <c r="AI632" s="231"/>
      <c r="AJ632" s="231"/>
      <c r="AK632" s="231"/>
      <c r="AL632" s="231"/>
      <c r="AM632" s="231"/>
      <c r="AN632" s="231"/>
      <c r="AO632" s="231"/>
      <c r="AP632" s="231"/>
      <c r="AQ632" s="231"/>
      <c r="AR632" s="231"/>
      <c r="AS632" s="231"/>
      <c r="AT632" s="231"/>
      <c r="AU632" s="231"/>
      <c r="AV632" s="231"/>
      <c r="AW632" s="231"/>
      <c r="AX632" s="231"/>
      <c r="AY632" s="231"/>
      <c r="AZ632" s="231"/>
      <c r="BA632" s="231"/>
      <c r="BB632" s="231"/>
      <c r="BC632" s="231"/>
      <c r="BD632" s="231"/>
      <c r="BE632" s="231"/>
      <c r="BF632" s="231"/>
      <c r="BG632" s="231"/>
      <c r="BH632" s="231"/>
      <c r="BI632" s="231"/>
      <c r="BJ632" s="231"/>
      <c r="BK632" s="224"/>
      <c r="BL632" s="224"/>
    </row>
    <row r="633" spans="1:64" hidden="1" outlineLevel="1">
      <c r="A633" s="9"/>
      <c r="B633" s="9"/>
      <c r="C633" s="44"/>
      <c r="D633" s="271">
        <f>Asset14</f>
        <v>0</v>
      </c>
      <c r="E633" s="9"/>
      <c r="F633" s="9"/>
      <c r="G633" s="207">
        <f>'Actual RAB roll forward'!G903</f>
        <v>0</v>
      </c>
      <c r="H633" s="35"/>
      <c r="I633" s="35"/>
      <c r="J633" s="35"/>
      <c r="K633" s="35"/>
      <c r="L633" s="35"/>
      <c r="M633" s="35"/>
      <c r="N633" s="104"/>
      <c r="O633" s="29"/>
      <c r="P633" s="29"/>
      <c r="Q633" s="29"/>
      <c r="R633" s="29"/>
      <c r="S633" s="104"/>
      <c r="T633" s="104"/>
      <c r="U633" s="104"/>
      <c r="V633" s="104"/>
      <c r="W633" s="104"/>
      <c r="X633" s="104"/>
      <c r="Y633" s="104"/>
      <c r="Z633" s="104"/>
      <c r="AA633" s="231"/>
      <c r="AB633" s="231"/>
      <c r="AC633" s="231"/>
      <c r="AD633" s="231"/>
      <c r="AE633" s="231"/>
      <c r="AF633" s="231"/>
      <c r="AG633" s="231"/>
      <c r="AH633" s="231"/>
      <c r="AI633" s="231"/>
      <c r="AJ633" s="231"/>
      <c r="AK633" s="231"/>
      <c r="AL633" s="231"/>
      <c r="AM633" s="231"/>
      <c r="AN633" s="231"/>
      <c r="AO633" s="231"/>
      <c r="AP633" s="231"/>
      <c r="AQ633" s="231"/>
      <c r="AR633" s="231"/>
      <c r="AS633" s="231"/>
      <c r="AT633" s="231"/>
      <c r="AU633" s="231"/>
      <c r="AV633" s="231"/>
      <c r="AW633" s="231"/>
      <c r="AX633" s="231"/>
      <c r="AY633" s="231"/>
      <c r="AZ633" s="231"/>
      <c r="BA633" s="231"/>
      <c r="BB633" s="231"/>
      <c r="BC633" s="231"/>
      <c r="BD633" s="231"/>
      <c r="BE633" s="231"/>
      <c r="BF633" s="231"/>
      <c r="BG633" s="231"/>
      <c r="BH633" s="231"/>
      <c r="BI633" s="231"/>
      <c r="BJ633" s="231"/>
      <c r="BK633" s="224"/>
      <c r="BL633" s="224"/>
    </row>
    <row r="634" spans="1:64" hidden="1" outlineLevel="1">
      <c r="A634" s="9"/>
      <c r="B634" s="9"/>
      <c r="C634" s="44"/>
      <c r="D634" s="271">
        <f>Asset15</f>
        <v>0</v>
      </c>
      <c r="E634" s="9"/>
      <c r="F634" s="9"/>
      <c r="G634" s="207">
        <f>'Actual RAB roll forward'!G904</f>
        <v>0</v>
      </c>
      <c r="H634" s="35"/>
      <c r="I634" s="35"/>
      <c r="J634" s="35"/>
      <c r="K634" s="35"/>
      <c r="L634" s="35"/>
      <c r="M634" s="35"/>
      <c r="N634" s="104"/>
      <c r="O634" s="29"/>
      <c r="P634" s="29"/>
      <c r="Q634" s="29"/>
      <c r="R634" s="29"/>
      <c r="S634" s="104"/>
      <c r="T634" s="104"/>
      <c r="U634" s="104"/>
      <c r="V634" s="104"/>
      <c r="W634" s="104"/>
      <c r="X634" s="104"/>
      <c r="Y634" s="104"/>
      <c r="Z634" s="104"/>
      <c r="AA634" s="231"/>
      <c r="AB634" s="231"/>
      <c r="AC634" s="231"/>
      <c r="AD634" s="231"/>
      <c r="AE634" s="231"/>
      <c r="AF634" s="231"/>
      <c r="AG634" s="231"/>
      <c r="AH634" s="231"/>
      <c r="AI634" s="231"/>
      <c r="AJ634" s="231"/>
      <c r="AK634" s="231"/>
      <c r="AL634" s="231"/>
      <c r="AM634" s="231"/>
      <c r="AN634" s="231"/>
      <c r="AO634" s="231"/>
      <c r="AP634" s="231"/>
      <c r="AQ634" s="231"/>
      <c r="AR634" s="231"/>
      <c r="AS634" s="231"/>
      <c r="AT634" s="231"/>
      <c r="AU634" s="231"/>
      <c r="AV634" s="231"/>
      <c r="AW634" s="231"/>
      <c r="AX634" s="231"/>
      <c r="AY634" s="231"/>
      <c r="AZ634" s="231"/>
      <c r="BA634" s="231"/>
      <c r="BB634" s="231"/>
      <c r="BC634" s="231"/>
      <c r="BD634" s="231"/>
      <c r="BE634" s="231"/>
      <c r="BF634" s="231"/>
      <c r="BG634" s="231"/>
      <c r="BH634" s="231"/>
      <c r="BI634" s="231"/>
      <c r="BJ634" s="231"/>
      <c r="BK634" s="224"/>
      <c r="BL634" s="224"/>
    </row>
    <row r="635" spans="1:64" hidden="1" outlineLevel="1">
      <c r="A635" s="9"/>
      <c r="B635" s="9"/>
      <c r="C635" s="44"/>
      <c r="D635" s="271">
        <f>Asset16</f>
        <v>0</v>
      </c>
      <c r="E635" s="9"/>
      <c r="F635" s="9"/>
      <c r="G635" s="207">
        <f>'Actual RAB roll forward'!G905</f>
        <v>0</v>
      </c>
      <c r="H635" s="35"/>
      <c r="I635" s="35"/>
      <c r="J635" s="35"/>
      <c r="K635" s="35"/>
      <c r="L635" s="35"/>
      <c r="M635" s="35"/>
      <c r="N635" s="104"/>
      <c r="O635" s="29"/>
      <c r="P635" s="29"/>
      <c r="Q635" s="29"/>
      <c r="R635" s="29"/>
      <c r="S635" s="104"/>
      <c r="T635" s="104"/>
      <c r="U635" s="104"/>
      <c r="V635" s="104"/>
      <c r="W635" s="104"/>
      <c r="X635" s="104"/>
      <c r="Y635" s="104"/>
      <c r="Z635" s="104"/>
      <c r="AA635" s="231"/>
      <c r="AB635" s="231"/>
      <c r="AC635" s="231"/>
      <c r="AD635" s="231"/>
      <c r="AE635" s="231"/>
      <c r="AF635" s="231"/>
      <c r="AG635" s="231"/>
      <c r="AH635" s="231"/>
      <c r="AI635" s="231"/>
      <c r="AJ635" s="231"/>
      <c r="AK635" s="231"/>
      <c r="AL635" s="231"/>
      <c r="AM635" s="231"/>
      <c r="AN635" s="231"/>
      <c r="AO635" s="231"/>
      <c r="AP635" s="231"/>
      <c r="AQ635" s="231"/>
      <c r="AR635" s="231"/>
      <c r="AS635" s="231"/>
      <c r="AT635" s="231"/>
      <c r="AU635" s="231"/>
      <c r="AV635" s="231"/>
      <c r="AW635" s="231"/>
      <c r="AX635" s="231"/>
      <c r="AY635" s="231"/>
      <c r="AZ635" s="231"/>
      <c r="BA635" s="231"/>
      <c r="BB635" s="231"/>
      <c r="BC635" s="231"/>
      <c r="BD635" s="231"/>
      <c r="BE635" s="231"/>
      <c r="BF635" s="231"/>
      <c r="BG635" s="231"/>
      <c r="BH635" s="231"/>
      <c r="BI635" s="231"/>
      <c r="BJ635" s="231"/>
      <c r="BK635" s="224"/>
      <c r="BL635" s="224"/>
    </row>
    <row r="636" spans="1:64" hidden="1" outlineLevel="1">
      <c r="A636" s="9"/>
      <c r="B636" s="9"/>
      <c r="C636" s="44"/>
      <c r="D636" s="271">
        <f>Asset17</f>
        <v>0</v>
      </c>
      <c r="E636" s="9"/>
      <c r="F636" s="9"/>
      <c r="G636" s="207">
        <f>'Actual RAB roll forward'!G906</f>
        <v>0</v>
      </c>
      <c r="H636" s="35"/>
      <c r="I636" s="35"/>
      <c r="J636" s="35"/>
      <c r="K636" s="35"/>
      <c r="L636" s="35"/>
      <c r="M636" s="35"/>
      <c r="N636" s="104"/>
      <c r="O636" s="29"/>
      <c r="P636" s="29"/>
      <c r="Q636" s="29"/>
      <c r="R636" s="29"/>
      <c r="S636" s="104"/>
      <c r="T636" s="104"/>
      <c r="U636" s="104"/>
      <c r="V636" s="104"/>
      <c r="W636" s="104"/>
      <c r="X636" s="104"/>
      <c r="Y636" s="104"/>
      <c r="Z636" s="104"/>
      <c r="AA636" s="231"/>
      <c r="AB636" s="231"/>
      <c r="AC636" s="231"/>
      <c r="AD636" s="231"/>
      <c r="AE636" s="231"/>
      <c r="AF636" s="231"/>
      <c r="AG636" s="231"/>
      <c r="AH636" s="231"/>
      <c r="AI636" s="231"/>
      <c r="AJ636" s="231"/>
      <c r="AK636" s="231"/>
      <c r="AL636" s="231"/>
      <c r="AM636" s="231"/>
      <c r="AN636" s="231"/>
      <c r="AO636" s="231"/>
      <c r="AP636" s="231"/>
      <c r="AQ636" s="231"/>
      <c r="AR636" s="231"/>
      <c r="AS636" s="231"/>
      <c r="AT636" s="231"/>
      <c r="AU636" s="231"/>
      <c r="AV636" s="231"/>
      <c r="AW636" s="231"/>
      <c r="AX636" s="231"/>
      <c r="AY636" s="231"/>
      <c r="AZ636" s="231"/>
      <c r="BA636" s="231"/>
      <c r="BB636" s="231"/>
      <c r="BC636" s="231"/>
      <c r="BD636" s="231"/>
      <c r="BE636" s="231"/>
      <c r="BF636" s="231"/>
      <c r="BG636" s="231"/>
      <c r="BH636" s="231"/>
      <c r="BI636" s="231"/>
      <c r="BJ636" s="231"/>
      <c r="BK636" s="224"/>
      <c r="BL636" s="224"/>
    </row>
    <row r="637" spans="1:64" hidden="1" outlineLevel="1">
      <c r="A637" s="9"/>
      <c r="B637" s="9"/>
      <c r="C637" s="44"/>
      <c r="D637" s="271">
        <f>Asset18</f>
        <v>0</v>
      </c>
      <c r="E637" s="9"/>
      <c r="F637" s="9"/>
      <c r="G637" s="207">
        <f>'Actual RAB roll forward'!G907</f>
        <v>0</v>
      </c>
      <c r="H637" s="35"/>
      <c r="I637" s="35"/>
      <c r="J637" s="35"/>
      <c r="K637" s="35"/>
      <c r="L637" s="35"/>
      <c r="M637" s="35"/>
      <c r="N637" s="104"/>
      <c r="O637" s="29"/>
      <c r="P637" s="29"/>
      <c r="Q637" s="29"/>
      <c r="R637" s="29"/>
      <c r="S637" s="104"/>
      <c r="T637" s="104"/>
      <c r="U637" s="104"/>
      <c r="V637" s="104"/>
      <c r="W637" s="104"/>
      <c r="X637" s="104"/>
      <c r="Y637" s="104"/>
      <c r="Z637" s="104"/>
      <c r="AA637" s="231"/>
      <c r="AB637" s="231"/>
      <c r="AC637" s="231"/>
      <c r="AD637" s="231"/>
      <c r="AE637" s="231"/>
      <c r="AF637" s="231"/>
      <c r="AG637" s="231"/>
      <c r="AH637" s="231"/>
      <c r="AI637" s="231"/>
      <c r="AJ637" s="231"/>
      <c r="AK637" s="231"/>
      <c r="AL637" s="231"/>
      <c r="AM637" s="231"/>
      <c r="AN637" s="231"/>
      <c r="AO637" s="231"/>
      <c r="AP637" s="231"/>
      <c r="AQ637" s="231"/>
      <c r="AR637" s="231"/>
      <c r="AS637" s="231"/>
      <c r="AT637" s="231"/>
      <c r="AU637" s="231"/>
      <c r="AV637" s="231"/>
      <c r="AW637" s="231"/>
      <c r="AX637" s="231"/>
      <c r="AY637" s="231"/>
      <c r="AZ637" s="231"/>
      <c r="BA637" s="231"/>
      <c r="BB637" s="231"/>
      <c r="BC637" s="231"/>
      <c r="BD637" s="231"/>
      <c r="BE637" s="231"/>
      <c r="BF637" s="231"/>
      <c r="BG637" s="231"/>
      <c r="BH637" s="231"/>
      <c r="BI637" s="231"/>
      <c r="BJ637" s="231"/>
      <c r="BK637" s="224"/>
      <c r="BL637" s="224"/>
    </row>
    <row r="638" spans="1:64" hidden="1" outlineLevel="1">
      <c r="A638" s="9"/>
      <c r="B638" s="9"/>
      <c r="C638" s="44"/>
      <c r="D638" s="271">
        <f>Asset19</f>
        <v>0</v>
      </c>
      <c r="E638" s="9"/>
      <c r="F638" s="9"/>
      <c r="G638" s="207">
        <f>'Actual RAB roll forward'!G908</f>
        <v>0</v>
      </c>
      <c r="H638" s="35"/>
      <c r="I638" s="35"/>
      <c r="J638" s="35"/>
      <c r="K638" s="35"/>
      <c r="L638" s="35"/>
      <c r="M638" s="35"/>
      <c r="N638" s="104"/>
      <c r="O638" s="29"/>
      <c r="P638" s="29"/>
      <c r="Q638" s="29"/>
      <c r="R638" s="29"/>
      <c r="S638" s="104"/>
      <c r="T638" s="104"/>
      <c r="U638" s="104"/>
      <c r="V638" s="104"/>
      <c r="W638" s="104"/>
      <c r="X638" s="104"/>
      <c r="Y638" s="104"/>
      <c r="Z638" s="104"/>
      <c r="AA638" s="231"/>
      <c r="AB638" s="231"/>
      <c r="AC638" s="231"/>
      <c r="AD638" s="231"/>
      <c r="AE638" s="231"/>
      <c r="AF638" s="231"/>
      <c r="AG638" s="231"/>
      <c r="AH638" s="231"/>
      <c r="AI638" s="231"/>
      <c r="AJ638" s="231"/>
      <c r="AK638" s="231"/>
      <c r="AL638" s="231"/>
      <c r="AM638" s="231"/>
      <c r="AN638" s="231"/>
      <c r="AO638" s="231"/>
      <c r="AP638" s="231"/>
      <c r="AQ638" s="231"/>
      <c r="AR638" s="231"/>
      <c r="AS638" s="231"/>
      <c r="AT638" s="231"/>
      <c r="AU638" s="231"/>
      <c r="AV638" s="231"/>
      <c r="AW638" s="231"/>
      <c r="AX638" s="231"/>
      <c r="AY638" s="231"/>
      <c r="AZ638" s="231"/>
      <c r="BA638" s="231"/>
      <c r="BB638" s="231"/>
      <c r="BC638" s="231"/>
      <c r="BD638" s="231"/>
      <c r="BE638" s="231"/>
      <c r="BF638" s="231"/>
      <c r="BG638" s="231"/>
      <c r="BH638" s="231"/>
      <c r="BI638" s="231"/>
      <c r="BJ638" s="231"/>
      <c r="BK638" s="224"/>
      <c r="BL638" s="224"/>
    </row>
    <row r="639" spans="1:64" hidden="1" outlineLevel="1">
      <c r="A639" s="9"/>
      <c r="B639" s="9"/>
      <c r="C639" s="44"/>
      <c r="D639" s="271">
        <f>Asset20</f>
        <v>0</v>
      </c>
      <c r="E639" s="9"/>
      <c r="F639" s="9"/>
      <c r="G639" s="207">
        <f>'Actual RAB roll forward'!G909</f>
        <v>0</v>
      </c>
      <c r="H639" s="35"/>
      <c r="I639" s="35"/>
      <c r="J639" s="35"/>
      <c r="K639" s="35"/>
      <c r="L639" s="35"/>
      <c r="M639" s="35"/>
      <c r="N639" s="104"/>
      <c r="O639" s="29"/>
      <c r="P639" s="29"/>
      <c r="Q639" s="29"/>
      <c r="R639" s="29"/>
      <c r="S639" s="104"/>
      <c r="T639" s="104"/>
      <c r="U639" s="104"/>
      <c r="V639" s="104"/>
      <c r="W639" s="104"/>
      <c r="X639" s="104"/>
      <c r="Y639" s="104"/>
      <c r="Z639" s="104"/>
      <c r="AA639" s="231"/>
      <c r="AB639" s="231"/>
      <c r="AC639" s="231"/>
      <c r="AD639" s="231"/>
      <c r="AE639" s="231"/>
      <c r="AF639" s="231"/>
      <c r="AG639" s="231"/>
      <c r="AH639" s="231"/>
      <c r="AI639" s="231"/>
      <c r="AJ639" s="231"/>
      <c r="AK639" s="231"/>
      <c r="AL639" s="231"/>
      <c r="AM639" s="231"/>
      <c r="AN639" s="231"/>
      <c r="AO639" s="231"/>
      <c r="AP639" s="231"/>
      <c r="AQ639" s="231"/>
      <c r="AR639" s="231"/>
      <c r="AS639" s="231"/>
      <c r="AT639" s="231"/>
      <c r="AU639" s="231"/>
      <c r="AV639" s="231"/>
      <c r="AW639" s="231"/>
      <c r="AX639" s="231"/>
      <c r="AY639" s="231"/>
      <c r="AZ639" s="231"/>
      <c r="BA639" s="231"/>
      <c r="BB639" s="231"/>
      <c r="BC639" s="231"/>
      <c r="BD639" s="231"/>
      <c r="BE639" s="231"/>
      <c r="BF639" s="231"/>
      <c r="BG639" s="231"/>
      <c r="BH639" s="231"/>
      <c r="BI639" s="231"/>
      <c r="BJ639" s="231"/>
      <c r="BK639" s="224"/>
      <c r="BL639" s="224"/>
    </row>
    <row r="640" spans="1:64" hidden="1" outlineLevel="1">
      <c r="A640" s="9"/>
      <c r="B640" s="9"/>
      <c r="C640" s="44"/>
      <c r="D640" s="271">
        <f>Asset21</f>
        <v>0</v>
      </c>
      <c r="E640" s="9"/>
      <c r="F640" s="9"/>
      <c r="G640" s="207">
        <f>'Actual RAB roll forward'!G910</f>
        <v>0</v>
      </c>
      <c r="H640" s="35"/>
      <c r="I640" s="35"/>
      <c r="J640" s="35"/>
      <c r="K640" s="35"/>
      <c r="L640" s="35"/>
      <c r="M640" s="35"/>
      <c r="N640" s="104"/>
      <c r="O640" s="29"/>
      <c r="P640" s="29"/>
      <c r="Q640" s="29"/>
      <c r="R640" s="29"/>
      <c r="S640" s="104"/>
      <c r="T640" s="104"/>
      <c r="U640" s="104"/>
      <c r="V640" s="104"/>
      <c r="W640" s="104"/>
      <c r="X640" s="104"/>
      <c r="Y640" s="104"/>
      <c r="Z640" s="104"/>
      <c r="AA640" s="231"/>
      <c r="AB640" s="231"/>
      <c r="AC640" s="231"/>
      <c r="AD640" s="231"/>
      <c r="AE640" s="231"/>
      <c r="AF640" s="231"/>
      <c r="AG640" s="231"/>
      <c r="AH640" s="231"/>
      <c r="AI640" s="231"/>
      <c r="AJ640" s="231"/>
      <c r="AK640" s="231"/>
      <c r="AL640" s="231"/>
      <c r="AM640" s="231"/>
      <c r="AN640" s="231"/>
      <c r="AO640" s="231"/>
      <c r="AP640" s="231"/>
      <c r="AQ640" s="231"/>
      <c r="AR640" s="231"/>
      <c r="AS640" s="231"/>
      <c r="AT640" s="231"/>
      <c r="AU640" s="231"/>
      <c r="AV640" s="231"/>
      <c r="AW640" s="231"/>
      <c r="AX640" s="231"/>
      <c r="AY640" s="231"/>
      <c r="AZ640" s="231"/>
      <c r="BA640" s="231"/>
      <c r="BB640" s="231"/>
      <c r="BC640" s="231"/>
      <c r="BD640" s="231"/>
      <c r="BE640" s="231"/>
      <c r="BF640" s="231"/>
      <c r="BG640" s="231"/>
      <c r="BH640" s="231"/>
      <c r="BI640" s="231"/>
      <c r="BJ640" s="231"/>
      <c r="BK640" s="224"/>
      <c r="BL640" s="224"/>
    </row>
    <row r="641" spans="1:64" hidden="1" outlineLevel="1">
      <c r="A641" s="9"/>
      <c r="B641" s="9"/>
      <c r="C641" s="44"/>
      <c r="D641" s="271">
        <f>Asset22</f>
        <v>0</v>
      </c>
      <c r="E641" s="9"/>
      <c r="F641" s="9"/>
      <c r="G641" s="207">
        <f>'Actual RAB roll forward'!G911</f>
        <v>0</v>
      </c>
      <c r="H641" s="35"/>
      <c r="I641" s="35"/>
      <c r="J641" s="35"/>
      <c r="K641" s="35"/>
      <c r="L641" s="35"/>
      <c r="M641" s="35"/>
      <c r="N641" s="104"/>
      <c r="O641" s="29"/>
      <c r="P641" s="29"/>
      <c r="Q641" s="29"/>
      <c r="R641" s="29"/>
      <c r="S641" s="104"/>
      <c r="T641" s="104"/>
      <c r="U641" s="104"/>
      <c r="V641" s="104"/>
      <c r="W641" s="104"/>
      <c r="X641" s="104"/>
      <c r="Y641" s="104"/>
      <c r="Z641" s="104"/>
      <c r="AA641" s="231"/>
      <c r="AB641" s="231"/>
      <c r="AC641" s="231"/>
      <c r="AD641" s="231"/>
      <c r="AE641" s="231"/>
      <c r="AF641" s="231"/>
      <c r="AG641" s="231"/>
      <c r="AH641" s="231"/>
      <c r="AI641" s="231"/>
      <c r="AJ641" s="231"/>
      <c r="AK641" s="231"/>
      <c r="AL641" s="231"/>
      <c r="AM641" s="231"/>
      <c r="AN641" s="231"/>
      <c r="AO641" s="231"/>
      <c r="AP641" s="231"/>
      <c r="AQ641" s="231"/>
      <c r="AR641" s="231"/>
      <c r="AS641" s="231"/>
      <c r="AT641" s="231"/>
      <c r="AU641" s="231"/>
      <c r="AV641" s="231"/>
      <c r="AW641" s="231"/>
      <c r="AX641" s="231"/>
      <c r="AY641" s="231"/>
      <c r="AZ641" s="231"/>
      <c r="BA641" s="231"/>
      <c r="BB641" s="231"/>
      <c r="BC641" s="231"/>
      <c r="BD641" s="231"/>
      <c r="BE641" s="231"/>
      <c r="BF641" s="231"/>
      <c r="BG641" s="231"/>
      <c r="BH641" s="231"/>
      <c r="BI641" s="231"/>
      <c r="BJ641" s="231"/>
      <c r="BK641" s="224"/>
      <c r="BL641" s="224"/>
    </row>
    <row r="642" spans="1:64" hidden="1" outlineLevel="1">
      <c r="A642" s="9"/>
      <c r="B642" s="9"/>
      <c r="C642" s="44"/>
      <c r="D642" s="271">
        <f>Asset23</f>
        <v>0</v>
      </c>
      <c r="E642" s="9"/>
      <c r="F642" s="9"/>
      <c r="G642" s="207">
        <f>'Actual RAB roll forward'!G912</f>
        <v>0</v>
      </c>
      <c r="H642" s="35"/>
      <c r="I642" s="35"/>
      <c r="J642" s="35"/>
      <c r="K642" s="35"/>
      <c r="L642" s="35"/>
      <c r="M642" s="35"/>
      <c r="N642" s="104"/>
      <c r="O642" s="29"/>
      <c r="P642" s="29"/>
      <c r="Q642" s="29"/>
      <c r="R642" s="29"/>
      <c r="S642" s="104"/>
      <c r="T642" s="104"/>
      <c r="U642" s="104"/>
      <c r="V642" s="104"/>
      <c r="W642" s="104"/>
      <c r="X642" s="104"/>
      <c r="Y642" s="104"/>
      <c r="Z642" s="104"/>
      <c r="AA642" s="231"/>
      <c r="AB642" s="231"/>
      <c r="AC642" s="231"/>
      <c r="AD642" s="231"/>
      <c r="AE642" s="231"/>
      <c r="AF642" s="231"/>
      <c r="AG642" s="231"/>
      <c r="AH642" s="231"/>
      <c r="AI642" s="231"/>
      <c r="AJ642" s="231"/>
      <c r="AK642" s="231"/>
      <c r="AL642" s="231"/>
      <c r="AM642" s="231"/>
      <c r="AN642" s="231"/>
      <c r="AO642" s="231"/>
      <c r="AP642" s="231"/>
      <c r="AQ642" s="231"/>
      <c r="AR642" s="231"/>
      <c r="AS642" s="231"/>
      <c r="AT642" s="231"/>
      <c r="AU642" s="231"/>
      <c r="AV642" s="231"/>
      <c r="AW642" s="231"/>
      <c r="AX642" s="231"/>
      <c r="AY642" s="231"/>
      <c r="AZ642" s="231"/>
      <c r="BA642" s="231"/>
      <c r="BB642" s="231"/>
      <c r="BC642" s="231"/>
      <c r="BD642" s="231"/>
      <c r="BE642" s="231"/>
      <c r="BF642" s="231"/>
      <c r="BG642" s="231"/>
      <c r="BH642" s="231"/>
      <c r="BI642" s="231"/>
      <c r="BJ642" s="231"/>
      <c r="BK642" s="224"/>
      <c r="BL642" s="224"/>
    </row>
    <row r="643" spans="1:64" hidden="1" outlineLevel="1">
      <c r="A643" s="9"/>
      <c r="B643" s="9"/>
      <c r="C643" s="44"/>
      <c r="D643" s="271">
        <f>Asset24</f>
        <v>0</v>
      </c>
      <c r="E643" s="9"/>
      <c r="F643" s="9"/>
      <c r="G643" s="207">
        <f>'Actual RAB roll forward'!G913</f>
        <v>0</v>
      </c>
      <c r="H643" s="35"/>
      <c r="I643" s="35"/>
      <c r="J643" s="35"/>
      <c r="K643" s="35"/>
      <c r="L643" s="35"/>
      <c r="M643" s="35"/>
      <c r="N643" s="104"/>
      <c r="O643" s="29"/>
      <c r="P643" s="29"/>
      <c r="Q643" s="29"/>
      <c r="R643" s="29"/>
      <c r="S643" s="104"/>
      <c r="T643" s="104"/>
      <c r="U643" s="104"/>
      <c r="V643" s="104"/>
      <c r="W643" s="104"/>
      <c r="X643" s="104"/>
      <c r="Y643" s="104"/>
      <c r="Z643" s="104"/>
      <c r="AA643" s="231"/>
      <c r="AB643" s="231"/>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231"/>
      <c r="BE643" s="231"/>
      <c r="BF643" s="231"/>
      <c r="BG643" s="231"/>
      <c r="BH643" s="231"/>
      <c r="BI643" s="231"/>
      <c r="BJ643" s="231"/>
      <c r="BK643" s="224"/>
      <c r="BL643" s="224"/>
    </row>
    <row r="644" spans="1:64" hidden="1" outlineLevel="1">
      <c r="A644" s="9"/>
      <c r="B644" s="9"/>
      <c r="C644" s="44"/>
      <c r="D644" s="271">
        <f>Asset25</f>
        <v>0</v>
      </c>
      <c r="E644" s="9"/>
      <c r="F644" s="9"/>
      <c r="G644" s="207">
        <f>'Actual RAB roll forward'!G914</f>
        <v>0</v>
      </c>
      <c r="H644" s="35"/>
      <c r="I644" s="35"/>
      <c r="J644" s="35"/>
      <c r="K644" s="35"/>
      <c r="L644" s="35"/>
      <c r="M644" s="35"/>
      <c r="N644" s="104"/>
      <c r="O644" s="29"/>
      <c r="P644" s="29"/>
      <c r="Q644" s="29"/>
      <c r="R644" s="29"/>
      <c r="S644" s="104"/>
      <c r="T644" s="104"/>
      <c r="U644" s="104"/>
      <c r="V644" s="104"/>
      <c r="W644" s="104"/>
      <c r="X644" s="104"/>
      <c r="Y644" s="104"/>
      <c r="Z644" s="104"/>
      <c r="AA644" s="231"/>
      <c r="AB644" s="231"/>
      <c r="AC644" s="231"/>
      <c r="AD644" s="231"/>
      <c r="AE644" s="231"/>
      <c r="AF644" s="231"/>
      <c r="AG644" s="231"/>
      <c r="AH644" s="231"/>
      <c r="AI644" s="231"/>
      <c r="AJ644" s="231"/>
      <c r="AK644" s="231"/>
      <c r="AL644" s="231"/>
      <c r="AM644" s="231"/>
      <c r="AN644" s="231"/>
      <c r="AO644" s="231"/>
      <c r="AP644" s="231"/>
      <c r="AQ644" s="231"/>
      <c r="AR644" s="231"/>
      <c r="AS644" s="231"/>
      <c r="AT644" s="231"/>
      <c r="AU644" s="231"/>
      <c r="AV644" s="231"/>
      <c r="AW644" s="231"/>
      <c r="AX644" s="231"/>
      <c r="AY644" s="231"/>
      <c r="AZ644" s="231"/>
      <c r="BA644" s="231"/>
      <c r="BB644" s="231"/>
      <c r="BC644" s="231"/>
      <c r="BD644" s="231"/>
      <c r="BE644" s="231"/>
      <c r="BF644" s="231"/>
      <c r="BG644" s="231"/>
      <c r="BH644" s="231"/>
      <c r="BI644" s="231"/>
      <c r="BJ644" s="231"/>
      <c r="BK644" s="224"/>
      <c r="BL644" s="224"/>
    </row>
    <row r="645" spans="1:64" hidden="1" outlineLevel="1">
      <c r="A645" s="9"/>
      <c r="B645" s="9"/>
      <c r="C645" s="44"/>
      <c r="D645" s="271">
        <f>Asset26</f>
        <v>0</v>
      </c>
      <c r="E645" s="9"/>
      <c r="F645" s="9"/>
      <c r="G645" s="207">
        <f>'Actual RAB roll forward'!G915</f>
        <v>0</v>
      </c>
      <c r="H645" s="35"/>
      <c r="I645" s="35"/>
      <c r="J645" s="35"/>
      <c r="K645" s="35"/>
      <c r="L645" s="35"/>
      <c r="M645" s="35"/>
      <c r="N645" s="104"/>
      <c r="O645" s="29"/>
      <c r="P645" s="29"/>
      <c r="Q645" s="29"/>
      <c r="R645" s="29"/>
      <c r="S645" s="104"/>
      <c r="T645" s="104"/>
      <c r="U645" s="104"/>
      <c r="V645" s="104"/>
      <c r="W645" s="104"/>
      <c r="X645" s="104"/>
      <c r="Y645" s="104"/>
      <c r="Z645" s="104"/>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231"/>
      <c r="BE645" s="231"/>
      <c r="BF645" s="231"/>
      <c r="BG645" s="231"/>
      <c r="BH645" s="231"/>
      <c r="BI645" s="231"/>
      <c r="BJ645" s="231"/>
      <c r="BK645" s="224"/>
      <c r="BL645" s="224"/>
    </row>
    <row r="646" spans="1:64" hidden="1" outlineLevel="1">
      <c r="A646" s="9"/>
      <c r="B646" s="9"/>
      <c r="C646" s="44"/>
      <c r="D646" s="271">
        <f>Asset27</f>
        <v>0</v>
      </c>
      <c r="E646" s="9"/>
      <c r="F646" s="9"/>
      <c r="G646" s="207">
        <f>'Actual RAB roll forward'!G916</f>
        <v>0</v>
      </c>
      <c r="H646" s="35"/>
      <c r="I646" s="35"/>
      <c r="J646" s="35"/>
      <c r="K646" s="35"/>
      <c r="L646" s="35"/>
      <c r="M646" s="35"/>
      <c r="N646" s="104"/>
      <c r="O646" s="29"/>
      <c r="P646" s="29"/>
      <c r="Q646" s="29"/>
      <c r="R646" s="29"/>
      <c r="S646" s="104"/>
      <c r="T646" s="104"/>
      <c r="U646" s="104"/>
      <c r="V646" s="104"/>
      <c r="W646" s="104"/>
      <c r="X646" s="104"/>
      <c r="Y646" s="104"/>
      <c r="Z646" s="104"/>
      <c r="AA646" s="231"/>
      <c r="AB646" s="231"/>
      <c r="AC646" s="231"/>
      <c r="AD646" s="231"/>
      <c r="AE646" s="231"/>
      <c r="AF646" s="231"/>
      <c r="AG646" s="231"/>
      <c r="AH646" s="231"/>
      <c r="AI646" s="231"/>
      <c r="AJ646" s="231"/>
      <c r="AK646" s="231"/>
      <c r="AL646" s="231"/>
      <c r="AM646" s="231"/>
      <c r="AN646" s="231"/>
      <c r="AO646" s="231"/>
      <c r="AP646" s="231"/>
      <c r="AQ646" s="231"/>
      <c r="AR646" s="231"/>
      <c r="AS646" s="231"/>
      <c r="AT646" s="231"/>
      <c r="AU646" s="231"/>
      <c r="AV646" s="231"/>
      <c r="AW646" s="231"/>
      <c r="AX646" s="231"/>
      <c r="AY646" s="231"/>
      <c r="AZ646" s="231"/>
      <c r="BA646" s="231"/>
      <c r="BB646" s="231"/>
      <c r="BC646" s="231"/>
      <c r="BD646" s="231"/>
      <c r="BE646" s="231"/>
      <c r="BF646" s="231"/>
      <c r="BG646" s="231"/>
      <c r="BH646" s="231"/>
      <c r="BI646" s="231"/>
      <c r="BJ646" s="231"/>
      <c r="BK646" s="224"/>
      <c r="BL646" s="224"/>
    </row>
    <row r="647" spans="1:64" hidden="1" outlineLevel="1">
      <c r="A647" s="9"/>
      <c r="B647" s="9"/>
      <c r="C647" s="44"/>
      <c r="D647" s="271">
        <f>Asset28</f>
        <v>0</v>
      </c>
      <c r="E647" s="9"/>
      <c r="F647" s="9"/>
      <c r="G647" s="207">
        <f>'Actual RAB roll forward'!G917</f>
        <v>0</v>
      </c>
      <c r="H647" s="35"/>
      <c r="I647" s="35"/>
      <c r="J647" s="35"/>
      <c r="K647" s="35"/>
      <c r="L647" s="35"/>
      <c r="M647" s="35"/>
      <c r="N647" s="104"/>
      <c r="O647" s="29"/>
      <c r="P647" s="29"/>
      <c r="Q647" s="29"/>
      <c r="R647" s="29"/>
      <c r="S647" s="104"/>
      <c r="T647" s="104"/>
      <c r="U647" s="104"/>
      <c r="V647" s="104"/>
      <c r="W647" s="104"/>
      <c r="X647" s="104"/>
      <c r="Y647" s="104"/>
      <c r="Z647" s="104"/>
      <c r="AA647" s="231"/>
      <c r="AB647" s="231"/>
      <c r="AC647" s="231"/>
      <c r="AD647" s="231"/>
      <c r="AE647" s="231"/>
      <c r="AF647" s="231"/>
      <c r="AG647" s="231"/>
      <c r="AH647" s="231"/>
      <c r="AI647" s="231"/>
      <c r="AJ647" s="231"/>
      <c r="AK647" s="231"/>
      <c r="AL647" s="231"/>
      <c r="AM647" s="231"/>
      <c r="AN647" s="231"/>
      <c r="AO647" s="231"/>
      <c r="AP647" s="231"/>
      <c r="AQ647" s="231"/>
      <c r="AR647" s="231"/>
      <c r="AS647" s="231"/>
      <c r="AT647" s="231"/>
      <c r="AU647" s="231"/>
      <c r="AV647" s="231"/>
      <c r="AW647" s="231"/>
      <c r="AX647" s="231"/>
      <c r="AY647" s="231"/>
      <c r="AZ647" s="231"/>
      <c r="BA647" s="231"/>
      <c r="BB647" s="231"/>
      <c r="BC647" s="231"/>
      <c r="BD647" s="231"/>
      <c r="BE647" s="231"/>
      <c r="BF647" s="231"/>
      <c r="BG647" s="231"/>
      <c r="BH647" s="231"/>
      <c r="BI647" s="231"/>
      <c r="BJ647" s="231"/>
      <c r="BK647" s="224"/>
      <c r="BL647" s="224"/>
    </row>
    <row r="648" spans="1:64" hidden="1" outlineLevel="1">
      <c r="A648" s="9"/>
      <c r="B648" s="9"/>
      <c r="C648" s="44"/>
      <c r="D648" s="271">
        <f>Asset29</f>
        <v>0</v>
      </c>
      <c r="E648" s="9"/>
      <c r="F648" s="9"/>
      <c r="G648" s="207">
        <f>'Actual RAB roll forward'!G918</f>
        <v>0</v>
      </c>
      <c r="H648" s="35"/>
      <c r="I648" s="35"/>
      <c r="J648" s="35"/>
      <c r="K648" s="35"/>
      <c r="L648" s="35"/>
      <c r="M648" s="35"/>
      <c r="N648" s="104"/>
      <c r="O648" s="29"/>
      <c r="P648" s="29"/>
      <c r="Q648" s="29"/>
      <c r="R648" s="29"/>
      <c r="S648" s="104"/>
      <c r="T648" s="104"/>
      <c r="U648" s="104"/>
      <c r="V648" s="104"/>
      <c r="W648" s="104"/>
      <c r="X648" s="104"/>
      <c r="Y648" s="104"/>
      <c r="Z648" s="104"/>
      <c r="AA648" s="231"/>
      <c r="AB648" s="231"/>
      <c r="AC648" s="231"/>
      <c r="AD648" s="231"/>
      <c r="AE648" s="231"/>
      <c r="AF648" s="231"/>
      <c r="AG648" s="231"/>
      <c r="AH648" s="231"/>
      <c r="AI648" s="231"/>
      <c r="AJ648" s="231"/>
      <c r="AK648" s="231"/>
      <c r="AL648" s="231"/>
      <c r="AM648" s="231"/>
      <c r="AN648" s="231"/>
      <c r="AO648" s="231"/>
      <c r="AP648" s="231"/>
      <c r="AQ648" s="231"/>
      <c r="AR648" s="231"/>
      <c r="AS648" s="231"/>
      <c r="AT648" s="231"/>
      <c r="AU648" s="231"/>
      <c r="AV648" s="231"/>
      <c r="AW648" s="231"/>
      <c r="AX648" s="231"/>
      <c r="AY648" s="231"/>
      <c r="AZ648" s="231"/>
      <c r="BA648" s="231"/>
      <c r="BB648" s="231"/>
      <c r="BC648" s="231"/>
      <c r="BD648" s="231"/>
      <c r="BE648" s="231"/>
      <c r="BF648" s="231"/>
      <c r="BG648" s="231"/>
      <c r="BH648" s="231"/>
      <c r="BI648" s="231"/>
      <c r="BJ648" s="231"/>
      <c r="BK648" s="224"/>
      <c r="BL648" s="224"/>
    </row>
    <row r="649" spans="1:64" hidden="1" outlineLevel="1">
      <c r="A649" s="9"/>
      <c r="B649" s="9"/>
      <c r="C649" s="44"/>
      <c r="D649" s="271">
        <f>Asset30</f>
        <v>0</v>
      </c>
      <c r="E649" s="9"/>
      <c r="F649" s="9"/>
      <c r="G649" s="207">
        <f>'Actual RAB roll forward'!G919</f>
        <v>0</v>
      </c>
      <c r="H649" s="35"/>
      <c r="I649" s="35"/>
      <c r="J649" s="35"/>
      <c r="K649" s="35"/>
      <c r="L649" s="35"/>
      <c r="M649" s="35"/>
      <c r="N649" s="104"/>
      <c r="O649" s="29"/>
      <c r="P649" s="29"/>
      <c r="Q649" s="29"/>
      <c r="R649" s="29"/>
      <c r="S649" s="104"/>
      <c r="T649" s="104"/>
      <c r="U649" s="104"/>
      <c r="V649" s="104"/>
      <c r="W649" s="104"/>
      <c r="X649" s="104"/>
      <c r="Y649" s="104"/>
      <c r="Z649" s="104"/>
      <c r="AA649" s="231"/>
      <c r="AB649" s="231"/>
      <c r="AC649" s="231"/>
      <c r="AD649" s="231"/>
      <c r="AE649" s="231"/>
      <c r="AF649" s="231"/>
      <c r="AG649" s="231"/>
      <c r="AH649" s="231"/>
      <c r="AI649" s="231"/>
      <c r="AJ649" s="231"/>
      <c r="AK649" s="231"/>
      <c r="AL649" s="231"/>
      <c r="AM649" s="231"/>
      <c r="AN649" s="231"/>
      <c r="AO649" s="231"/>
      <c r="AP649" s="231"/>
      <c r="AQ649" s="231"/>
      <c r="AR649" s="231"/>
      <c r="AS649" s="231"/>
      <c r="AT649" s="231"/>
      <c r="AU649" s="231"/>
      <c r="AV649" s="231"/>
      <c r="AW649" s="231"/>
      <c r="AX649" s="231"/>
      <c r="AY649" s="231"/>
      <c r="AZ649" s="231"/>
      <c r="BA649" s="231"/>
      <c r="BB649" s="231"/>
      <c r="BC649" s="231"/>
      <c r="BD649" s="231"/>
      <c r="BE649" s="231"/>
      <c r="BF649" s="231"/>
      <c r="BG649" s="231"/>
      <c r="BH649" s="231"/>
      <c r="BI649" s="231"/>
      <c r="BJ649" s="231"/>
      <c r="BK649" s="224"/>
      <c r="BL649" s="224"/>
    </row>
    <row r="650" spans="1:64" collapsed="1">
      <c r="A650" s="9"/>
      <c r="B650" s="9"/>
      <c r="C650" s="44"/>
      <c r="D650" s="131"/>
      <c r="E650" s="9"/>
      <c r="F650" s="9"/>
      <c r="G650" s="143"/>
      <c r="H650" s="115"/>
      <c r="I650" s="115"/>
      <c r="J650" s="115"/>
      <c r="K650" s="115"/>
      <c r="L650" s="115"/>
      <c r="M650" s="115"/>
      <c r="N650" s="104"/>
      <c r="O650" s="29"/>
      <c r="P650" s="29"/>
      <c r="Q650" s="29"/>
      <c r="R650" s="29"/>
      <c r="S650" s="104"/>
      <c r="T650" s="104"/>
      <c r="U650" s="104"/>
      <c r="V650" s="104"/>
      <c r="W650" s="104"/>
      <c r="X650" s="104"/>
      <c r="Y650" s="104"/>
      <c r="Z650" s="104"/>
      <c r="AA650" s="231"/>
      <c r="AB650" s="231"/>
      <c r="AC650" s="231"/>
      <c r="AD650" s="231"/>
      <c r="AE650" s="231"/>
      <c r="AF650" s="231"/>
      <c r="AG650" s="231"/>
      <c r="AH650" s="231"/>
      <c r="AI650" s="231"/>
      <c r="AJ650" s="231"/>
      <c r="AK650" s="231"/>
      <c r="AL650" s="231"/>
      <c r="AM650" s="231"/>
      <c r="AN650" s="231"/>
      <c r="AO650" s="231"/>
      <c r="AP650" s="231"/>
      <c r="AQ650" s="231"/>
      <c r="AR650" s="231"/>
      <c r="AS650" s="231"/>
      <c r="AT650" s="231"/>
      <c r="AU650" s="231"/>
      <c r="AV650" s="231"/>
      <c r="AW650" s="231"/>
      <c r="AX650" s="231"/>
      <c r="AY650" s="231"/>
      <c r="AZ650" s="231"/>
      <c r="BA650" s="231"/>
      <c r="BB650" s="231"/>
      <c r="BC650" s="231"/>
      <c r="BD650" s="231"/>
      <c r="BE650" s="231"/>
      <c r="BF650" s="231"/>
      <c r="BG650" s="231"/>
      <c r="BH650" s="231"/>
      <c r="BI650" s="231"/>
      <c r="BJ650" s="231"/>
      <c r="BK650" s="224"/>
      <c r="BL650" s="224"/>
    </row>
    <row r="651" spans="1:64">
      <c r="A651" s="9"/>
      <c r="B651" s="9"/>
      <c r="C651" s="472" t="s">
        <v>103</v>
      </c>
      <c r="D651" s="473"/>
      <c r="E651" s="474"/>
      <c r="F651" s="474"/>
      <c r="G651" s="475">
        <f>SUM(G652:G671)</f>
        <v>0</v>
      </c>
      <c r="H651" s="115"/>
      <c r="I651" s="115"/>
      <c r="J651" s="115"/>
      <c r="K651" s="115"/>
      <c r="L651" s="115"/>
      <c r="M651" s="115"/>
      <c r="N651" s="104"/>
      <c r="O651" s="29"/>
      <c r="P651" s="29"/>
      <c r="Q651" s="29"/>
      <c r="R651" s="29"/>
      <c r="S651" s="104"/>
      <c r="T651" s="104"/>
      <c r="U651" s="104"/>
      <c r="V651" s="104"/>
      <c r="W651" s="104"/>
      <c r="X651" s="104"/>
      <c r="Y651" s="104"/>
      <c r="Z651" s="104"/>
      <c r="AA651" s="231"/>
      <c r="AB651" s="231"/>
      <c r="AC651" s="231"/>
      <c r="AD651" s="231"/>
      <c r="AE651" s="231"/>
      <c r="AF651" s="231"/>
      <c r="AG651" s="231"/>
      <c r="AH651" s="231"/>
      <c r="AI651" s="231"/>
      <c r="AJ651" s="231"/>
      <c r="AK651" s="231"/>
      <c r="AL651" s="231"/>
      <c r="AM651" s="231"/>
      <c r="AN651" s="231"/>
      <c r="AO651" s="231"/>
      <c r="AP651" s="231"/>
      <c r="AQ651" s="231"/>
      <c r="AR651" s="231"/>
      <c r="AS651" s="231"/>
      <c r="AT651" s="231"/>
      <c r="AU651" s="231"/>
      <c r="AV651" s="231"/>
      <c r="AW651" s="231"/>
      <c r="AX651" s="231"/>
      <c r="AY651" s="231"/>
      <c r="AZ651" s="231"/>
      <c r="BA651" s="231"/>
      <c r="BB651" s="231"/>
      <c r="BC651" s="231"/>
      <c r="BD651" s="231"/>
      <c r="BE651" s="231"/>
      <c r="BF651" s="231"/>
      <c r="BG651" s="231"/>
      <c r="BH651" s="231"/>
      <c r="BI651" s="231"/>
      <c r="BJ651" s="231"/>
      <c r="BK651" s="224"/>
      <c r="BL651" s="224"/>
    </row>
    <row r="652" spans="1:64" hidden="1" outlineLevel="1">
      <c r="A652" s="9"/>
      <c r="B652" s="9"/>
      <c r="C652" s="44"/>
      <c r="D652" s="131" t="str">
        <f>Asset1</f>
        <v>Subtransmission</v>
      </c>
      <c r="E652" s="9"/>
      <c r="F652" s="9"/>
      <c r="G652" s="338">
        <f>Input!N7</f>
        <v>0</v>
      </c>
      <c r="H652" s="115"/>
      <c r="I652" s="115"/>
      <c r="J652" s="115"/>
      <c r="K652" s="115"/>
      <c r="L652" s="115"/>
      <c r="M652" s="115"/>
      <c r="N652" s="104"/>
      <c r="O652" s="29"/>
      <c r="P652" s="29"/>
      <c r="Q652" s="29"/>
      <c r="R652" s="29"/>
      <c r="S652" s="104"/>
      <c r="T652" s="104"/>
      <c r="U652" s="104"/>
      <c r="V652" s="104"/>
      <c r="W652" s="104"/>
      <c r="X652" s="104"/>
      <c r="Y652" s="104"/>
      <c r="Z652" s="104"/>
      <c r="AA652" s="231"/>
      <c r="AB652" s="231"/>
      <c r="AC652" s="231"/>
      <c r="AD652" s="231"/>
      <c r="AE652" s="231"/>
      <c r="AF652" s="231"/>
      <c r="AG652" s="231"/>
      <c r="AH652" s="231"/>
      <c r="AI652" s="231"/>
      <c r="AJ652" s="231"/>
      <c r="AK652" s="231"/>
      <c r="AL652" s="231"/>
      <c r="AM652" s="231"/>
      <c r="AN652" s="231"/>
      <c r="AO652" s="231"/>
      <c r="AP652" s="231"/>
      <c r="AQ652" s="231"/>
      <c r="AR652" s="231"/>
      <c r="AS652" s="231"/>
      <c r="AT652" s="231"/>
      <c r="AU652" s="231"/>
      <c r="AV652" s="231"/>
      <c r="AW652" s="231"/>
      <c r="AX652" s="231"/>
      <c r="AY652" s="231"/>
      <c r="AZ652" s="231"/>
      <c r="BA652" s="231"/>
      <c r="BB652" s="231"/>
      <c r="BC652" s="231"/>
      <c r="BD652" s="231"/>
      <c r="BE652" s="231"/>
      <c r="BF652" s="231"/>
      <c r="BG652" s="231"/>
      <c r="BH652" s="231"/>
      <c r="BI652" s="231"/>
      <c r="BJ652" s="231"/>
      <c r="BK652" s="224"/>
      <c r="BL652" s="224"/>
    </row>
    <row r="653" spans="1:64" hidden="1" outlineLevel="1">
      <c r="A653" s="9"/>
      <c r="B653" s="9"/>
      <c r="C653" s="44"/>
      <c r="D653" s="131" t="str">
        <f>Asset2</f>
        <v>Distribution system assets</v>
      </c>
      <c r="E653" s="9"/>
      <c r="F653" s="9"/>
      <c r="G653" s="338">
        <f>Input!N8</f>
        <v>0</v>
      </c>
      <c r="H653" s="115"/>
      <c r="I653" s="115"/>
      <c r="J653" s="115"/>
      <c r="K653" s="115"/>
      <c r="L653" s="115"/>
      <c r="M653" s="115"/>
      <c r="N653" s="104"/>
      <c r="O653" s="29"/>
      <c r="P653" s="29"/>
      <c r="Q653" s="29"/>
      <c r="R653" s="29"/>
      <c r="S653" s="104"/>
      <c r="T653" s="104"/>
      <c r="U653" s="104"/>
      <c r="V653" s="104"/>
      <c r="W653" s="104"/>
      <c r="X653" s="104"/>
      <c r="Y653" s="104"/>
      <c r="Z653" s="104"/>
      <c r="AA653" s="231"/>
      <c r="AB653" s="231"/>
      <c r="AC653" s="231"/>
      <c r="AD653" s="231"/>
      <c r="AE653" s="231"/>
      <c r="AF653" s="231"/>
      <c r="AG653" s="231"/>
      <c r="AH653" s="231"/>
      <c r="AI653" s="231"/>
      <c r="AJ653" s="231"/>
      <c r="AK653" s="231"/>
      <c r="AL653" s="231"/>
      <c r="AM653" s="231"/>
      <c r="AN653" s="231"/>
      <c r="AO653" s="231"/>
      <c r="AP653" s="231"/>
      <c r="AQ653" s="231"/>
      <c r="AR653" s="231"/>
      <c r="AS653" s="231"/>
      <c r="AT653" s="231"/>
      <c r="AU653" s="231"/>
      <c r="AV653" s="231"/>
      <c r="AW653" s="231"/>
      <c r="AX653" s="231"/>
      <c r="AY653" s="231"/>
      <c r="AZ653" s="231"/>
      <c r="BA653" s="231"/>
      <c r="BB653" s="231"/>
      <c r="BC653" s="231"/>
      <c r="BD653" s="231"/>
      <c r="BE653" s="231"/>
      <c r="BF653" s="231"/>
      <c r="BG653" s="231"/>
      <c r="BH653" s="231"/>
      <c r="BI653" s="231"/>
      <c r="BJ653" s="231"/>
      <c r="BK653" s="224"/>
      <c r="BL653" s="224"/>
    </row>
    <row r="654" spans="1:64" hidden="1" outlineLevel="1">
      <c r="A654" s="9"/>
      <c r="B654" s="9"/>
      <c r="C654" s="44"/>
      <c r="D654" s="131" t="str">
        <f>Asset3</f>
        <v>Standard metering</v>
      </c>
      <c r="E654" s="9"/>
      <c r="F654" s="9"/>
      <c r="G654" s="338">
        <f>Input!N9</f>
        <v>0</v>
      </c>
      <c r="H654" s="115"/>
      <c r="I654" s="115"/>
      <c r="J654" s="115"/>
      <c r="K654" s="115"/>
      <c r="L654" s="115"/>
      <c r="M654" s="115"/>
      <c r="N654" s="104"/>
      <c r="O654" s="29"/>
      <c r="P654" s="29"/>
      <c r="Q654" s="29"/>
      <c r="R654" s="29"/>
      <c r="S654" s="104"/>
      <c r="T654" s="104"/>
      <c r="U654" s="104"/>
      <c r="V654" s="104"/>
      <c r="W654" s="104"/>
      <c r="X654" s="104"/>
      <c r="Y654" s="104"/>
      <c r="Z654" s="104"/>
      <c r="AA654" s="231"/>
      <c r="AB654" s="231"/>
      <c r="AC654" s="231"/>
      <c r="AD654" s="231"/>
      <c r="AE654" s="231"/>
      <c r="AF654" s="231"/>
      <c r="AG654" s="231"/>
      <c r="AH654" s="231"/>
      <c r="AI654" s="231"/>
      <c r="AJ654" s="231"/>
      <c r="AK654" s="231"/>
      <c r="AL654" s="231"/>
      <c r="AM654" s="231"/>
      <c r="AN654" s="231"/>
      <c r="AO654" s="231"/>
      <c r="AP654" s="231"/>
      <c r="AQ654" s="231"/>
      <c r="AR654" s="231"/>
      <c r="AS654" s="231"/>
      <c r="AT654" s="231"/>
      <c r="AU654" s="231"/>
      <c r="AV654" s="231"/>
      <c r="AW654" s="231"/>
      <c r="AX654" s="231"/>
      <c r="AY654" s="231"/>
      <c r="AZ654" s="231"/>
      <c r="BA654" s="231"/>
      <c r="BB654" s="231"/>
      <c r="BC654" s="231"/>
      <c r="BD654" s="231"/>
      <c r="BE654" s="231"/>
      <c r="BF654" s="231"/>
      <c r="BG654" s="231"/>
      <c r="BH654" s="231"/>
      <c r="BI654" s="231"/>
      <c r="BJ654" s="231"/>
      <c r="BK654" s="224"/>
      <c r="BL654" s="224"/>
    </row>
    <row r="655" spans="1:64" hidden="1" outlineLevel="1">
      <c r="A655" s="9"/>
      <c r="B655" s="9"/>
      <c r="C655" s="44"/>
      <c r="D655" s="131" t="str">
        <f>Asset4</f>
        <v>Public lighting</v>
      </c>
      <c r="E655" s="9"/>
      <c r="F655" s="9"/>
      <c r="G655" s="338">
        <f>Input!N10</f>
        <v>0</v>
      </c>
      <c r="H655" s="115"/>
      <c r="I655" s="115"/>
      <c r="J655" s="115"/>
      <c r="K655" s="115"/>
      <c r="L655" s="115"/>
      <c r="M655" s="115"/>
      <c r="N655" s="104"/>
      <c r="O655" s="29"/>
      <c r="P655" s="29"/>
      <c r="Q655" s="29"/>
      <c r="R655" s="29"/>
      <c r="S655" s="104"/>
      <c r="T655" s="104"/>
      <c r="U655" s="104"/>
      <c r="V655" s="104"/>
      <c r="W655" s="104"/>
      <c r="X655" s="104"/>
      <c r="Y655" s="104"/>
      <c r="Z655" s="104"/>
      <c r="AA655" s="231"/>
      <c r="AB655" s="231"/>
      <c r="AC655" s="231"/>
      <c r="AD655" s="231"/>
      <c r="AE655" s="231"/>
      <c r="AF655" s="231"/>
      <c r="AG655" s="231"/>
      <c r="AH655" s="231"/>
      <c r="AI655" s="231"/>
      <c r="AJ655" s="231"/>
      <c r="AK655" s="231"/>
      <c r="AL655" s="231"/>
      <c r="AM655" s="231"/>
      <c r="AN655" s="231"/>
      <c r="AO655" s="231"/>
      <c r="AP655" s="231"/>
      <c r="AQ655" s="231"/>
      <c r="AR655" s="231"/>
      <c r="AS655" s="231"/>
      <c r="AT655" s="231"/>
      <c r="AU655" s="231"/>
      <c r="AV655" s="231"/>
      <c r="AW655" s="231"/>
      <c r="AX655" s="231"/>
      <c r="AY655" s="231"/>
      <c r="AZ655" s="231"/>
      <c r="BA655" s="231"/>
      <c r="BB655" s="231"/>
      <c r="BC655" s="231"/>
      <c r="BD655" s="231"/>
      <c r="BE655" s="231"/>
      <c r="BF655" s="231"/>
      <c r="BG655" s="231"/>
      <c r="BH655" s="231"/>
      <c r="BI655" s="231"/>
      <c r="BJ655" s="231"/>
      <c r="BK655" s="224"/>
      <c r="BL655" s="224"/>
    </row>
    <row r="656" spans="1:64" hidden="1" outlineLevel="1">
      <c r="A656" s="9"/>
      <c r="B656" s="9"/>
      <c r="C656" s="44"/>
      <c r="D656" s="131" t="str">
        <f>Asset5</f>
        <v>SCADA/Network control</v>
      </c>
      <c r="E656" s="9"/>
      <c r="F656" s="9"/>
      <c r="G656" s="338">
        <f>Input!N11</f>
        <v>0</v>
      </c>
      <c r="H656" s="115"/>
      <c r="I656" s="115"/>
      <c r="J656" s="115"/>
      <c r="K656" s="115"/>
      <c r="L656" s="115"/>
      <c r="M656" s="115"/>
      <c r="N656" s="104"/>
      <c r="O656" s="29"/>
      <c r="P656" s="29"/>
      <c r="Q656" s="29"/>
      <c r="R656" s="29"/>
      <c r="S656" s="104"/>
      <c r="T656" s="104"/>
      <c r="U656" s="104"/>
      <c r="V656" s="104"/>
      <c r="W656" s="104"/>
      <c r="X656" s="104"/>
      <c r="Y656" s="104"/>
      <c r="Z656" s="104"/>
      <c r="AA656" s="231"/>
      <c r="AB656" s="231"/>
      <c r="AC656" s="231"/>
      <c r="AD656" s="231"/>
      <c r="AE656" s="231"/>
      <c r="AF656" s="231"/>
      <c r="AG656" s="231"/>
      <c r="AH656" s="231"/>
      <c r="AI656" s="231"/>
      <c r="AJ656" s="231"/>
      <c r="AK656" s="231"/>
      <c r="AL656" s="231"/>
      <c r="AM656" s="231"/>
      <c r="AN656" s="231"/>
      <c r="AO656" s="231"/>
      <c r="AP656" s="231"/>
      <c r="AQ656" s="231"/>
      <c r="AR656" s="231"/>
      <c r="AS656" s="231"/>
      <c r="AT656" s="231"/>
      <c r="AU656" s="231"/>
      <c r="AV656" s="231"/>
      <c r="AW656" s="231"/>
      <c r="AX656" s="231"/>
      <c r="AY656" s="231"/>
      <c r="AZ656" s="231"/>
      <c r="BA656" s="231"/>
      <c r="BB656" s="231"/>
      <c r="BC656" s="231"/>
      <c r="BD656" s="231"/>
      <c r="BE656" s="231"/>
      <c r="BF656" s="231"/>
      <c r="BG656" s="231"/>
      <c r="BH656" s="231"/>
      <c r="BI656" s="231"/>
      <c r="BJ656" s="231"/>
      <c r="BK656" s="224"/>
      <c r="BL656" s="224"/>
    </row>
    <row r="657" spans="1:64" hidden="1" outlineLevel="1">
      <c r="A657" s="9"/>
      <c r="B657" s="9"/>
      <c r="C657" s="44"/>
      <c r="D657" s="131" t="str">
        <f>Asset6</f>
        <v>Non-network general assets - IT</v>
      </c>
      <c r="E657" s="9"/>
      <c r="F657" s="9"/>
      <c r="G657" s="338">
        <f>Input!N12</f>
        <v>0</v>
      </c>
      <c r="H657" s="115"/>
      <c r="I657" s="115"/>
      <c r="J657" s="115"/>
      <c r="K657" s="115"/>
      <c r="L657" s="115"/>
      <c r="M657" s="115"/>
      <c r="N657" s="104"/>
      <c r="O657" s="29"/>
      <c r="P657" s="29"/>
      <c r="Q657" s="29"/>
      <c r="R657" s="29"/>
      <c r="S657" s="104"/>
      <c r="T657" s="104"/>
      <c r="U657" s="104"/>
      <c r="V657" s="104"/>
      <c r="W657" s="104"/>
      <c r="X657" s="104"/>
      <c r="Y657" s="104"/>
      <c r="Z657" s="104"/>
      <c r="AA657" s="231"/>
      <c r="AB657" s="231"/>
      <c r="AC657" s="231"/>
      <c r="AD657" s="231"/>
      <c r="AE657" s="231"/>
      <c r="AF657" s="231"/>
      <c r="AG657" s="231"/>
      <c r="AH657" s="231"/>
      <c r="AI657" s="231"/>
      <c r="AJ657" s="231"/>
      <c r="AK657" s="231"/>
      <c r="AL657" s="231"/>
      <c r="AM657" s="231"/>
      <c r="AN657" s="231"/>
      <c r="AO657" s="231"/>
      <c r="AP657" s="231"/>
      <c r="AQ657" s="231"/>
      <c r="AR657" s="231"/>
      <c r="AS657" s="231"/>
      <c r="AT657" s="231"/>
      <c r="AU657" s="231"/>
      <c r="AV657" s="231"/>
      <c r="AW657" s="231"/>
      <c r="AX657" s="231"/>
      <c r="AY657" s="231"/>
      <c r="AZ657" s="231"/>
      <c r="BA657" s="231"/>
      <c r="BB657" s="231"/>
      <c r="BC657" s="231"/>
      <c r="BD657" s="231"/>
      <c r="BE657" s="231"/>
      <c r="BF657" s="231"/>
      <c r="BG657" s="231"/>
      <c r="BH657" s="231"/>
      <c r="BI657" s="231"/>
      <c r="BJ657" s="231"/>
      <c r="BK657" s="224"/>
      <c r="BL657" s="224"/>
    </row>
    <row r="658" spans="1:64" hidden="1" outlineLevel="1">
      <c r="A658" s="9"/>
      <c r="B658" s="9"/>
      <c r="C658" s="44"/>
      <c r="D658" s="131" t="str">
        <f>Asset7</f>
        <v>Non-network general assets - Other</v>
      </c>
      <c r="E658" s="9"/>
      <c r="F658" s="9"/>
      <c r="G658" s="338">
        <f>Input!N13</f>
        <v>0</v>
      </c>
      <c r="H658" s="115"/>
      <c r="I658" s="115"/>
      <c r="J658" s="115"/>
      <c r="K658" s="115"/>
      <c r="L658" s="115"/>
      <c r="M658" s="115"/>
      <c r="N658" s="104"/>
      <c r="O658" s="29"/>
      <c r="P658" s="29"/>
      <c r="Q658" s="29"/>
      <c r="R658" s="29"/>
      <c r="S658" s="104"/>
      <c r="T658" s="104"/>
      <c r="U658" s="104"/>
      <c r="V658" s="104"/>
      <c r="W658" s="104"/>
      <c r="X658" s="104"/>
      <c r="Y658" s="104"/>
      <c r="Z658" s="104"/>
      <c r="AA658" s="231"/>
      <c r="AB658" s="231"/>
      <c r="AC658" s="231"/>
      <c r="AD658" s="231"/>
      <c r="AE658" s="231"/>
      <c r="AF658" s="231"/>
      <c r="AG658" s="231"/>
      <c r="AH658" s="231"/>
      <c r="AI658" s="231"/>
      <c r="AJ658" s="231"/>
      <c r="AK658" s="231"/>
      <c r="AL658" s="231"/>
      <c r="AM658" s="231"/>
      <c r="AN658" s="231"/>
      <c r="AO658" s="231"/>
      <c r="AP658" s="231"/>
      <c r="AQ658" s="231"/>
      <c r="AR658" s="231"/>
      <c r="AS658" s="231"/>
      <c r="AT658" s="231"/>
      <c r="AU658" s="231"/>
      <c r="AV658" s="231"/>
      <c r="AW658" s="231"/>
      <c r="AX658" s="231"/>
      <c r="AY658" s="231"/>
      <c r="AZ658" s="231"/>
      <c r="BA658" s="231"/>
      <c r="BB658" s="231"/>
      <c r="BC658" s="231"/>
      <c r="BD658" s="231"/>
      <c r="BE658" s="231"/>
      <c r="BF658" s="231"/>
      <c r="BG658" s="231"/>
      <c r="BH658" s="231"/>
      <c r="BI658" s="231"/>
      <c r="BJ658" s="231"/>
      <c r="BK658" s="224"/>
      <c r="BL658" s="224"/>
    </row>
    <row r="659" spans="1:64" hidden="1" outlineLevel="1">
      <c r="A659" s="9"/>
      <c r="B659" s="9"/>
      <c r="C659" s="44"/>
      <c r="D659" s="131" t="str">
        <f>Asset8</f>
        <v>Equity Raising Costs</v>
      </c>
      <c r="E659" s="9"/>
      <c r="F659" s="9"/>
      <c r="G659" s="338">
        <f>Input!N14</f>
        <v>0</v>
      </c>
      <c r="H659" s="115"/>
      <c r="I659" s="115"/>
      <c r="J659" s="115"/>
      <c r="K659" s="115"/>
      <c r="L659" s="115"/>
      <c r="M659" s="115"/>
      <c r="N659" s="104"/>
      <c r="O659" s="29"/>
      <c r="P659" s="29"/>
      <c r="Q659" s="29"/>
      <c r="R659" s="29"/>
      <c r="S659" s="104"/>
      <c r="T659" s="104"/>
      <c r="U659" s="104"/>
      <c r="V659" s="104"/>
      <c r="W659" s="104"/>
      <c r="X659" s="104"/>
      <c r="Y659" s="104"/>
      <c r="Z659" s="104"/>
      <c r="AA659" s="231"/>
      <c r="AB659" s="231"/>
      <c r="AC659" s="231"/>
      <c r="AD659" s="231"/>
      <c r="AE659" s="231"/>
      <c r="AF659" s="231"/>
      <c r="AG659" s="231"/>
      <c r="AH659" s="231"/>
      <c r="AI659" s="231"/>
      <c r="AJ659" s="231"/>
      <c r="AK659" s="231"/>
      <c r="AL659" s="231"/>
      <c r="AM659" s="231"/>
      <c r="AN659" s="231"/>
      <c r="AO659" s="231"/>
      <c r="AP659" s="231"/>
      <c r="AQ659" s="231"/>
      <c r="AR659" s="231"/>
      <c r="AS659" s="231"/>
      <c r="AT659" s="231"/>
      <c r="AU659" s="231"/>
      <c r="AV659" s="231"/>
      <c r="AW659" s="231"/>
      <c r="AX659" s="231"/>
      <c r="AY659" s="231"/>
      <c r="AZ659" s="231"/>
      <c r="BA659" s="231"/>
      <c r="BB659" s="231"/>
      <c r="BC659" s="231"/>
      <c r="BD659" s="231"/>
      <c r="BE659" s="231"/>
      <c r="BF659" s="231"/>
      <c r="BG659" s="231"/>
      <c r="BH659" s="231"/>
      <c r="BI659" s="231"/>
      <c r="BJ659" s="231"/>
      <c r="BK659" s="224"/>
      <c r="BL659" s="224"/>
    </row>
    <row r="660" spans="1:64" hidden="1" outlineLevel="1">
      <c r="A660" s="9"/>
      <c r="B660" s="9"/>
      <c r="C660" s="44"/>
      <c r="D660" s="131">
        <f>Asset9</f>
        <v>0</v>
      </c>
      <c r="E660" s="9"/>
      <c r="F660" s="9"/>
      <c r="G660" s="338">
        <f>Input!N15</f>
        <v>0</v>
      </c>
      <c r="H660" s="115"/>
      <c r="I660" s="115"/>
      <c r="J660" s="115"/>
      <c r="K660" s="115"/>
      <c r="L660" s="115"/>
      <c r="M660" s="115"/>
      <c r="N660" s="104"/>
      <c r="O660" s="29"/>
      <c r="P660" s="29"/>
      <c r="Q660" s="29"/>
      <c r="R660" s="29"/>
      <c r="S660" s="104"/>
      <c r="T660" s="104"/>
      <c r="U660" s="104"/>
      <c r="V660" s="104"/>
      <c r="W660" s="104"/>
      <c r="X660" s="104"/>
      <c r="Y660" s="104"/>
      <c r="Z660" s="104"/>
      <c r="AA660" s="231"/>
      <c r="AB660" s="231"/>
      <c r="AC660" s="231"/>
      <c r="AD660" s="231"/>
      <c r="AE660" s="231"/>
      <c r="AF660" s="231"/>
      <c r="AG660" s="231"/>
      <c r="AH660" s="231"/>
      <c r="AI660" s="231"/>
      <c r="AJ660" s="231"/>
      <c r="AK660" s="231"/>
      <c r="AL660" s="231"/>
      <c r="AM660" s="231"/>
      <c r="AN660" s="231"/>
      <c r="AO660" s="231"/>
      <c r="AP660" s="231"/>
      <c r="AQ660" s="231"/>
      <c r="AR660" s="231"/>
      <c r="AS660" s="231"/>
      <c r="AT660" s="231"/>
      <c r="AU660" s="231"/>
      <c r="AV660" s="231"/>
      <c r="AW660" s="231"/>
      <c r="AX660" s="231"/>
      <c r="AY660" s="231"/>
      <c r="AZ660" s="231"/>
      <c r="BA660" s="231"/>
      <c r="BB660" s="231"/>
      <c r="BC660" s="231"/>
      <c r="BD660" s="231"/>
      <c r="BE660" s="231"/>
      <c r="BF660" s="231"/>
      <c r="BG660" s="231"/>
      <c r="BH660" s="231"/>
      <c r="BI660" s="231"/>
      <c r="BJ660" s="231"/>
      <c r="BK660" s="224"/>
      <c r="BL660" s="224"/>
    </row>
    <row r="661" spans="1:64" hidden="1" outlineLevel="1">
      <c r="A661" s="9"/>
      <c r="B661" s="9"/>
      <c r="C661" s="44"/>
      <c r="D661" s="131">
        <f>Asset10</f>
        <v>0</v>
      </c>
      <c r="E661" s="9"/>
      <c r="F661" s="9"/>
      <c r="G661" s="338">
        <f>Input!N16</f>
        <v>0</v>
      </c>
      <c r="H661" s="115"/>
      <c r="I661" s="115"/>
      <c r="J661" s="115"/>
      <c r="K661" s="115"/>
      <c r="L661" s="115"/>
      <c r="M661" s="115"/>
      <c r="N661" s="104"/>
      <c r="O661" s="29"/>
      <c r="P661" s="29"/>
      <c r="Q661" s="29"/>
      <c r="R661" s="29"/>
      <c r="S661" s="104"/>
      <c r="T661" s="104"/>
      <c r="U661" s="104"/>
      <c r="V661" s="104"/>
      <c r="W661" s="104"/>
      <c r="X661" s="104"/>
      <c r="Y661" s="104"/>
      <c r="Z661" s="104"/>
      <c r="AA661" s="231"/>
      <c r="AB661" s="231"/>
      <c r="AC661" s="231"/>
      <c r="AD661" s="231"/>
      <c r="AE661" s="231"/>
      <c r="AF661" s="231"/>
      <c r="AG661" s="231"/>
      <c r="AH661" s="231"/>
      <c r="AI661" s="231"/>
      <c r="AJ661" s="231"/>
      <c r="AK661" s="231"/>
      <c r="AL661" s="231"/>
      <c r="AM661" s="231"/>
      <c r="AN661" s="231"/>
      <c r="AO661" s="231"/>
      <c r="AP661" s="231"/>
      <c r="AQ661" s="231"/>
      <c r="AR661" s="231"/>
      <c r="AS661" s="231"/>
      <c r="AT661" s="231"/>
      <c r="AU661" s="231"/>
      <c r="AV661" s="231"/>
      <c r="AW661" s="231"/>
      <c r="AX661" s="231"/>
      <c r="AY661" s="231"/>
      <c r="AZ661" s="231"/>
      <c r="BA661" s="231"/>
      <c r="BB661" s="231"/>
      <c r="BC661" s="231"/>
      <c r="BD661" s="231"/>
      <c r="BE661" s="231"/>
      <c r="BF661" s="231"/>
      <c r="BG661" s="231"/>
      <c r="BH661" s="231"/>
      <c r="BI661" s="231"/>
      <c r="BJ661" s="231"/>
      <c r="BK661" s="224"/>
      <c r="BL661" s="224"/>
    </row>
    <row r="662" spans="1:64" hidden="1" outlineLevel="1">
      <c r="A662" s="9"/>
      <c r="B662" s="9"/>
      <c r="C662" s="44"/>
      <c r="D662" s="131">
        <f>Asset11</f>
        <v>0</v>
      </c>
      <c r="E662" s="9"/>
      <c r="F662" s="9"/>
      <c r="G662" s="338">
        <f>Input!N17</f>
        <v>0</v>
      </c>
      <c r="H662" s="115"/>
      <c r="I662" s="115"/>
      <c r="J662" s="115"/>
      <c r="K662" s="115"/>
      <c r="L662" s="115"/>
      <c r="M662" s="115"/>
      <c r="N662" s="104"/>
      <c r="O662" s="29"/>
      <c r="P662" s="29"/>
      <c r="Q662" s="29"/>
      <c r="R662" s="29"/>
      <c r="S662" s="104"/>
      <c r="T662" s="104"/>
      <c r="U662" s="104"/>
      <c r="V662" s="104"/>
      <c r="W662" s="104"/>
      <c r="X662" s="104"/>
      <c r="Y662" s="104"/>
      <c r="Z662" s="104"/>
      <c r="AA662" s="231"/>
      <c r="AB662" s="231"/>
      <c r="AC662" s="231"/>
      <c r="AD662" s="231"/>
      <c r="AE662" s="231"/>
      <c r="AF662" s="231"/>
      <c r="AG662" s="231"/>
      <c r="AH662" s="231"/>
      <c r="AI662" s="231"/>
      <c r="AJ662" s="231"/>
      <c r="AK662" s="231"/>
      <c r="AL662" s="231"/>
      <c r="AM662" s="231"/>
      <c r="AN662" s="231"/>
      <c r="AO662" s="231"/>
      <c r="AP662" s="231"/>
      <c r="AQ662" s="231"/>
      <c r="AR662" s="231"/>
      <c r="AS662" s="231"/>
      <c r="AT662" s="231"/>
      <c r="AU662" s="231"/>
      <c r="AV662" s="231"/>
      <c r="AW662" s="231"/>
      <c r="AX662" s="231"/>
      <c r="AY662" s="231"/>
      <c r="AZ662" s="231"/>
      <c r="BA662" s="231"/>
      <c r="BB662" s="231"/>
      <c r="BC662" s="231"/>
      <c r="BD662" s="231"/>
      <c r="BE662" s="231"/>
      <c r="BF662" s="231"/>
      <c r="BG662" s="231"/>
      <c r="BH662" s="231"/>
      <c r="BI662" s="231"/>
      <c r="BJ662" s="231"/>
      <c r="BK662" s="224"/>
      <c r="BL662" s="224"/>
    </row>
    <row r="663" spans="1:64" hidden="1" outlineLevel="1">
      <c r="A663" s="9"/>
      <c r="B663" s="9"/>
      <c r="C663" s="44"/>
      <c r="D663" s="131">
        <f>Asset12</f>
        <v>0</v>
      </c>
      <c r="E663" s="9"/>
      <c r="F663" s="9"/>
      <c r="G663" s="338">
        <f>Input!N18</f>
        <v>0</v>
      </c>
      <c r="H663" s="115"/>
      <c r="I663" s="115"/>
      <c r="J663" s="115"/>
      <c r="K663" s="115"/>
      <c r="L663" s="115"/>
      <c r="M663" s="115"/>
      <c r="N663" s="104"/>
      <c r="O663" s="29"/>
      <c r="P663" s="29"/>
      <c r="Q663" s="29"/>
      <c r="R663" s="29"/>
      <c r="S663" s="104"/>
      <c r="T663" s="104"/>
      <c r="U663" s="104"/>
      <c r="V663" s="104"/>
      <c r="W663" s="104"/>
      <c r="X663" s="104"/>
      <c r="Y663" s="104"/>
      <c r="Z663" s="104"/>
      <c r="AA663" s="231"/>
      <c r="AB663" s="231"/>
      <c r="AC663" s="231"/>
      <c r="AD663" s="231"/>
      <c r="AE663" s="231"/>
      <c r="AF663" s="231"/>
      <c r="AG663" s="231"/>
      <c r="AH663" s="231"/>
      <c r="AI663" s="231"/>
      <c r="AJ663" s="231"/>
      <c r="AK663" s="231"/>
      <c r="AL663" s="231"/>
      <c r="AM663" s="231"/>
      <c r="AN663" s="231"/>
      <c r="AO663" s="231"/>
      <c r="AP663" s="231"/>
      <c r="AQ663" s="231"/>
      <c r="AR663" s="231"/>
      <c r="AS663" s="231"/>
      <c r="AT663" s="231"/>
      <c r="AU663" s="231"/>
      <c r="AV663" s="231"/>
      <c r="AW663" s="231"/>
      <c r="AX663" s="231"/>
      <c r="AY663" s="231"/>
      <c r="AZ663" s="231"/>
      <c r="BA663" s="231"/>
      <c r="BB663" s="231"/>
      <c r="BC663" s="231"/>
      <c r="BD663" s="231"/>
      <c r="BE663" s="231"/>
      <c r="BF663" s="231"/>
      <c r="BG663" s="231"/>
      <c r="BH663" s="231"/>
      <c r="BI663" s="231"/>
      <c r="BJ663" s="231"/>
      <c r="BK663" s="224"/>
      <c r="BL663" s="224"/>
    </row>
    <row r="664" spans="1:64" hidden="1" outlineLevel="1">
      <c r="A664" s="9"/>
      <c r="B664" s="9"/>
      <c r="C664" s="44"/>
      <c r="D664" s="131">
        <f>Asset13</f>
        <v>0</v>
      </c>
      <c r="E664" s="9"/>
      <c r="F664" s="9"/>
      <c r="G664" s="338">
        <f>Input!N19</f>
        <v>0</v>
      </c>
      <c r="H664" s="115"/>
      <c r="I664" s="115"/>
      <c r="J664" s="115"/>
      <c r="K664" s="115"/>
      <c r="L664" s="115"/>
      <c r="M664" s="115"/>
      <c r="N664" s="104"/>
      <c r="O664" s="29"/>
      <c r="P664" s="29"/>
      <c r="Q664" s="29"/>
      <c r="R664" s="29"/>
      <c r="S664" s="104"/>
      <c r="T664" s="104"/>
      <c r="U664" s="104"/>
      <c r="V664" s="104"/>
      <c r="W664" s="104"/>
      <c r="X664" s="104"/>
      <c r="Y664" s="104"/>
      <c r="Z664" s="104"/>
      <c r="AA664" s="231"/>
      <c r="AB664" s="231"/>
      <c r="AC664" s="231"/>
      <c r="AD664" s="231"/>
      <c r="AE664" s="231"/>
      <c r="AF664" s="231"/>
      <c r="AG664" s="231"/>
      <c r="AH664" s="231"/>
      <c r="AI664" s="231"/>
      <c r="AJ664" s="231"/>
      <c r="AK664" s="231"/>
      <c r="AL664" s="231"/>
      <c r="AM664" s="231"/>
      <c r="AN664" s="231"/>
      <c r="AO664" s="231"/>
      <c r="AP664" s="231"/>
      <c r="AQ664" s="231"/>
      <c r="AR664" s="231"/>
      <c r="AS664" s="231"/>
      <c r="AT664" s="231"/>
      <c r="AU664" s="231"/>
      <c r="AV664" s="231"/>
      <c r="AW664" s="231"/>
      <c r="AX664" s="231"/>
      <c r="AY664" s="231"/>
      <c r="AZ664" s="231"/>
      <c r="BA664" s="231"/>
      <c r="BB664" s="231"/>
      <c r="BC664" s="231"/>
      <c r="BD664" s="231"/>
      <c r="BE664" s="231"/>
      <c r="BF664" s="231"/>
      <c r="BG664" s="231"/>
      <c r="BH664" s="231"/>
      <c r="BI664" s="231"/>
      <c r="BJ664" s="231"/>
      <c r="BK664" s="224"/>
      <c r="BL664" s="224"/>
    </row>
    <row r="665" spans="1:64" hidden="1" outlineLevel="1">
      <c r="A665" s="9"/>
      <c r="B665" s="9"/>
      <c r="C665" s="44"/>
      <c r="D665" s="131">
        <f>Asset14</f>
        <v>0</v>
      </c>
      <c r="E665" s="9"/>
      <c r="F665" s="9"/>
      <c r="G665" s="338">
        <f>Input!N20</f>
        <v>0</v>
      </c>
      <c r="H665" s="115"/>
      <c r="I665" s="115"/>
      <c r="J665" s="115"/>
      <c r="K665" s="115"/>
      <c r="L665" s="115"/>
      <c r="M665" s="115"/>
      <c r="N665" s="104"/>
      <c r="O665" s="29"/>
      <c r="P665" s="29"/>
      <c r="Q665" s="29"/>
      <c r="R665" s="29"/>
      <c r="S665" s="104"/>
      <c r="T665" s="104"/>
      <c r="U665" s="104"/>
      <c r="V665" s="104"/>
      <c r="W665" s="104"/>
      <c r="X665" s="104"/>
      <c r="Y665" s="104"/>
      <c r="Z665" s="104"/>
      <c r="AA665" s="231"/>
      <c r="AB665" s="231"/>
      <c r="AC665" s="231"/>
      <c r="AD665" s="231"/>
      <c r="AE665" s="231"/>
      <c r="AF665" s="231"/>
      <c r="AG665" s="231"/>
      <c r="AH665" s="231"/>
      <c r="AI665" s="231"/>
      <c r="AJ665" s="231"/>
      <c r="AK665" s="231"/>
      <c r="AL665" s="231"/>
      <c r="AM665" s="231"/>
      <c r="AN665" s="231"/>
      <c r="AO665" s="231"/>
      <c r="AP665" s="231"/>
      <c r="AQ665" s="231"/>
      <c r="AR665" s="231"/>
      <c r="AS665" s="231"/>
      <c r="AT665" s="231"/>
      <c r="AU665" s="231"/>
      <c r="AV665" s="231"/>
      <c r="AW665" s="231"/>
      <c r="AX665" s="231"/>
      <c r="AY665" s="231"/>
      <c r="AZ665" s="231"/>
      <c r="BA665" s="231"/>
      <c r="BB665" s="231"/>
      <c r="BC665" s="231"/>
      <c r="BD665" s="231"/>
      <c r="BE665" s="231"/>
      <c r="BF665" s="231"/>
      <c r="BG665" s="231"/>
      <c r="BH665" s="231"/>
      <c r="BI665" s="231"/>
      <c r="BJ665" s="231"/>
      <c r="BK665" s="224"/>
      <c r="BL665" s="224"/>
    </row>
    <row r="666" spans="1:64" hidden="1" outlineLevel="1">
      <c r="A666" s="9"/>
      <c r="B666" s="9"/>
      <c r="C666" s="44"/>
      <c r="D666" s="131">
        <f>Asset15</f>
        <v>0</v>
      </c>
      <c r="E666" s="9"/>
      <c r="F666" s="9"/>
      <c r="G666" s="338">
        <f>Input!N21</f>
        <v>0</v>
      </c>
      <c r="H666" s="115"/>
      <c r="I666" s="115"/>
      <c r="J666" s="115"/>
      <c r="K666" s="115"/>
      <c r="L666" s="115"/>
      <c r="M666" s="115"/>
      <c r="N666" s="104"/>
      <c r="O666" s="29"/>
      <c r="P666" s="29"/>
      <c r="Q666" s="29"/>
      <c r="R666" s="29"/>
      <c r="S666" s="104"/>
      <c r="T666" s="104"/>
      <c r="U666" s="104"/>
      <c r="V666" s="104"/>
      <c r="W666" s="104"/>
      <c r="X666" s="104"/>
      <c r="Y666" s="104"/>
      <c r="Z666" s="104"/>
      <c r="AA666" s="231"/>
      <c r="AB666" s="231"/>
      <c r="AC666" s="231"/>
      <c r="AD666" s="231"/>
      <c r="AE666" s="231"/>
      <c r="AF666" s="231"/>
      <c r="AG666" s="231"/>
      <c r="AH666" s="231"/>
      <c r="AI666" s="231"/>
      <c r="AJ666" s="231"/>
      <c r="AK666" s="231"/>
      <c r="AL666" s="231"/>
      <c r="AM666" s="231"/>
      <c r="AN666" s="231"/>
      <c r="AO666" s="231"/>
      <c r="AP666" s="231"/>
      <c r="AQ666" s="231"/>
      <c r="AR666" s="231"/>
      <c r="AS666" s="231"/>
      <c r="AT666" s="231"/>
      <c r="AU666" s="231"/>
      <c r="AV666" s="231"/>
      <c r="AW666" s="231"/>
      <c r="AX666" s="231"/>
      <c r="AY666" s="231"/>
      <c r="AZ666" s="231"/>
      <c r="BA666" s="231"/>
      <c r="BB666" s="231"/>
      <c r="BC666" s="231"/>
      <c r="BD666" s="231"/>
      <c r="BE666" s="231"/>
      <c r="BF666" s="231"/>
      <c r="BG666" s="231"/>
      <c r="BH666" s="231"/>
      <c r="BI666" s="231"/>
      <c r="BJ666" s="231"/>
      <c r="BK666" s="224"/>
      <c r="BL666" s="224"/>
    </row>
    <row r="667" spans="1:64" hidden="1" outlineLevel="1">
      <c r="A667" s="9"/>
      <c r="B667" s="9"/>
      <c r="C667" s="44"/>
      <c r="D667" s="131">
        <f>Asset16</f>
        <v>0</v>
      </c>
      <c r="E667" s="9"/>
      <c r="F667" s="9"/>
      <c r="G667" s="338">
        <f>Input!N22</f>
        <v>0</v>
      </c>
      <c r="H667" s="115"/>
      <c r="I667" s="115"/>
      <c r="J667" s="115"/>
      <c r="K667" s="115"/>
      <c r="L667" s="115"/>
      <c r="M667" s="115"/>
      <c r="N667" s="104"/>
      <c r="O667" s="29"/>
      <c r="P667" s="29"/>
      <c r="Q667" s="29"/>
      <c r="R667" s="29"/>
      <c r="S667" s="104"/>
      <c r="T667" s="104"/>
      <c r="U667" s="104"/>
      <c r="V667" s="104"/>
      <c r="W667" s="104"/>
      <c r="X667" s="104"/>
      <c r="Y667" s="104"/>
      <c r="Z667" s="104"/>
      <c r="AA667" s="231"/>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231"/>
      <c r="BE667" s="231"/>
      <c r="BF667" s="231"/>
      <c r="BG667" s="231"/>
      <c r="BH667" s="231"/>
      <c r="BI667" s="231"/>
      <c r="BJ667" s="231"/>
      <c r="BK667" s="224"/>
      <c r="BL667" s="224"/>
    </row>
    <row r="668" spans="1:64" hidden="1" outlineLevel="1">
      <c r="A668" s="9"/>
      <c r="B668" s="9"/>
      <c r="C668" s="44"/>
      <c r="D668" s="131">
        <f>Asset17</f>
        <v>0</v>
      </c>
      <c r="E668" s="9"/>
      <c r="F668" s="9"/>
      <c r="G668" s="338">
        <f>Input!N23</f>
        <v>0</v>
      </c>
      <c r="H668" s="115"/>
      <c r="I668" s="115"/>
      <c r="J668" s="115"/>
      <c r="K668" s="115"/>
      <c r="L668" s="115"/>
      <c r="M668" s="115"/>
      <c r="N668" s="104"/>
      <c r="O668" s="29"/>
      <c r="P668" s="29"/>
      <c r="Q668" s="29"/>
      <c r="R668" s="29"/>
      <c r="S668" s="104"/>
      <c r="T668" s="104"/>
      <c r="U668" s="104"/>
      <c r="V668" s="104"/>
      <c r="W668" s="104"/>
      <c r="X668" s="104"/>
      <c r="Y668" s="104"/>
      <c r="Z668" s="104"/>
      <c r="AA668" s="231"/>
      <c r="AB668" s="231"/>
      <c r="AC668" s="231"/>
      <c r="AD668" s="231"/>
      <c r="AE668" s="231"/>
      <c r="AF668" s="231"/>
      <c r="AG668" s="231"/>
      <c r="AH668" s="231"/>
      <c r="AI668" s="231"/>
      <c r="AJ668" s="231"/>
      <c r="AK668" s="231"/>
      <c r="AL668" s="231"/>
      <c r="AM668" s="231"/>
      <c r="AN668" s="231"/>
      <c r="AO668" s="231"/>
      <c r="AP668" s="231"/>
      <c r="AQ668" s="231"/>
      <c r="AR668" s="231"/>
      <c r="AS668" s="231"/>
      <c r="AT668" s="231"/>
      <c r="AU668" s="231"/>
      <c r="AV668" s="231"/>
      <c r="AW668" s="231"/>
      <c r="AX668" s="231"/>
      <c r="AY668" s="231"/>
      <c r="AZ668" s="231"/>
      <c r="BA668" s="231"/>
      <c r="BB668" s="231"/>
      <c r="BC668" s="231"/>
      <c r="BD668" s="231"/>
      <c r="BE668" s="231"/>
      <c r="BF668" s="231"/>
      <c r="BG668" s="231"/>
      <c r="BH668" s="231"/>
      <c r="BI668" s="231"/>
      <c r="BJ668" s="231"/>
      <c r="BK668" s="224"/>
      <c r="BL668" s="224"/>
    </row>
    <row r="669" spans="1:64" hidden="1" outlineLevel="1">
      <c r="A669" s="9"/>
      <c r="B669" s="9"/>
      <c r="C669" s="44"/>
      <c r="D669" s="131">
        <f>Asset18</f>
        <v>0</v>
      </c>
      <c r="E669" s="9"/>
      <c r="F669" s="9"/>
      <c r="G669" s="338">
        <f>Input!N24</f>
        <v>0</v>
      </c>
      <c r="H669" s="115"/>
      <c r="I669" s="115"/>
      <c r="J669" s="115"/>
      <c r="K669" s="115"/>
      <c r="L669" s="115"/>
      <c r="M669" s="115"/>
      <c r="N669" s="104"/>
      <c r="O669" s="29"/>
      <c r="P669" s="29"/>
      <c r="Q669" s="29"/>
      <c r="R669" s="29"/>
      <c r="S669" s="104"/>
      <c r="T669" s="104"/>
      <c r="U669" s="104"/>
      <c r="V669" s="104"/>
      <c r="W669" s="104"/>
      <c r="X669" s="104"/>
      <c r="Y669" s="104"/>
      <c r="Z669" s="104"/>
      <c r="AA669" s="231"/>
      <c r="AB669" s="231"/>
      <c r="AC669" s="231"/>
      <c r="AD669" s="231"/>
      <c r="AE669" s="231"/>
      <c r="AF669" s="231"/>
      <c r="AG669" s="231"/>
      <c r="AH669" s="231"/>
      <c r="AI669" s="231"/>
      <c r="AJ669" s="231"/>
      <c r="AK669" s="231"/>
      <c r="AL669" s="231"/>
      <c r="AM669" s="231"/>
      <c r="AN669" s="231"/>
      <c r="AO669" s="231"/>
      <c r="AP669" s="231"/>
      <c r="AQ669" s="231"/>
      <c r="AR669" s="231"/>
      <c r="AS669" s="231"/>
      <c r="AT669" s="231"/>
      <c r="AU669" s="231"/>
      <c r="AV669" s="231"/>
      <c r="AW669" s="231"/>
      <c r="AX669" s="231"/>
      <c r="AY669" s="231"/>
      <c r="AZ669" s="231"/>
      <c r="BA669" s="231"/>
      <c r="BB669" s="231"/>
      <c r="BC669" s="231"/>
      <c r="BD669" s="231"/>
      <c r="BE669" s="231"/>
      <c r="BF669" s="231"/>
      <c r="BG669" s="231"/>
      <c r="BH669" s="231"/>
      <c r="BI669" s="231"/>
      <c r="BJ669" s="231"/>
      <c r="BK669" s="224"/>
      <c r="BL669" s="224"/>
    </row>
    <row r="670" spans="1:64" hidden="1" outlineLevel="1">
      <c r="A670" s="9"/>
      <c r="B670" s="9"/>
      <c r="C670" s="44"/>
      <c r="D670" s="131">
        <f>Asset19</f>
        <v>0</v>
      </c>
      <c r="E670" s="9"/>
      <c r="F670" s="9"/>
      <c r="G670" s="338">
        <f>Input!N25</f>
        <v>0</v>
      </c>
      <c r="H670" s="115"/>
      <c r="I670" s="115"/>
      <c r="J670" s="115"/>
      <c r="K670" s="115"/>
      <c r="L670" s="115"/>
      <c r="M670" s="115"/>
      <c r="N670" s="104"/>
      <c r="O670" s="29"/>
      <c r="P670" s="29"/>
      <c r="Q670" s="29"/>
      <c r="R670" s="29"/>
      <c r="S670" s="104"/>
      <c r="T670" s="104"/>
      <c r="U670" s="104"/>
      <c r="V670" s="104"/>
      <c r="W670" s="104"/>
      <c r="X670" s="104"/>
      <c r="Y670" s="104"/>
      <c r="Z670" s="104"/>
      <c r="AA670" s="231"/>
      <c r="AB670" s="231"/>
      <c r="AC670" s="231"/>
      <c r="AD670" s="231"/>
      <c r="AE670" s="231"/>
      <c r="AF670" s="231"/>
      <c r="AG670" s="231"/>
      <c r="AH670" s="231"/>
      <c r="AI670" s="231"/>
      <c r="AJ670" s="231"/>
      <c r="AK670" s="231"/>
      <c r="AL670" s="231"/>
      <c r="AM670" s="231"/>
      <c r="AN670" s="231"/>
      <c r="AO670" s="231"/>
      <c r="AP670" s="231"/>
      <c r="AQ670" s="231"/>
      <c r="AR670" s="231"/>
      <c r="AS670" s="231"/>
      <c r="AT670" s="231"/>
      <c r="AU670" s="231"/>
      <c r="AV670" s="231"/>
      <c r="AW670" s="231"/>
      <c r="AX670" s="231"/>
      <c r="AY670" s="231"/>
      <c r="AZ670" s="231"/>
      <c r="BA670" s="231"/>
      <c r="BB670" s="231"/>
      <c r="BC670" s="231"/>
      <c r="BD670" s="231"/>
      <c r="BE670" s="231"/>
      <c r="BF670" s="231"/>
      <c r="BG670" s="231"/>
      <c r="BH670" s="231"/>
      <c r="BI670" s="231"/>
      <c r="BJ670" s="231"/>
      <c r="BK670" s="224"/>
      <c r="BL670" s="224"/>
    </row>
    <row r="671" spans="1:64" hidden="1" outlineLevel="1">
      <c r="A671" s="9"/>
      <c r="B671" s="9"/>
      <c r="C671" s="44"/>
      <c r="D671" s="131">
        <f>Asset20</f>
        <v>0</v>
      </c>
      <c r="E671" s="9"/>
      <c r="F671" s="9"/>
      <c r="G671" s="338">
        <f>Input!N26</f>
        <v>0</v>
      </c>
      <c r="H671" s="115"/>
      <c r="I671" s="115"/>
      <c r="J671" s="115"/>
      <c r="K671" s="115"/>
      <c r="L671" s="115"/>
      <c r="M671" s="115"/>
      <c r="N671" s="104"/>
      <c r="O671" s="29"/>
      <c r="P671" s="29"/>
      <c r="Q671" s="29"/>
      <c r="R671" s="29"/>
      <c r="S671" s="104"/>
      <c r="T671" s="104"/>
      <c r="U671" s="104"/>
      <c r="V671" s="104"/>
      <c r="W671" s="104"/>
      <c r="X671" s="104"/>
      <c r="Y671" s="104"/>
      <c r="Z671" s="104"/>
      <c r="AA671" s="231"/>
      <c r="AB671" s="231"/>
      <c r="AC671" s="231"/>
      <c r="AD671" s="231"/>
      <c r="AE671" s="231"/>
      <c r="AF671" s="231"/>
      <c r="AG671" s="231"/>
      <c r="AH671" s="231"/>
      <c r="AI671" s="231"/>
      <c r="AJ671" s="231"/>
      <c r="AK671" s="231"/>
      <c r="AL671" s="231"/>
      <c r="AM671" s="231"/>
      <c r="AN671" s="231"/>
      <c r="AO671" s="231"/>
      <c r="AP671" s="231"/>
      <c r="AQ671" s="231"/>
      <c r="AR671" s="231"/>
      <c r="AS671" s="231"/>
      <c r="AT671" s="231"/>
      <c r="AU671" s="231"/>
      <c r="AV671" s="231"/>
      <c r="AW671" s="231"/>
      <c r="AX671" s="231"/>
      <c r="AY671" s="231"/>
      <c r="AZ671" s="231"/>
      <c r="BA671" s="231"/>
      <c r="BB671" s="231"/>
      <c r="BC671" s="231"/>
      <c r="BD671" s="231"/>
      <c r="BE671" s="231"/>
      <c r="BF671" s="231"/>
      <c r="BG671" s="231"/>
      <c r="BH671" s="231"/>
      <c r="BI671" s="231"/>
      <c r="BJ671" s="231"/>
      <c r="BK671" s="224"/>
      <c r="BL671" s="224"/>
    </row>
    <row r="672" spans="1:64" collapsed="1">
      <c r="A672" s="9"/>
      <c r="B672" s="9"/>
      <c r="C672" s="44"/>
      <c r="D672" s="131"/>
      <c r="E672" s="9"/>
      <c r="F672" s="9"/>
      <c r="G672" s="143"/>
      <c r="H672" s="115"/>
      <c r="I672" s="115"/>
      <c r="J672" s="115"/>
      <c r="K672" s="115"/>
      <c r="L672" s="115"/>
      <c r="M672" s="115"/>
      <c r="N672" s="104"/>
      <c r="O672" s="29"/>
      <c r="P672" s="29"/>
      <c r="Q672" s="29"/>
      <c r="R672" s="29"/>
      <c r="S672" s="104"/>
      <c r="T672" s="104"/>
      <c r="U672" s="104"/>
      <c r="V672" s="104"/>
      <c r="W672" s="104"/>
      <c r="X672" s="104"/>
      <c r="Y672" s="104"/>
      <c r="Z672" s="104"/>
      <c r="AA672" s="231"/>
      <c r="AB672" s="231"/>
      <c r="AC672" s="231"/>
      <c r="AD672" s="231"/>
      <c r="AE672" s="231"/>
      <c r="AF672" s="231"/>
      <c r="AG672" s="231"/>
      <c r="AH672" s="231"/>
      <c r="AI672" s="231"/>
      <c r="AJ672" s="231"/>
      <c r="AK672" s="231"/>
      <c r="AL672" s="231"/>
      <c r="AM672" s="231"/>
      <c r="AN672" s="231"/>
      <c r="AO672" s="231"/>
      <c r="AP672" s="231"/>
      <c r="AQ672" s="231"/>
      <c r="AR672" s="231"/>
      <c r="AS672" s="231"/>
      <c r="AT672" s="231"/>
      <c r="AU672" s="231"/>
      <c r="AV672" s="231"/>
      <c r="AW672" s="231"/>
      <c r="AX672" s="231"/>
      <c r="AY672" s="231"/>
      <c r="AZ672" s="231"/>
      <c r="BA672" s="231"/>
      <c r="BB672" s="231"/>
      <c r="BC672" s="231"/>
      <c r="BD672" s="231"/>
      <c r="BE672" s="231"/>
      <c r="BF672" s="231"/>
      <c r="BG672" s="231"/>
      <c r="BH672" s="231"/>
      <c r="BI672" s="231"/>
      <c r="BJ672" s="231"/>
      <c r="BK672" s="224"/>
      <c r="BL672" s="224"/>
    </row>
    <row r="673" spans="1:64">
      <c r="A673" s="78"/>
      <c r="B673" s="78"/>
      <c r="C673" s="85" t="s">
        <v>67</v>
      </c>
      <c r="D673" s="250"/>
      <c r="E673" s="78"/>
      <c r="F673" s="78"/>
      <c r="G673" s="185"/>
      <c r="H673" s="187"/>
      <c r="I673" s="187"/>
      <c r="J673" s="187"/>
      <c r="K673" s="187"/>
      <c r="L673" s="187"/>
      <c r="M673" s="187"/>
      <c r="N673" s="251"/>
      <c r="O673" s="251"/>
      <c r="P673" s="251"/>
      <c r="Q673" s="251"/>
      <c r="R673" s="251"/>
      <c r="S673" s="104"/>
      <c r="T673" s="104"/>
      <c r="U673" s="104"/>
      <c r="V673" s="104"/>
      <c r="W673" s="104"/>
      <c r="X673" s="104"/>
      <c r="Y673" s="104"/>
      <c r="Z673" s="104"/>
      <c r="AA673" s="231"/>
      <c r="AB673" s="231"/>
      <c r="AC673" s="231"/>
      <c r="AD673" s="231"/>
      <c r="AE673" s="231"/>
      <c r="AF673" s="231"/>
      <c r="AG673" s="231"/>
      <c r="AH673" s="231"/>
      <c r="AI673" s="231"/>
      <c r="AJ673" s="231"/>
      <c r="AK673" s="231"/>
      <c r="AL673" s="231"/>
      <c r="AM673" s="231"/>
      <c r="AN673" s="231"/>
      <c r="AO673" s="231"/>
      <c r="AP673" s="231"/>
      <c r="AQ673" s="231"/>
      <c r="AR673" s="231"/>
      <c r="AS673" s="231"/>
      <c r="AT673" s="231"/>
      <c r="AU673" s="231"/>
      <c r="AV673" s="231"/>
      <c r="AW673" s="231"/>
      <c r="AX673" s="231"/>
      <c r="AY673" s="231"/>
      <c r="AZ673" s="231"/>
      <c r="BA673" s="231"/>
      <c r="BB673" s="231"/>
      <c r="BC673" s="231"/>
      <c r="BD673" s="231"/>
      <c r="BE673" s="231"/>
      <c r="BF673" s="231"/>
      <c r="BG673" s="231"/>
      <c r="BH673" s="231"/>
      <c r="BI673" s="231"/>
      <c r="BJ673" s="231"/>
      <c r="BK673" s="224"/>
      <c r="BL673" s="224"/>
    </row>
    <row r="674" spans="1:64">
      <c r="A674" s="9"/>
      <c r="B674" s="9"/>
      <c r="C674" s="17"/>
      <c r="D674" s="131"/>
      <c r="E674" s="9"/>
      <c r="F674" s="9"/>
      <c r="G674" s="143"/>
      <c r="H674" s="115"/>
      <c r="I674" s="115"/>
      <c r="J674" s="115"/>
      <c r="K674" s="115"/>
      <c r="L674" s="115"/>
      <c r="M674" s="115"/>
      <c r="N674" s="104"/>
      <c r="O674" s="29"/>
      <c r="P674" s="29"/>
      <c r="Q674" s="29"/>
      <c r="R674" s="29"/>
      <c r="S674" s="104"/>
      <c r="T674" s="104"/>
      <c r="U674" s="104"/>
      <c r="V674" s="104"/>
      <c r="W674" s="104"/>
      <c r="X674" s="104"/>
      <c r="Y674" s="104"/>
      <c r="Z674" s="104"/>
      <c r="AA674" s="231"/>
      <c r="AB674" s="231"/>
      <c r="AC674" s="231"/>
      <c r="AD674" s="231"/>
      <c r="AE674" s="231"/>
      <c r="AF674" s="231"/>
      <c r="AG674" s="231"/>
      <c r="AH674" s="231"/>
      <c r="AI674" s="231"/>
      <c r="AJ674" s="231"/>
      <c r="AK674" s="231"/>
      <c r="AL674" s="231"/>
      <c r="AM674" s="231"/>
      <c r="AN674" s="231"/>
      <c r="AO674" s="231"/>
      <c r="AP674" s="231"/>
      <c r="AQ674" s="231"/>
      <c r="AR674" s="231"/>
      <c r="AS674" s="231"/>
      <c r="AT674" s="231"/>
      <c r="AU674" s="231"/>
      <c r="AV674" s="231"/>
      <c r="AW674" s="231"/>
      <c r="AX674" s="231"/>
      <c r="AY674" s="231"/>
      <c r="AZ674" s="231"/>
      <c r="BA674" s="231"/>
      <c r="BB674" s="231"/>
      <c r="BC674" s="231"/>
      <c r="BD674" s="231"/>
      <c r="BE674" s="231"/>
      <c r="BF674" s="231"/>
      <c r="BG674" s="231"/>
      <c r="BH674" s="231"/>
      <c r="BI674" s="231"/>
      <c r="BJ674" s="231"/>
      <c r="BK674" s="224"/>
      <c r="BL674" s="224"/>
    </row>
    <row r="675" spans="1:64">
      <c r="A675" s="12"/>
      <c r="B675" s="12"/>
      <c r="C675" s="94" t="s">
        <v>64</v>
      </c>
      <c r="D675" s="117"/>
      <c r="E675" s="94"/>
      <c r="F675" s="94"/>
      <c r="G675" s="315">
        <f>SUM(G676:G705)</f>
        <v>2093.4385480310939</v>
      </c>
      <c r="H675" s="315">
        <f>SUM(H676:H705)</f>
        <v>2278.2609074570819</v>
      </c>
      <c r="I675" s="315">
        <f t="shared" ref="I675:P675" si="54">SUM(I676:I705)</f>
        <v>2563.010391265866</v>
      </c>
      <c r="J675" s="315">
        <f t="shared" si="54"/>
        <v>2858.9454715868251</v>
      </c>
      <c r="K675" s="315">
        <f t="shared" si="54"/>
        <v>3180.3896560995681</v>
      </c>
      <c r="L675" s="315">
        <f t="shared" si="54"/>
        <v>3473.524989544037</v>
      </c>
      <c r="M675" s="315">
        <f t="shared" si="54"/>
        <v>0</v>
      </c>
      <c r="N675" s="315">
        <f t="shared" si="54"/>
        <v>0</v>
      </c>
      <c r="O675" s="315">
        <f t="shared" si="54"/>
        <v>0</v>
      </c>
      <c r="P675" s="315">
        <f t="shared" si="54"/>
        <v>0</v>
      </c>
      <c r="Q675" s="315">
        <f>SUM(Q676:Q705)</f>
        <v>0</v>
      </c>
      <c r="R675" s="253"/>
      <c r="S675" s="104"/>
      <c r="T675" s="104"/>
      <c r="U675" s="104"/>
      <c r="V675" s="104"/>
      <c r="W675" s="104"/>
      <c r="X675" s="104"/>
      <c r="Y675" s="104"/>
      <c r="Z675" s="104"/>
      <c r="AA675" s="231"/>
      <c r="AB675" s="231"/>
      <c r="AC675" s="231"/>
      <c r="AD675" s="231"/>
      <c r="AE675" s="231"/>
      <c r="AF675" s="231"/>
      <c r="AG675" s="231"/>
      <c r="AH675" s="231"/>
      <c r="AI675" s="231"/>
      <c r="AJ675" s="231"/>
      <c r="AK675" s="231"/>
      <c r="AL675" s="231"/>
      <c r="AM675" s="231"/>
      <c r="AN675" s="231"/>
      <c r="AO675" s="231"/>
      <c r="AP675" s="231"/>
      <c r="AQ675" s="231"/>
      <c r="AR675" s="231"/>
      <c r="AS675" s="231"/>
      <c r="AT675" s="231"/>
      <c r="AU675" s="231"/>
      <c r="AV675" s="231"/>
      <c r="AW675" s="231"/>
      <c r="AX675" s="231"/>
      <c r="AY675" s="231"/>
      <c r="AZ675" s="231"/>
      <c r="BA675" s="231"/>
      <c r="BB675" s="231"/>
      <c r="BC675" s="231"/>
      <c r="BD675" s="231"/>
      <c r="BE675" s="231"/>
      <c r="BF675" s="231"/>
      <c r="BG675" s="231"/>
      <c r="BH675" s="231"/>
      <c r="BI675" s="231"/>
      <c r="BJ675" s="231"/>
      <c r="BK675" s="224"/>
      <c r="BL675" s="224"/>
    </row>
    <row r="676" spans="1:64" hidden="1" outlineLevel="1">
      <c r="A676" s="9"/>
      <c r="B676" s="12"/>
      <c r="C676" s="44"/>
      <c r="D676" s="271" t="str">
        <f>Asset1</f>
        <v>Subtransmission</v>
      </c>
      <c r="E676" s="12"/>
      <c r="F676" s="12"/>
      <c r="G676" s="204">
        <f t="shared" ref="G676:G705" si="55">G492+G524+G556+G588+G620</f>
        <v>201.86232986351726</v>
      </c>
      <c r="H676" s="157">
        <f t="shared" ref="H676:L685" si="56">H492+H524+H556</f>
        <v>223.75378048883468</v>
      </c>
      <c r="I676" s="157">
        <f t="shared" si="56"/>
        <v>270.18518567823617</v>
      </c>
      <c r="J676" s="157">
        <f t="shared" si="56"/>
        <v>333.22360899693331</v>
      </c>
      <c r="K676" s="157">
        <f t="shared" si="56"/>
        <v>395.67376420819033</v>
      </c>
      <c r="L676" s="157">
        <f t="shared" si="56"/>
        <v>458.13873531134919</v>
      </c>
      <c r="M676" s="157">
        <f>IF(COUNT($H676:L676)&gt;=Input!$Y$7,0, M492+M524+M556)</f>
        <v>0</v>
      </c>
      <c r="N676" s="157">
        <f>IF(COUNT($H676:M676)&gt;=Input!$Y$7,0, N492+N524+N556)</f>
        <v>0</v>
      </c>
      <c r="O676" s="157">
        <f>IF(COUNT($H676:N676)&gt;=Input!$Y$7,0, O492+O524+O556)</f>
        <v>0</v>
      </c>
      <c r="P676" s="157">
        <f>IF(COUNT($H676:O676)&gt;=Input!$Y$7,0, P492+P524+P556)</f>
        <v>0</v>
      </c>
      <c r="Q676" s="157">
        <f>IF(COUNT($H676:P676)&gt;=Input!$Y$7,0, Q492+Q524+Q556)</f>
        <v>0</v>
      </c>
      <c r="R676" s="104"/>
      <c r="S676" s="104"/>
      <c r="T676" s="104"/>
      <c r="U676" s="104"/>
      <c r="V676" s="104"/>
      <c r="W676" s="104"/>
      <c r="X676" s="104"/>
      <c r="Y676" s="104"/>
      <c r="Z676" s="104"/>
      <c r="AA676" s="231"/>
      <c r="AB676" s="231"/>
      <c r="AC676" s="231"/>
      <c r="AD676" s="231"/>
      <c r="AE676" s="231"/>
      <c r="AF676" s="231"/>
      <c r="AG676" s="231"/>
      <c r="AH676" s="231"/>
      <c r="AI676" s="231"/>
      <c r="AJ676" s="231"/>
      <c r="AK676" s="231"/>
      <c r="AL676" s="231"/>
      <c r="AM676" s="231"/>
      <c r="AN676" s="231"/>
      <c r="AO676" s="231"/>
      <c r="AP676" s="231"/>
      <c r="AQ676" s="231"/>
      <c r="AR676" s="231"/>
      <c r="AS676" s="231"/>
      <c r="AT676" s="231"/>
      <c r="AU676" s="231"/>
      <c r="AV676" s="231"/>
      <c r="AW676" s="231"/>
      <c r="AX676" s="231"/>
      <c r="AY676" s="231"/>
      <c r="AZ676" s="231"/>
      <c r="BA676" s="231"/>
      <c r="BB676" s="231"/>
      <c r="BC676" s="231"/>
      <c r="BD676" s="231"/>
      <c r="BE676" s="231"/>
      <c r="BF676" s="231"/>
      <c r="BG676" s="231"/>
      <c r="BH676" s="231"/>
      <c r="BI676" s="231"/>
      <c r="BJ676" s="231"/>
      <c r="BK676" s="224"/>
      <c r="BL676" s="224"/>
    </row>
    <row r="677" spans="1:64" hidden="1" outlineLevel="1">
      <c r="A677" s="9"/>
      <c r="B677" s="12"/>
      <c r="C677" s="44"/>
      <c r="D677" s="271" t="str">
        <f>Asset2</f>
        <v>Distribution system assets</v>
      </c>
      <c r="E677" s="12"/>
      <c r="F677" s="12"/>
      <c r="G677" s="204">
        <f t="shared" si="55"/>
        <v>1751.8018003116877</v>
      </c>
      <c r="H677" s="157">
        <f t="shared" si="56"/>
        <v>1932.3104445268239</v>
      </c>
      <c r="I677" s="157">
        <f t="shared" si="56"/>
        <v>2147.2896410684702</v>
      </c>
      <c r="J677" s="157">
        <f t="shared" si="56"/>
        <v>2368.6596044689627</v>
      </c>
      <c r="K677" s="157">
        <f t="shared" si="56"/>
        <v>2633.8659916484798</v>
      </c>
      <c r="L677" s="157">
        <f t="shared" si="56"/>
        <v>2880.4832228481646</v>
      </c>
      <c r="M677" s="157">
        <f>IF(COUNT($H677:L677)&gt;=Input!$Y$7,0, M493+M525+M557)</f>
        <v>0</v>
      </c>
      <c r="N677" s="157">
        <f>IF(COUNT($H677:M677)&gt;=Input!$Y$7,0, N493+N525+N557)</f>
        <v>0</v>
      </c>
      <c r="O677" s="157">
        <f>IF(COUNT($H677:N677)&gt;=Input!$Y$7,0, O493+O525+O557)</f>
        <v>0</v>
      </c>
      <c r="P677" s="157">
        <f>IF(COUNT($H677:O677)&gt;=Input!$Y$7,0, P493+P525+P557)</f>
        <v>0</v>
      </c>
      <c r="Q677" s="157">
        <f>IF(COUNT($H677:P677)&gt;=Input!$Y$7,0, Q493+Q525+Q557)</f>
        <v>0</v>
      </c>
      <c r="R677" s="104"/>
      <c r="S677" s="104"/>
      <c r="T677" s="104"/>
      <c r="U677" s="104"/>
      <c r="V677" s="104"/>
      <c r="W677" s="104"/>
      <c r="X677" s="104"/>
      <c r="Y677" s="104"/>
      <c r="Z677" s="104"/>
      <c r="AA677" s="231"/>
      <c r="AB677" s="231"/>
      <c r="AC677" s="231"/>
      <c r="AD677" s="231"/>
      <c r="AE677" s="231"/>
      <c r="AF677" s="231"/>
      <c r="AG677" s="231"/>
      <c r="AH677" s="231"/>
      <c r="AI677" s="231"/>
      <c r="AJ677" s="231"/>
      <c r="AK677" s="231"/>
      <c r="AL677" s="231"/>
      <c r="AM677" s="231"/>
      <c r="AN677" s="231"/>
      <c r="AO677" s="231"/>
      <c r="AP677" s="231"/>
      <c r="AQ677" s="231"/>
      <c r="AR677" s="231"/>
      <c r="AS677" s="231"/>
      <c r="AT677" s="231"/>
      <c r="AU677" s="231"/>
      <c r="AV677" s="231"/>
      <c r="AW677" s="231"/>
      <c r="AX677" s="231"/>
      <c r="AY677" s="231"/>
      <c r="AZ677" s="231"/>
      <c r="BA677" s="231"/>
      <c r="BB677" s="231"/>
      <c r="BC677" s="231"/>
      <c r="BD677" s="231"/>
      <c r="BE677" s="231"/>
      <c r="BF677" s="231"/>
      <c r="BG677" s="231"/>
      <c r="BH677" s="231"/>
      <c r="BI677" s="231"/>
      <c r="BJ677" s="231"/>
      <c r="BK677" s="224"/>
      <c r="BL677" s="224"/>
    </row>
    <row r="678" spans="1:64" hidden="1" outlineLevel="1">
      <c r="A678" s="9"/>
      <c r="B678" s="12"/>
      <c r="C678" s="44"/>
      <c r="D678" s="271" t="str">
        <f>Asset3</f>
        <v>Standard metering</v>
      </c>
      <c r="E678" s="12"/>
      <c r="F678" s="12"/>
      <c r="G678" s="204">
        <f t="shared" si="55"/>
        <v>15.790380770985777</v>
      </c>
      <c r="H678" s="157">
        <f t="shared" si="56"/>
        <v>0</v>
      </c>
      <c r="I678" s="157">
        <f t="shared" si="56"/>
        <v>0</v>
      </c>
      <c r="J678" s="157">
        <f t="shared" si="56"/>
        <v>0</v>
      </c>
      <c r="K678" s="157">
        <f t="shared" si="56"/>
        <v>0</v>
      </c>
      <c r="L678" s="157">
        <f t="shared" si="56"/>
        <v>0</v>
      </c>
      <c r="M678" s="157">
        <f>IF(COUNT($H678:L678)&gt;=Input!$Y$7,0, M494+M526+M558)</f>
        <v>0</v>
      </c>
      <c r="N678" s="157">
        <f>IF(COUNT($H678:M678)&gt;=Input!$Y$7,0, N494+N526+N558)</f>
        <v>0</v>
      </c>
      <c r="O678" s="157">
        <f>IF(COUNT($H678:N678)&gt;=Input!$Y$7,0, O494+O526+O558)</f>
        <v>0</v>
      </c>
      <c r="P678" s="157">
        <f>IF(COUNT($H678:O678)&gt;=Input!$Y$7,0, P494+P526+P558)</f>
        <v>0</v>
      </c>
      <c r="Q678" s="157">
        <f>IF(COUNT($H678:P678)&gt;=Input!$Y$7,0, Q494+Q526+Q558)</f>
        <v>0</v>
      </c>
      <c r="R678" s="104"/>
      <c r="S678" s="104"/>
      <c r="T678" s="104"/>
      <c r="U678" s="104"/>
      <c r="V678" s="104"/>
      <c r="W678" s="104"/>
      <c r="X678" s="104"/>
      <c r="Y678" s="104"/>
      <c r="Z678" s="104"/>
      <c r="AA678" s="231"/>
      <c r="AB678" s="231"/>
      <c r="AC678" s="231"/>
      <c r="AD678" s="231"/>
      <c r="AE678" s="231"/>
      <c r="AF678" s="231"/>
      <c r="AG678" s="231"/>
      <c r="AH678" s="231"/>
      <c r="AI678" s="231"/>
      <c r="AJ678" s="231"/>
      <c r="AK678" s="231"/>
      <c r="AL678" s="231"/>
      <c r="AM678" s="231"/>
      <c r="AN678" s="231"/>
      <c r="AO678" s="231"/>
      <c r="AP678" s="231"/>
      <c r="AQ678" s="231"/>
      <c r="AR678" s="231"/>
      <c r="AS678" s="231"/>
      <c r="AT678" s="231"/>
      <c r="AU678" s="231"/>
      <c r="AV678" s="231"/>
      <c r="AW678" s="231"/>
      <c r="AX678" s="231"/>
      <c r="AY678" s="231"/>
      <c r="AZ678" s="231"/>
      <c r="BA678" s="231"/>
      <c r="BB678" s="231"/>
      <c r="BC678" s="231"/>
      <c r="BD678" s="231"/>
      <c r="BE678" s="231"/>
      <c r="BF678" s="231"/>
      <c r="BG678" s="231"/>
      <c r="BH678" s="231"/>
      <c r="BI678" s="231"/>
      <c r="BJ678" s="231"/>
      <c r="BK678" s="224"/>
      <c r="BL678" s="224"/>
    </row>
    <row r="679" spans="1:64" hidden="1" outlineLevel="1">
      <c r="A679" s="9"/>
      <c r="B679" s="12"/>
      <c r="C679" s="44"/>
      <c r="D679" s="271" t="str">
        <f>Asset4</f>
        <v>Public lighting</v>
      </c>
      <c r="E679" s="12"/>
      <c r="F679" s="12"/>
      <c r="G679" s="204">
        <f t="shared" si="55"/>
        <v>0.38897486718899543</v>
      </c>
      <c r="H679" s="157">
        <f t="shared" si="56"/>
        <v>0</v>
      </c>
      <c r="I679" s="157">
        <f t="shared" si="56"/>
        <v>0</v>
      </c>
      <c r="J679" s="157">
        <f t="shared" si="56"/>
        <v>0</v>
      </c>
      <c r="K679" s="157">
        <f t="shared" si="56"/>
        <v>0</v>
      </c>
      <c r="L679" s="157">
        <f t="shared" si="56"/>
        <v>0</v>
      </c>
      <c r="M679" s="157">
        <f>IF(COUNT($H679:L679)&gt;=Input!$Y$7,0, M495+M527+M559)</f>
        <v>0</v>
      </c>
      <c r="N679" s="157">
        <f>IF(COUNT($H679:M679)&gt;=Input!$Y$7,0, N495+N527+N559)</f>
        <v>0</v>
      </c>
      <c r="O679" s="157">
        <f>IF(COUNT($H679:N679)&gt;=Input!$Y$7,0, O495+O527+O559)</f>
        <v>0</v>
      </c>
      <c r="P679" s="157">
        <f>IF(COUNT($H679:O679)&gt;=Input!$Y$7,0, P495+P527+P559)</f>
        <v>0</v>
      </c>
      <c r="Q679" s="157">
        <f>IF(COUNT($H679:P679)&gt;=Input!$Y$7,0, Q495+Q527+Q559)</f>
        <v>0</v>
      </c>
      <c r="R679" s="104"/>
      <c r="S679" s="104"/>
      <c r="T679" s="104"/>
      <c r="U679" s="104"/>
      <c r="V679" s="104"/>
      <c r="W679" s="104"/>
      <c r="X679" s="104"/>
      <c r="Y679" s="104"/>
      <c r="Z679" s="104"/>
      <c r="AA679" s="231"/>
      <c r="AB679" s="231"/>
      <c r="AC679" s="231"/>
      <c r="AD679" s="231"/>
      <c r="AE679" s="231"/>
      <c r="AF679" s="231"/>
      <c r="AG679" s="231"/>
      <c r="AH679" s="231"/>
      <c r="AI679" s="231"/>
      <c r="AJ679" s="231"/>
      <c r="AK679" s="231"/>
      <c r="AL679" s="231"/>
      <c r="AM679" s="231"/>
      <c r="AN679" s="231"/>
      <c r="AO679" s="231"/>
      <c r="AP679" s="231"/>
      <c r="AQ679" s="231"/>
      <c r="AR679" s="231"/>
      <c r="AS679" s="231"/>
      <c r="AT679" s="231"/>
      <c r="AU679" s="231"/>
      <c r="AV679" s="231"/>
      <c r="AW679" s="231"/>
      <c r="AX679" s="231"/>
      <c r="AY679" s="231"/>
      <c r="AZ679" s="231"/>
      <c r="BA679" s="231"/>
      <c r="BB679" s="231"/>
      <c r="BC679" s="231"/>
      <c r="BD679" s="231"/>
      <c r="BE679" s="231"/>
      <c r="BF679" s="231"/>
      <c r="BG679" s="231"/>
      <c r="BH679" s="231"/>
      <c r="BI679" s="231"/>
      <c r="BJ679" s="231"/>
      <c r="BK679" s="224"/>
      <c r="BL679" s="224"/>
    </row>
    <row r="680" spans="1:64" hidden="1" outlineLevel="1">
      <c r="A680" s="9"/>
      <c r="B680" s="12"/>
      <c r="C680" s="44"/>
      <c r="D680" s="271" t="str">
        <f>Asset5</f>
        <v>SCADA/Network control</v>
      </c>
      <c r="E680" s="12"/>
      <c r="F680" s="12"/>
      <c r="G680" s="204">
        <f t="shared" si="55"/>
        <v>1.6653345369377348E-15</v>
      </c>
      <c r="H680" s="157">
        <f t="shared" si="56"/>
        <v>1.3307440827500225</v>
      </c>
      <c r="I680" s="157">
        <f t="shared" si="56"/>
        <v>7.3256044531991531</v>
      </c>
      <c r="J680" s="157">
        <f t="shared" si="56"/>
        <v>7.9328362090936526</v>
      </c>
      <c r="K680" s="157">
        <f t="shared" si="56"/>
        <v>6.8785496287485728</v>
      </c>
      <c r="L680" s="157">
        <f t="shared" si="56"/>
        <v>7.8869050481230296</v>
      </c>
      <c r="M680" s="157">
        <f>IF(COUNT($H680:L680)&gt;=Input!$Y$7,0, M496+M528+M560)</f>
        <v>0</v>
      </c>
      <c r="N680" s="157">
        <f>IF(COUNT($H680:M680)&gt;=Input!$Y$7,0, N496+N528+N560)</f>
        <v>0</v>
      </c>
      <c r="O680" s="157">
        <f>IF(COUNT($H680:N680)&gt;=Input!$Y$7,0, O496+O528+O560)</f>
        <v>0</v>
      </c>
      <c r="P680" s="157">
        <f>IF(COUNT($H680:O680)&gt;=Input!$Y$7,0, P496+P528+P560)</f>
        <v>0</v>
      </c>
      <c r="Q680" s="157">
        <f>IF(COUNT($H680:P680)&gt;=Input!$Y$7,0, Q496+Q528+Q560)</f>
        <v>0</v>
      </c>
      <c r="R680" s="104"/>
      <c r="S680" s="104"/>
      <c r="T680" s="104"/>
      <c r="U680" s="104"/>
      <c r="V680" s="104"/>
      <c r="W680" s="104"/>
      <c r="X680" s="104"/>
      <c r="Y680" s="104"/>
      <c r="Z680" s="104"/>
      <c r="AA680" s="231"/>
      <c r="AB680" s="231"/>
      <c r="AC680" s="231"/>
      <c r="AD680" s="231"/>
      <c r="AE680" s="231"/>
      <c r="AF680" s="231"/>
      <c r="AG680" s="231"/>
      <c r="AH680" s="231"/>
      <c r="AI680" s="231"/>
      <c r="AJ680" s="231"/>
      <c r="AK680" s="231"/>
      <c r="AL680" s="231"/>
      <c r="AM680" s="231"/>
      <c r="AN680" s="231"/>
      <c r="AO680" s="231"/>
      <c r="AP680" s="231"/>
      <c r="AQ680" s="231"/>
      <c r="AR680" s="231"/>
      <c r="AS680" s="231"/>
      <c r="AT680" s="231"/>
      <c r="AU680" s="231"/>
      <c r="AV680" s="231"/>
      <c r="AW680" s="231"/>
      <c r="AX680" s="231"/>
      <c r="AY680" s="231"/>
      <c r="AZ680" s="231"/>
      <c r="BA680" s="231"/>
      <c r="BB680" s="231"/>
      <c r="BC680" s="231"/>
      <c r="BD680" s="231"/>
      <c r="BE680" s="231"/>
      <c r="BF680" s="231"/>
      <c r="BG680" s="231"/>
      <c r="BH680" s="231"/>
      <c r="BI680" s="231"/>
      <c r="BJ680" s="231"/>
      <c r="BK680" s="224"/>
      <c r="BL680" s="224"/>
    </row>
    <row r="681" spans="1:64" hidden="1" outlineLevel="1">
      <c r="A681" s="9"/>
      <c r="B681" s="12"/>
      <c r="C681" s="44"/>
      <c r="D681" s="271" t="str">
        <f>Asset6</f>
        <v>Non-network general assets - IT</v>
      </c>
      <c r="E681" s="12"/>
      <c r="F681" s="12"/>
      <c r="G681" s="204">
        <f t="shared" si="55"/>
        <v>89.319417816228679</v>
      </c>
      <c r="H681" s="157">
        <f t="shared" si="56"/>
        <v>114.15739811789442</v>
      </c>
      <c r="I681" s="157">
        <f t="shared" si="56"/>
        <v>128.48028010642349</v>
      </c>
      <c r="J681" s="157">
        <f t="shared" si="56"/>
        <v>135.38391359049615</v>
      </c>
      <c r="K681" s="157">
        <f t="shared" si="56"/>
        <v>128.44507791683236</v>
      </c>
      <c r="L681" s="157">
        <f t="shared" si="56"/>
        <v>112.75206846112252</v>
      </c>
      <c r="M681" s="157">
        <f>IF(COUNT($H681:L681)&gt;=Input!$Y$7,0, M497+M529+M561)</f>
        <v>0</v>
      </c>
      <c r="N681" s="157">
        <f>IF(COUNT($H681:M681)&gt;=Input!$Y$7,0, N497+N529+N561)</f>
        <v>0</v>
      </c>
      <c r="O681" s="157">
        <f>IF(COUNT($H681:N681)&gt;=Input!$Y$7,0, O497+O529+O561)</f>
        <v>0</v>
      </c>
      <c r="P681" s="157">
        <f>IF(COUNT($H681:O681)&gt;=Input!$Y$7,0, P497+P529+P561)</f>
        <v>0</v>
      </c>
      <c r="Q681" s="157">
        <f>IF(COUNT($H681:P681)&gt;=Input!$Y$7,0, Q497+Q529+Q561)</f>
        <v>0</v>
      </c>
      <c r="R681" s="104"/>
      <c r="S681" s="104"/>
      <c r="T681" s="104"/>
      <c r="U681" s="104"/>
      <c r="V681" s="104"/>
      <c r="W681" s="104"/>
      <c r="X681" s="104"/>
      <c r="Y681" s="104"/>
      <c r="Z681" s="104"/>
      <c r="AA681" s="231"/>
      <c r="AB681" s="231"/>
      <c r="AC681" s="231"/>
      <c r="AD681" s="231"/>
      <c r="AE681" s="231"/>
      <c r="AF681" s="231"/>
      <c r="AG681" s="231"/>
      <c r="AH681" s="231"/>
      <c r="AI681" s="231"/>
      <c r="AJ681" s="231"/>
      <c r="AK681" s="231"/>
      <c r="AL681" s="231"/>
      <c r="AM681" s="231"/>
      <c r="AN681" s="231"/>
      <c r="AO681" s="231"/>
      <c r="AP681" s="231"/>
      <c r="AQ681" s="231"/>
      <c r="AR681" s="231"/>
      <c r="AS681" s="231"/>
      <c r="AT681" s="231"/>
      <c r="AU681" s="231"/>
      <c r="AV681" s="231"/>
      <c r="AW681" s="231"/>
      <c r="AX681" s="231"/>
      <c r="AY681" s="231"/>
      <c r="AZ681" s="231"/>
      <c r="BA681" s="231"/>
      <c r="BB681" s="231"/>
      <c r="BC681" s="231"/>
      <c r="BD681" s="231"/>
      <c r="BE681" s="231"/>
      <c r="BF681" s="231"/>
      <c r="BG681" s="231"/>
      <c r="BH681" s="231"/>
      <c r="BI681" s="231"/>
      <c r="BJ681" s="231"/>
      <c r="BK681" s="224"/>
      <c r="BL681" s="224"/>
    </row>
    <row r="682" spans="1:64" hidden="1" outlineLevel="1">
      <c r="A682" s="9"/>
      <c r="B682" s="12"/>
      <c r="C682" s="44"/>
      <c r="D682" s="271" t="str">
        <f>Asset7</f>
        <v>Non-network general assets - Other</v>
      </c>
      <c r="E682" s="12"/>
      <c r="F682" s="12"/>
      <c r="G682" s="204">
        <f t="shared" si="55"/>
        <v>34.275644401485252</v>
      </c>
      <c r="H682" s="157">
        <f t="shared" si="56"/>
        <v>5.1531960739867984</v>
      </c>
      <c r="I682" s="157">
        <f t="shared" si="56"/>
        <v>8.1542335939644737</v>
      </c>
      <c r="J682" s="157">
        <f t="shared" si="56"/>
        <v>12.17382864237941</v>
      </c>
      <c r="K682" s="157">
        <f t="shared" si="56"/>
        <v>13.956729909764542</v>
      </c>
      <c r="L682" s="157">
        <f t="shared" si="56"/>
        <v>12.695230467373385</v>
      </c>
      <c r="M682" s="157">
        <f>IF(COUNT($H682:L682)&gt;=Input!$Y$7,0, M498+M530+M562)</f>
        <v>0</v>
      </c>
      <c r="N682" s="157">
        <f>IF(COUNT($H682:M682)&gt;=Input!$Y$7,0, N498+N530+N562)</f>
        <v>0</v>
      </c>
      <c r="O682" s="157">
        <f>IF(COUNT($H682:N682)&gt;=Input!$Y$7,0, O498+O530+O562)</f>
        <v>0</v>
      </c>
      <c r="P682" s="157">
        <f>IF(COUNT($H682:O682)&gt;=Input!$Y$7,0, P498+P530+P562)</f>
        <v>0</v>
      </c>
      <c r="Q682" s="157">
        <f>IF(COUNT($H682:P682)&gt;=Input!$Y$7,0, Q498+Q530+Q562)</f>
        <v>0</v>
      </c>
      <c r="R682" s="104"/>
      <c r="S682" s="104"/>
      <c r="T682" s="104"/>
      <c r="U682" s="104"/>
      <c r="V682" s="104"/>
      <c r="W682" s="104"/>
      <c r="X682" s="104"/>
      <c r="Y682" s="104"/>
      <c r="Z682" s="104"/>
      <c r="AA682" s="231"/>
      <c r="AB682" s="231"/>
      <c r="AC682" s="231"/>
      <c r="AD682" s="231"/>
      <c r="AE682" s="231"/>
      <c r="AF682" s="231"/>
      <c r="AG682" s="231"/>
      <c r="AH682" s="231"/>
      <c r="AI682" s="231"/>
      <c r="AJ682" s="231"/>
      <c r="AK682" s="231"/>
      <c r="AL682" s="231"/>
      <c r="AM682" s="231"/>
      <c r="AN682" s="231"/>
      <c r="AO682" s="231"/>
      <c r="AP682" s="231"/>
      <c r="AQ682" s="231"/>
      <c r="AR682" s="231"/>
      <c r="AS682" s="231"/>
      <c r="AT682" s="231"/>
      <c r="AU682" s="231"/>
      <c r="AV682" s="231"/>
      <c r="AW682" s="231"/>
      <c r="AX682" s="231"/>
      <c r="AY682" s="231"/>
      <c r="AZ682" s="231"/>
      <c r="BA682" s="231"/>
      <c r="BB682" s="231"/>
      <c r="BC682" s="231"/>
      <c r="BD682" s="231"/>
      <c r="BE682" s="231"/>
      <c r="BF682" s="231"/>
      <c r="BG682" s="231"/>
      <c r="BH682" s="231"/>
      <c r="BI682" s="231"/>
      <c r="BJ682" s="231"/>
      <c r="BK682" s="224"/>
      <c r="BL682" s="224"/>
    </row>
    <row r="683" spans="1:64" hidden="1" outlineLevel="1">
      <c r="A683" s="9"/>
      <c r="B683" s="12"/>
      <c r="C683" s="44"/>
      <c r="D683" s="271" t="str">
        <f>Asset8</f>
        <v>Equity Raising Costs</v>
      </c>
      <c r="E683" s="12"/>
      <c r="F683" s="12"/>
      <c r="G683" s="204">
        <f t="shared" si="55"/>
        <v>0</v>
      </c>
      <c r="H683" s="157">
        <f t="shared" si="56"/>
        <v>1.5553441667922454</v>
      </c>
      <c r="I683" s="157">
        <f t="shared" si="56"/>
        <v>1.5754463655724007</v>
      </c>
      <c r="J683" s="157">
        <f t="shared" si="56"/>
        <v>1.5716796789597247</v>
      </c>
      <c r="K683" s="157">
        <f t="shared" si="56"/>
        <v>1.5695427875524555</v>
      </c>
      <c r="L683" s="157">
        <f t="shared" si="56"/>
        <v>1.5688274079042255</v>
      </c>
      <c r="M683" s="157">
        <f>IF(COUNT($H683:L683)&gt;=Input!$Y$7,0, M499+M531+M563)</f>
        <v>0</v>
      </c>
      <c r="N683" s="157">
        <f>IF(COUNT($H683:M683)&gt;=Input!$Y$7,0, N499+N531+N563)</f>
        <v>0</v>
      </c>
      <c r="O683" s="157">
        <f>IF(COUNT($H683:N683)&gt;=Input!$Y$7,0, O499+O531+O563)</f>
        <v>0</v>
      </c>
      <c r="P683" s="157">
        <f>IF(COUNT($H683:O683)&gt;=Input!$Y$7,0, P499+P531+P563)</f>
        <v>0</v>
      </c>
      <c r="Q683" s="157">
        <f>IF(COUNT($H683:P683)&gt;=Input!$Y$7,0, Q499+Q531+Q563)</f>
        <v>0</v>
      </c>
      <c r="R683" s="104"/>
      <c r="S683" s="104"/>
      <c r="T683" s="104"/>
      <c r="U683" s="104"/>
      <c r="V683" s="104"/>
      <c r="W683" s="104"/>
      <c r="X683" s="104"/>
      <c r="Y683" s="104"/>
      <c r="Z683" s="104"/>
      <c r="AA683" s="231"/>
      <c r="AB683" s="231"/>
      <c r="AC683" s="231"/>
      <c r="AD683" s="231"/>
      <c r="AE683" s="231"/>
      <c r="AF683" s="231"/>
      <c r="AG683" s="231"/>
      <c r="AH683" s="231"/>
      <c r="AI683" s="231"/>
      <c r="AJ683" s="231"/>
      <c r="AK683" s="231"/>
      <c r="AL683" s="231"/>
      <c r="AM683" s="231"/>
      <c r="AN683" s="231"/>
      <c r="AO683" s="231"/>
      <c r="AP683" s="231"/>
      <c r="AQ683" s="231"/>
      <c r="AR683" s="231"/>
      <c r="AS683" s="231"/>
      <c r="AT683" s="231"/>
      <c r="AU683" s="231"/>
      <c r="AV683" s="231"/>
      <c r="AW683" s="231"/>
      <c r="AX683" s="231"/>
      <c r="AY683" s="231"/>
      <c r="AZ683" s="231"/>
      <c r="BA683" s="231"/>
      <c r="BB683" s="231"/>
      <c r="BC683" s="231"/>
      <c r="BD683" s="231"/>
      <c r="BE683" s="231"/>
      <c r="BF683" s="231"/>
      <c r="BG683" s="231"/>
      <c r="BH683" s="231"/>
      <c r="BI683" s="231"/>
      <c r="BJ683" s="231"/>
      <c r="BK683" s="224"/>
      <c r="BL683" s="224"/>
    </row>
    <row r="684" spans="1:64" hidden="1" outlineLevel="1">
      <c r="A684" s="9"/>
      <c r="B684" s="12"/>
      <c r="C684" s="44"/>
      <c r="D684" s="271">
        <f>Asset9</f>
        <v>0</v>
      </c>
      <c r="E684" s="12"/>
      <c r="F684" s="12"/>
      <c r="G684" s="204">
        <f t="shared" si="55"/>
        <v>0</v>
      </c>
      <c r="H684" s="157">
        <f t="shared" si="56"/>
        <v>0</v>
      </c>
      <c r="I684" s="157">
        <f t="shared" si="56"/>
        <v>0</v>
      </c>
      <c r="J684" s="157">
        <f t="shared" si="56"/>
        <v>0</v>
      </c>
      <c r="K684" s="157">
        <f t="shared" si="56"/>
        <v>0</v>
      </c>
      <c r="L684" s="157">
        <f t="shared" si="56"/>
        <v>0</v>
      </c>
      <c r="M684" s="157">
        <f>IF(COUNT($H684:L684)&gt;=Input!$Y$7,0, M500+M532+M564)</f>
        <v>0</v>
      </c>
      <c r="N684" s="157">
        <f>IF(COUNT($H684:M684)&gt;=Input!$Y$7,0, N500+N532+N564)</f>
        <v>0</v>
      </c>
      <c r="O684" s="157">
        <f>IF(COUNT($H684:N684)&gt;=Input!$Y$7,0, O500+O532+O564)</f>
        <v>0</v>
      </c>
      <c r="P684" s="157">
        <f>IF(COUNT($H684:O684)&gt;=Input!$Y$7,0, P500+P532+P564)</f>
        <v>0</v>
      </c>
      <c r="Q684" s="157">
        <f>IF(COUNT($H684:P684)&gt;=Input!$Y$7,0, Q500+Q532+Q564)</f>
        <v>0</v>
      </c>
      <c r="R684" s="104"/>
      <c r="S684" s="104"/>
      <c r="T684" s="104"/>
      <c r="U684" s="104"/>
      <c r="V684" s="104"/>
      <c r="W684" s="104"/>
      <c r="X684" s="104"/>
      <c r="Y684" s="104"/>
      <c r="Z684" s="104"/>
      <c r="AA684" s="231"/>
      <c r="AB684" s="231"/>
      <c r="AC684" s="231"/>
      <c r="AD684" s="231"/>
      <c r="AE684" s="231"/>
      <c r="AF684" s="231"/>
      <c r="AG684" s="231"/>
      <c r="AH684" s="231"/>
      <c r="AI684" s="231"/>
      <c r="AJ684" s="231"/>
      <c r="AK684" s="231"/>
      <c r="AL684" s="231"/>
      <c r="AM684" s="231"/>
      <c r="AN684" s="231"/>
      <c r="AO684" s="231"/>
      <c r="AP684" s="231"/>
      <c r="AQ684" s="231"/>
      <c r="AR684" s="231"/>
      <c r="AS684" s="231"/>
      <c r="AT684" s="231"/>
      <c r="AU684" s="231"/>
      <c r="AV684" s="231"/>
      <c r="AW684" s="231"/>
      <c r="AX684" s="231"/>
      <c r="AY684" s="231"/>
      <c r="AZ684" s="231"/>
      <c r="BA684" s="231"/>
      <c r="BB684" s="231"/>
      <c r="BC684" s="231"/>
      <c r="BD684" s="231"/>
      <c r="BE684" s="231"/>
      <c r="BF684" s="231"/>
      <c r="BG684" s="231"/>
      <c r="BH684" s="231"/>
      <c r="BI684" s="231"/>
      <c r="BJ684" s="231"/>
      <c r="BK684" s="224"/>
      <c r="BL684" s="224"/>
    </row>
    <row r="685" spans="1:64" hidden="1" outlineLevel="1">
      <c r="A685" s="9"/>
      <c r="B685" s="12"/>
      <c r="C685" s="44"/>
      <c r="D685" s="271">
        <f>Asset10</f>
        <v>0</v>
      </c>
      <c r="E685" s="12"/>
      <c r="F685" s="12"/>
      <c r="G685" s="204">
        <f t="shared" si="55"/>
        <v>0</v>
      </c>
      <c r="H685" s="157">
        <f t="shared" si="56"/>
        <v>0</v>
      </c>
      <c r="I685" s="157">
        <f t="shared" si="56"/>
        <v>0</v>
      </c>
      <c r="J685" s="157">
        <f t="shared" si="56"/>
        <v>0</v>
      </c>
      <c r="K685" s="157">
        <f t="shared" si="56"/>
        <v>0</v>
      </c>
      <c r="L685" s="157">
        <f t="shared" si="56"/>
        <v>0</v>
      </c>
      <c r="M685" s="157">
        <f>IF(COUNT($H685:L685)&gt;=Input!$Y$7,0, M501+M533+M565)</f>
        <v>0</v>
      </c>
      <c r="N685" s="157">
        <f>IF(COUNT($H685:M685)&gt;=Input!$Y$7,0, N501+N533+N565)</f>
        <v>0</v>
      </c>
      <c r="O685" s="157">
        <f>IF(COUNT($H685:N685)&gt;=Input!$Y$7,0, O501+O533+O565)</f>
        <v>0</v>
      </c>
      <c r="P685" s="157">
        <f>IF(COUNT($H685:O685)&gt;=Input!$Y$7,0, P501+P533+P565)</f>
        <v>0</v>
      </c>
      <c r="Q685" s="157">
        <f>IF(COUNT($H685:P685)&gt;=Input!$Y$7,0, Q501+Q533+Q565)</f>
        <v>0</v>
      </c>
      <c r="R685" s="104"/>
      <c r="S685" s="104"/>
      <c r="T685" s="104"/>
      <c r="U685" s="104"/>
      <c r="V685" s="104"/>
      <c r="W685" s="104"/>
      <c r="X685" s="104"/>
      <c r="Y685" s="104"/>
      <c r="Z685" s="104"/>
      <c r="AA685" s="231"/>
      <c r="AB685" s="231"/>
      <c r="AC685" s="231"/>
      <c r="AD685" s="231"/>
      <c r="AE685" s="231"/>
      <c r="AF685" s="231"/>
      <c r="AG685" s="231"/>
      <c r="AH685" s="231"/>
      <c r="AI685" s="231"/>
      <c r="AJ685" s="231"/>
      <c r="AK685" s="231"/>
      <c r="AL685" s="231"/>
      <c r="AM685" s="231"/>
      <c r="AN685" s="231"/>
      <c r="AO685" s="231"/>
      <c r="AP685" s="231"/>
      <c r="AQ685" s="231"/>
      <c r="AR685" s="231"/>
      <c r="AS685" s="231"/>
      <c r="AT685" s="231"/>
      <c r="AU685" s="231"/>
      <c r="AV685" s="231"/>
      <c r="AW685" s="231"/>
      <c r="AX685" s="231"/>
      <c r="AY685" s="231"/>
      <c r="AZ685" s="231"/>
      <c r="BA685" s="231"/>
      <c r="BB685" s="231"/>
      <c r="BC685" s="231"/>
      <c r="BD685" s="231"/>
      <c r="BE685" s="231"/>
      <c r="BF685" s="231"/>
      <c r="BG685" s="231"/>
      <c r="BH685" s="231"/>
      <c r="BI685" s="231"/>
      <c r="BJ685" s="231"/>
      <c r="BK685" s="224"/>
      <c r="BL685" s="224"/>
    </row>
    <row r="686" spans="1:64" hidden="1" outlineLevel="1">
      <c r="A686" s="9"/>
      <c r="B686" s="12"/>
      <c r="C686" s="44"/>
      <c r="D686" s="271">
        <f>Asset11</f>
        <v>0</v>
      </c>
      <c r="E686" s="12"/>
      <c r="F686" s="12"/>
      <c r="G686" s="204">
        <f t="shared" si="55"/>
        <v>0</v>
      </c>
      <c r="H686" s="157">
        <f t="shared" ref="H686:L695" si="57">H502+H534+H566</f>
        <v>0</v>
      </c>
      <c r="I686" s="157">
        <f t="shared" si="57"/>
        <v>0</v>
      </c>
      <c r="J686" s="157">
        <f t="shared" si="57"/>
        <v>0</v>
      </c>
      <c r="K686" s="157">
        <f t="shared" si="57"/>
        <v>0</v>
      </c>
      <c r="L686" s="157">
        <f t="shared" si="57"/>
        <v>0</v>
      </c>
      <c r="M686" s="157">
        <f>IF(COUNT($H686:L686)&gt;=Input!$Y$7,0, M502+M534+M566)</f>
        <v>0</v>
      </c>
      <c r="N686" s="157">
        <f>IF(COUNT($H686:M686)&gt;=Input!$Y$7,0, N502+N534+N566)</f>
        <v>0</v>
      </c>
      <c r="O686" s="157">
        <f>IF(COUNT($H686:N686)&gt;=Input!$Y$7,0, O502+O534+O566)</f>
        <v>0</v>
      </c>
      <c r="P686" s="157">
        <f>IF(COUNT($H686:O686)&gt;=Input!$Y$7,0, P502+P534+P566)</f>
        <v>0</v>
      </c>
      <c r="Q686" s="157">
        <f>IF(COUNT($H686:P686)&gt;=Input!$Y$7,0, Q502+Q534+Q566)</f>
        <v>0</v>
      </c>
      <c r="R686" s="104"/>
      <c r="S686" s="104"/>
      <c r="T686" s="104"/>
      <c r="U686" s="104"/>
      <c r="V686" s="104"/>
      <c r="W686" s="104"/>
      <c r="X686" s="104"/>
      <c r="Y686" s="104"/>
      <c r="Z686" s="104"/>
      <c r="AA686" s="231"/>
      <c r="AB686" s="231"/>
      <c r="AC686" s="231"/>
      <c r="AD686" s="231"/>
      <c r="AE686" s="231"/>
      <c r="AF686" s="231"/>
      <c r="AG686" s="231"/>
      <c r="AH686" s="231"/>
      <c r="AI686" s="231"/>
      <c r="AJ686" s="231"/>
      <c r="AK686" s="231"/>
      <c r="AL686" s="231"/>
      <c r="AM686" s="231"/>
      <c r="AN686" s="231"/>
      <c r="AO686" s="231"/>
      <c r="AP686" s="231"/>
      <c r="AQ686" s="231"/>
      <c r="AR686" s="231"/>
      <c r="AS686" s="231"/>
      <c r="AT686" s="231"/>
      <c r="AU686" s="231"/>
      <c r="AV686" s="231"/>
      <c r="AW686" s="231"/>
      <c r="AX686" s="231"/>
      <c r="AY686" s="231"/>
      <c r="AZ686" s="231"/>
      <c r="BA686" s="231"/>
      <c r="BB686" s="231"/>
      <c r="BC686" s="231"/>
      <c r="BD686" s="231"/>
      <c r="BE686" s="231"/>
      <c r="BF686" s="231"/>
      <c r="BG686" s="231"/>
      <c r="BH686" s="231"/>
      <c r="BI686" s="231"/>
      <c r="BJ686" s="231"/>
      <c r="BK686" s="224"/>
      <c r="BL686" s="224"/>
    </row>
    <row r="687" spans="1:64" hidden="1" outlineLevel="1">
      <c r="A687" s="9"/>
      <c r="B687" s="12"/>
      <c r="C687" s="44"/>
      <c r="D687" s="271">
        <f>Asset12</f>
        <v>0</v>
      </c>
      <c r="E687" s="12"/>
      <c r="F687" s="12"/>
      <c r="G687" s="204">
        <f t="shared" si="55"/>
        <v>0</v>
      </c>
      <c r="H687" s="157">
        <f t="shared" si="57"/>
        <v>0</v>
      </c>
      <c r="I687" s="157">
        <f t="shared" si="57"/>
        <v>0</v>
      </c>
      <c r="J687" s="157">
        <f t="shared" si="57"/>
        <v>0</v>
      </c>
      <c r="K687" s="157">
        <f t="shared" si="57"/>
        <v>0</v>
      </c>
      <c r="L687" s="157">
        <f t="shared" si="57"/>
        <v>0</v>
      </c>
      <c r="M687" s="157">
        <f>IF(COUNT($H687:L687)&gt;=Input!$Y$7,0, M503+M535+M567)</f>
        <v>0</v>
      </c>
      <c r="N687" s="157">
        <f>IF(COUNT($H687:M687)&gt;=Input!$Y$7,0, N503+N535+N567)</f>
        <v>0</v>
      </c>
      <c r="O687" s="157">
        <f>IF(COUNT($H687:N687)&gt;=Input!$Y$7,0, O503+O535+O567)</f>
        <v>0</v>
      </c>
      <c r="P687" s="157">
        <f>IF(COUNT($H687:O687)&gt;=Input!$Y$7,0, P503+P535+P567)</f>
        <v>0</v>
      </c>
      <c r="Q687" s="157">
        <f>IF(COUNT($H687:P687)&gt;=Input!$Y$7,0, Q503+Q535+Q567)</f>
        <v>0</v>
      </c>
      <c r="R687" s="104"/>
      <c r="S687" s="104"/>
      <c r="T687" s="104"/>
      <c r="U687" s="104"/>
      <c r="V687" s="104"/>
      <c r="W687" s="104"/>
      <c r="X687" s="104"/>
      <c r="Y687" s="104"/>
      <c r="Z687" s="104"/>
      <c r="AA687" s="231"/>
      <c r="AB687" s="231"/>
      <c r="AC687" s="231"/>
      <c r="AD687" s="231"/>
      <c r="AE687" s="231"/>
      <c r="AF687" s="231"/>
      <c r="AG687" s="231"/>
      <c r="AH687" s="231"/>
      <c r="AI687" s="231"/>
      <c r="AJ687" s="231"/>
      <c r="AK687" s="231"/>
      <c r="AL687" s="231"/>
      <c r="AM687" s="231"/>
      <c r="AN687" s="231"/>
      <c r="AO687" s="231"/>
      <c r="AP687" s="231"/>
      <c r="AQ687" s="231"/>
      <c r="AR687" s="231"/>
      <c r="AS687" s="231"/>
      <c r="AT687" s="231"/>
      <c r="AU687" s="231"/>
      <c r="AV687" s="231"/>
      <c r="AW687" s="231"/>
      <c r="AX687" s="231"/>
      <c r="AY687" s="231"/>
      <c r="AZ687" s="231"/>
      <c r="BA687" s="231"/>
      <c r="BB687" s="231"/>
      <c r="BC687" s="231"/>
      <c r="BD687" s="231"/>
      <c r="BE687" s="231"/>
      <c r="BF687" s="231"/>
      <c r="BG687" s="231"/>
      <c r="BH687" s="231"/>
      <c r="BI687" s="231"/>
      <c r="BJ687" s="231"/>
      <c r="BK687" s="224"/>
      <c r="BL687" s="224"/>
    </row>
    <row r="688" spans="1:64" hidden="1" outlineLevel="1">
      <c r="A688" s="9"/>
      <c r="B688" s="12"/>
      <c r="C688" s="44"/>
      <c r="D688" s="271">
        <f>Asset13</f>
        <v>0</v>
      </c>
      <c r="E688" s="12"/>
      <c r="F688" s="12"/>
      <c r="G688" s="204">
        <f t="shared" si="55"/>
        <v>0</v>
      </c>
      <c r="H688" s="157">
        <f t="shared" si="57"/>
        <v>0</v>
      </c>
      <c r="I688" s="157">
        <f t="shared" si="57"/>
        <v>0</v>
      </c>
      <c r="J688" s="157">
        <f t="shared" si="57"/>
        <v>0</v>
      </c>
      <c r="K688" s="157">
        <f t="shared" si="57"/>
        <v>0</v>
      </c>
      <c r="L688" s="157">
        <f t="shared" si="57"/>
        <v>0</v>
      </c>
      <c r="M688" s="157">
        <f>IF(COUNT($H688:L688)&gt;=Input!$Y$7,0, M504+M536+M568)</f>
        <v>0</v>
      </c>
      <c r="N688" s="157">
        <f>IF(COUNT($H688:M688)&gt;=Input!$Y$7,0, N504+N536+N568)</f>
        <v>0</v>
      </c>
      <c r="O688" s="157">
        <f>IF(COUNT($H688:N688)&gt;=Input!$Y$7,0, O504+O536+O568)</f>
        <v>0</v>
      </c>
      <c r="P688" s="157">
        <f>IF(COUNT($H688:O688)&gt;=Input!$Y$7,0, P504+P536+P568)</f>
        <v>0</v>
      </c>
      <c r="Q688" s="157">
        <f>IF(COUNT($H688:P688)&gt;=Input!$Y$7,0, Q504+Q536+Q568)</f>
        <v>0</v>
      </c>
      <c r="R688" s="104"/>
      <c r="S688" s="104"/>
      <c r="T688" s="104"/>
      <c r="U688" s="104"/>
      <c r="V688" s="104"/>
      <c r="W688" s="104"/>
      <c r="X688" s="104"/>
      <c r="Y688" s="104"/>
      <c r="Z688" s="104"/>
      <c r="AA688" s="231"/>
      <c r="AB688" s="231"/>
      <c r="AC688" s="231"/>
      <c r="AD688" s="231"/>
      <c r="AE688" s="231"/>
      <c r="AF688" s="231"/>
      <c r="AG688" s="231"/>
      <c r="AH688" s="231"/>
      <c r="AI688" s="231"/>
      <c r="AJ688" s="231"/>
      <c r="AK688" s="231"/>
      <c r="AL688" s="231"/>
      <c r="AM688" s="231"/>
      <c r="AN688" s="231"/>
      <c r="AO688" s="231"/>
      <c r="AP688" s="231"/>
      <c r="AQ688" s="231"/>
      <c r="AR688" s="231"/>
      <c r="AS688" s="231"/>
      <c r="AT688" s="231"/>
      <c r="AU688" s="231"/>
      <c r="AV688" s="231"/>
      <c r="AW688" s="231"/>
      <c r="AX688" s="231"/>
      <c r="AY688" s="231"/>
      <c r="AZ688" s="231"/>
      <c r="BA688" s="231"/>
      <c r="BB688" s="231"/>
      <c r="BC688" s="231"/>
      <c r="BD688" s="231"/>
      <c r="BE688" s="231"/>
      <c r="BF688" s="231"/>
      <c r="BG688" s="231"/>
      <c r="BH688" s="231"/>
      <c r="BI688" s="231"/>
      <c r="BJ688" s="231"/>
      <c r="BK688" s="224"/>
      <c r="BL688" s="224"/>
    </row>
    <row r="689" spans="1:64" hidden="1" outlineLevel="1">
      <c r="A689" s="9"/>
      <c r="B689" s="12"/>
      <c r="C689" s="44"/>
      <c r="D689" s="271">
        <f>Asset14</f>
        <v>0</v>
      </c>
      <c r="E689" s="12"/>
      <c r="F689" s="12"/>
      <c r="G689" s="204">
        <f t="shared" si="55"/>
        <v>0</v>
      </c>
      <c r="H689" s="157">
        <f t="shared" si="57"/>
        <v>0</v>
      </c>
      <c r="I689" s="157">
        <f t="shared" si="57"/>
        <v>0</v>
      </c>
      <c r="J689" s="157">
        <f t="shared" si="57"/>
        <v>0</v>
      </c>
      <c r="K689" s="157">
        <f t="shared" si="57"/>
        <v>0</v>
      </c>
      <c r="L689" s="157">
        <f t="shared" si="57"/>
        <v>0</v>
      </c>
      <c r="M689" s="157">
        <f>IF(COUNT($H689:L689)&gt;=Input!$Y$7,0, M505+M537+M569)</f>
        <v>0</v>
      </c>
      <c r="N689" s="157">
        <f>IF(COUNT($H689:M689)&gt;=Input!$Y$7,0, N505+N537+N569)</f>
        <v>0</v>
      </c>
      <c r="O689" s="157">
        <f>IF(COUNT($H689:N689)&gt;=Input!$Y$7,0, O505+O537+O569)</f>
        <v>0</v>
      </c>
      <c r="P689" s="157">
        <f>IF(COUNT($H689:O689)&gt;=Input!$Y$7,0, P505+P537+P569)</f>
        <v>0</v>
      </c>
      <c r="Q689" s="157">
        <f>IF(COUNT($H689:P689)&gt;=Input!$Y$7,0, Q505+Q537+Q569)</f>
        <v>0</v>
      </c>
      <c r="R689" s="104"/>
      <c r="S689" s="104"/>
      <c r="T689" s="104"/>
      <c r="U689" s="104"/>
      <c r="V689" s="104"/>
      <c r="W689" s="104"/>
      <c r="X689" s="104"/>
      <c r="Y689" s="104"/>
      <c r="Z689" s="104"/>
      <c r="AA689" s="231"/>
      <c r="AB689" s="231"/>
      <c r="AC689" s="231"/>
      <c r="AD689" s="231"/>
      <c r="AE689" s="231"/>
      <c r="AF689" s="231"/>
      <c r="AG689" s="231"/>
      <c r="AH689" s="231"/>
      <c r="AI689" s="231"/>
      <c r="AJ689" s="231"/>
      <c r="AK689" s="231"/>
      <c r="AL689" s="231"/>
      <c r="AM689" s="231"/>
      <c r="AN689" s="231"/>
      <c r="AO689" s="231"/>
      <c r="AP689" s="231"/>
      <c r="AQ689" s="231"/>
      <c r="AR689" s="231"/>
      <c r="AS689" s="231"/>
      <c r="AT689" s="231"/>
      <c r="AU689" s="231"/>
      <c r="AV689" s="231"/>
      <c r="AW689" s="231"/>
      <c r="AX689" s="231"/>
      <c r="AY689" s="231"/>
      <c r="AZ689" s="231"/>
      <c r="BA689" s="231"/>
      <c r="BB689" s="231"/>
      <c r="BC689" s="231"/>
      <c r="BD689" s="231"/>
      <c r="BE689" s="231"/>
      <c r="BF689" s="231"/>
      <c r="BG689" s="231"/>
      <c r="BH689" s="231"/>
      <c r="BI689" s="231"/>
      <c r="BJ689" s="231"/>
      <c r="BK689" s="224"/>
      <c r="BL689" s="224"/>
    </row>
    <row r="690" spans="1:64" hidden="1" outlineLevel="1">
      <c r="A690" s="9"/>
      <c r="B690" s="12"/>
      <c r="C690" s="44"/>
      <c r="D690" s="271">
        <f>Asset15</f>
        <v>0</v>
      </c>
      <c r="E690" s="12"/>
      <c r="F690" s="12"/>
      <c r="G690" s="204">
        <f t="shared" si="55"/>
        <v>0</v>
      </c>
      <c r="H690" s="157">
        <f t="shared" si="57"/>
        <v>0</v>
      </c>
      <c r="I690" s="157">
        <f t="shared" si="57"/>
        <v>0</v>
      </c>
      <c r="J690" s="157">
        <f t="shared" si="57"/>
        <v>0</v>
      </c>
      <c r="K690" s="157">
        <f t="shared" si="57"/>
        <v>0</v>
      </c>
      <c r="L690" s="157">
        <f t="shared" si="57"/>
        <v>0</v>
      </c>
      <c r="M690" s="157">
        <f>IF(COUNT($H690:L690)&gt;=Input!$Y$7,0, M506+M538+M570)</f>
        <v>0</v>
      </c>
      <c r="N690" s="157">
        <f>IF(COUNT($H690:M690)&gt;=Input!$Y$7,0, N506+N538+N570)</f>
        <v>0</v>
      </c>
      <c r="O690" s="157">
        <f>IF(COUNT($H690:N690)&gt;=Input!$Y$7,0, O506+O538+O570)</f>
        <v>0</v>
      </c>
      <c r="P690" s="157">
        <f>IF(COUNT($H690:O690)&gt;=Input!$Y$7,0, P506+P538+P570)</f>
        <v>0</v>
      </c>
      <c r="Q690" s="157">
        <f>IF(COUNT($H690:P690)&gt;=Input!$Y$7,0, Q506+Q538+Q570)</f>
        <v>0</v>
      </c>
      <c r="R690" s="104"/>
      <c r="S690" s="104"/>
      <c r="T690" s="104"/>
      <c r="U690" s="104"/>
      <c r="V690" s="104"/>
      <c r="W690" s="104"/>
      <c r="X690" s="104"/>
      <c r="Y690" s="104"/>
      <c r="Z690" s="104"/>
      <c r="AA690" s="231"/>
      <c r="AB690" s="231"/>
      <c r="AC690" s="231"/>
      <c r="AD690" s="231"/>
      <c r="AE690" s="231"/>
      <c r="AF690" s="231"/>
      <c r="AG690" s="231"/>
      <c r="AH690" s="231"/>
      <c r="AI690" s="231"/>
      <c r="AJ690" s="231"/>
      <c r="AK690" s="231"/>
      <c r="AL690" s="231"/>
      <c r="AM690" s="231"/>
      <c r="AN690" s="231"/>
      <c r="AO690" s="231"/>
      <c r="AP690" s="231"/>
      <c r="AQ690" s="231"/>
      <c r="AR690" s="231"/>
      <c r="AS690" s="231"/>
      <c r="AT690" s="231"/>
      <c r="AU690" s="231"/>
      <c r="AV690" s="231"/>
      <c r="AW690" s="231"/>
      <c r="AX690" s="231"/>
      <c r="AY690" s="231"/>
      <c r="AZ690" s="231"/>
      <c r="BA690" s="231"/>
      <c r="BB690" s="231"/>
      <c r="BC690" s="231"/>
      <c r="BD690" s="231"/>
      <c r="BE690" s="231"/>
      <c r="BF690" s="231"/>
      <c r="BG690" s="231"/>
      <c r="BH690" s="231"/>
      <c r="BI690" s="231"/>
      <c r="BJ690" s="231"/>
      <c r="BK690" s="224"/>
      <c r="BL690" s="224"/>
    </row>
    <row r="691" spans="1:64" hidden="1" outlineLevel="1">
      <c r="A691" s="9"/>
      <c r="B691" s="12"/>
      <c r="C691" s="44"/>
      <c r="D691" s="271">
        <f>Asset16</f>
        <v>0</v>
      </c>
      <c r="E691" s="12"/>
      <c r="F691" s="12"/>
      <c r="G691" s="204">
        <f t="shared" si="55"/>
        <v>0</v>
      </c>
      <c r="H691" s="157">
        <f t="shared" si="57"/>
        <v>0</v>
      </c>
      <c r="I691" s="157">
        <f t="shared" si="57"/>
        <v>0</v>
      </c>
      <c r="J691" s="157">
        <f t="shared" si="57"/>
        <v>0</v>
      </c>
      <c r="K691" s="157">
        <f t="shared" si="57"/>
        <v>0</v>
      </c>
      <c r="L691" s="157">
        <f t="shared" si="57"/>
        <v>0</v>
      </c>
      <c r="M691" s="157">
        <f>IF(COUNT($H691:L691)&gt;=Input!$Y$7,0, M507+M539+M571)</f>
        <v>0</v>
      </c>
      <c r="N691" s="157">
        <f>IF(COUNT($H691:M691)&gt;=Input!$Y$7,0, N507+N539+N571)</f>
        <v>0</v>
      </c>
      <c r="O691" s="157">
        <f>IF(COUNT($H691:N691)&gt;=Input!$Y$7,0, O507+O539+O571)</f>
        <v>0</v>
      </c>
      <c r="P691" s="157">
        <f>IF(COUNT($H691:O691)&gt;=Input!$Y$7,0, P507+P539+P571)</f>
        <v>0</v>
      </c>
      <c r="Q691" s="157">
        <f>IF(COUNT($H691:P691)&gt;=Input!$Y$7,0, Q507+Q539+Q571)</f>
        <v>0</v>
      </c>
      <c r="R691" s="104"/>
      <c r="S691" s="104"/>
      <c r="T691" s="104"/>
      <c r="U691" s="104"/>
      <c r="V691" s="104"/>
      <c r="W691" s="104"/>
      <c r="X691" s="104"/>
      <c r="Y691" s="104"/>
      <c r="Z691" s="104"/>
      <c r="AA691" s="231"/>
      <c r="AB691" s="231"/>
      <c r="AC691" s="231"/>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24"/>
      <c r="BL691" s="224"/>
    </row>
    <row r="692" spans="1:64" hidden="1" outlineLevel="1">
      <c r="A692" s="9"/>
      <c r="B692" s="12"/>
      <c r="C692" s="44"/>
      <c r="D692" s="271">
        <f>Asset17</f>
        <v>0</v>
      </c>
      <c r="E692" s="12"/>
      <c r="F692" s="12"/>
      <c r="G692" s="204">
        <f t="shared" si="55"/>
        <v>0</v>
      </c>
      <c r="H692" s="157">
        <f t="shared" si="57"/>
        <v>0</v>
      </c>
      <c r="I692" s="157">
        <f t="shared" si="57"/>
        <v>0</v>
      </c>
      <c r="J692" s="157">
        <f t="shared" si="57"/>
        <v>0</v>
      </c>
      <c r="K692" s="157">
        <f t="shared" si="57"/>
        <v>0</v>
      </c>
      <c r="L692" s="157">
        <f t="shared" si="57"/>
        <v>0</v>
      </c>
      <c r="M692" s="157">
        <f>IF(COUNT($H692:L692)&gt;=Input!$Y$7,0, M508+M540+M572)</f>
        <v>0</v>
      </c>
      <c r="N692" s="157">
        <f>IF(COUNT($H692:M692)&gt;=Input!$Y$7,0, N508+N540+N572)</f>
        <v>0</v>
      </c>
      <c r="O692" s="157">
        <f>IF(COUNT($H692:N692)&gt;=Input!$Y$7,0, O508+O540+O572)</f>
        <v>0</v>
      </c>
      <c r="P692" s="157">
        <f>IF(COUNT($H692:O692)&gt;=Input!$Y$7,0, P508+P540+P572)</f>
        <v>0</v>
      </c>
      <c r="Q692" s="157">
        <f>IF(COUNT($H692:P692)&gt;=Input!$Y$7,0, Q508+Q540+Q572)</f>
        <v>0</v>
      </c>
      <c r="R692" s="104"/>
      <c r="S692" s="104"/>
      <c r="T692" s="104"/>
      <c r="U692" s="104"/>
      <c r="V692" s="104"/>
      <c r="W692" s="104"/>
      <c r="X692" s="104"/>
      <c r="Y692" s="104"/>
      <c r="Z692" s="104"/>
      <c r="AA692" s="231"/>
      <c r="AB692" s="231"/>
      <c r="AC692" s="231"/>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24"/>
      <c r="BL692" s="224"/>
    </row>
    <row r="693" spans="1:64" hidden="1" outlineLevel="1">
      <c r="A693" s="9"/>
      <c r="B693" s="12"/>
      <c r="C693" s="44"/>
      <c r="D693" s="271">
        <f>Asset18</f>
        <v>0</v>
      </c>
      <c r="E693" s="12"/>
      <c r="F693" s="12"/>
      <c r="G693" s="204">
        <f t="shared" si="55"/>
        <v>0</v>
      </c>
      <c r="H693" s="157">
        <f t="shared" si="57"/>
        <v>0</v>
      </c>
      <c r="I693" s="157">
        <f t="shared" si="57"/>
        <v>0</v>
      </c>
      <c r="J693" s="157">
        <f t="shared" si="57"/>
        <v>0</v>
      </c>
      <c r="K693" s="157">
        <f t="shared" si="57"/>
        <v>0</v>
      </c>
      <c r="L693" s="157">
        <f t="shared" si="57"/>
        <v>0</v>
      </c>
      <c r="M693" s="157">
        <f>IF(COUNT($H693:L693)&gt;=Input!$Y$7,0, M509+M541+M573)</f>
        <v>0</v>
      </c>
      <c r="N693" s="157">
        <f>IF(COUNT($H693:M693)&gt;=Input!$Y$7,0, N509+N541+N573)</f>
        <v>0</v>
      </c>
      <c r="O693" s="157">
        <f>IF(COUNT($H693:N693)&gt;=Input!$Y$7,0, O509+O541+O573)</f>
        <v>0</v>
      </c>
      <c r="P693" s="157">
        <f>IF(COUNT($H693:O693)&gt;=Input!$Y$7,0, P509+P541+P573)</f>
        <v>0</v>
      </c>
      <c r="Q693" s="157">
        <f>IF(COUNT($H693:P693)&gt;=Input!$Y$7,0, Q509+Q541+Q573)</f>
        <v>0</v>
      </c>
      <c r="R693" s="104"/>
      <c r="S693" s="104"/>
      <c r="T693" s="104"/>
      <c r="U693" s="104"/>
      <c r="V693" s="104"/>
      <c r="W693" s="104"/>
      <c r="X693" s="104"/>
      <c r="Y693" s="104"/>
      <c r="Z693" s="104"/>
      <c r="AA693" s="231"/>
      <c r="AB693" s="231"/>
      <c r="AC693" s="231"/>
      <c r="AD693" s="231"/>
      <c r="AE693" s="231"/>
      <c r="AF693" s="231"/>
      <c r="AG693" s="231"/>
      <c r="AH693" s="231"/>
      <c r="AI693" s="231"/>
      <c r="AJ693" s="231"/>
      <c r="AK693" s="231"/>
      <c r="AL693" s="231"/>
      <c r="AM693" s="231"/>
      <c r="AN693" s="231"/>
      <c r="AO693" s="231"/>
      <c r="AP693" s="231"/>
      <c r="AQ693" s="231"/>
      <c r="AR693" s="231"/>
      <c r="AS693" s="231"/>
      <c r="AT693" s="231"/>
      <c r="AU693" s="231"/>
      <c r="AV693" s="231"/>
      <c r="AW693" s="231"/>
      <c r="AX693" s="231"/>
      <c r="AY693" s="231"/>
      <c r="AZ693" s="231"/>
      <c r="BA693" s="231"/>
      <c r="BB693" s="231"/>
      <c r="BC693" s="231"/>
      <c r="BD693" s="231"/>
      <c r="BE693" s="231"/>
      <c r="BF693" s="231"/>
      <c r="BG693" s="231"/>
      <c r="BH693" s="231"/>
      <c r="BI693" s="231"/>
      <c r="BJ693" s="231"/>
      <c r="BK693" s="224"/>
      <c r="BL693" s="224"/>
    </row>
    <row r="694" spans="1:64" hidden="1" outlineLevel="1">
      <c r="A694" s="9"/>
      <c r="B694" s="12"/>
      <c r="C694" s="44"/>
      <c r="D694" s="271">
        <f>Asset19</f>
        <v>0</v>
      </c>
      <c r="E694" s="12"/>
      <c r="F694" s="12"/>
      <c r="G694" s="204">
        <f t="shared" si="55"/>
        <v>0</v>
      </c>
      <c r="H694" s="157">
        <f t="shared" si="57"/>
        <v>0</v>
      </c>
      <c r="I694" s="157">
        <f t="shared" si="57"/>
        <v>0</v>
      </c>
      <c r="J694" s="157">
        <f t="shared" si="57"/>
        <v>0</v>
      </c>
      <c r="K694" s="157">
        <f t="shared" si="57"/>
        <v>0</v>
      </c>
      <c r="L694" s="157">
        <f t="shared" si="57"/>
        <v>0</v>
      </c>
      <c r="M694" s="157">
        <f>IF(COUNT($H694:L694)&gt;=Input!$Y$7,0, M510+M542+M574)</f>
        <v>0</v>
      </c>
      <c r="N694" s="157">
        <f>IF(COUNT($H694:M694)&gt;=Input!$Y$7,0, N510+N542+N574)</f>
        <v>0</v>
      </c>
      <c r="O694" s="157">
        <f>IF(COUNT($H694:N694)&gt;=Input!$Y$7,0, O510+O542+O574)</f>
        <v>0</v>
      </c>
      <c r="P694" s="157">
        <f>IF(COUNT($H694:O694)&gt;=Input!$Y$7,0, P510+P542+P574)</f>
        <v>0</v>
      </c>
      <c r="Q694" s="157">
        <f>IF(COUNT($H694:P694)&gt;=Input!$Y$7,0, Q510+Q542+Q574)</f>
        <v>0</v>
      </c>
      <c r="R694" s="104"/>
      <c r="S694" s="104"/>
      <c r="T694" s="104"/>
      <c r="U694" s="104"/>
      <c r="V694" s="104"/>
      <c r="W694" s="104"/>
      <c r="X694" s="104"/>
      <c r="Y694" s="104"/>
      <c r="Z694" s="104"/>
      <c r="AA694" s="231"/>
      <c r="AB694" s="231"/>
      <c r="AC694" s="231"/>
      <c r="AD694" s="231"/>
      <c r="AE694" s="231"/>
      <c r="AF694" s="231"/>
      <c r="AG694" s="231"/>
      <c r="AH694" s="231"/>
      <c r="AI694" s="231"/>
      <c r="AJ694" s="231"/>
      <c r="AK694" s="231"/>
      <c r="AL694" s="231"/>
      <c r="AM694" s="231"/>
      <c r="AN694" s="231"/>
      <c r="AO694" s="231"/>
      <c r="AP694" s="231"/>
      <c r="AQ694" s="231"/>
      <c r="AR694" s="231"/>
      <c r="AS694" s="231"/>
      <c r="AT694" s="231"/>
      <c r="AU694" s="231"/>
      <c r="AV694" s="231"/>
      <c r="AW694" s="231"/>
      <c r="AX694" s="231"/>
      <c r="AY694" s="231"/>
      <c r="AZ694" s="231"/>
      <c r="BA694" s="231"/>
      <c r="BB694" s="231"/>
      <c r="BC694" s="231"/>
      <c r="BD694" s="231"/>
      <c r="BE694" s="231"/>
      <c r="BF694" s="231"/>
      <c r="BG694" s="231"/>
      <c r="BH694" s="231"/>
      <c r="BI694" s="231"/>
      <c r="BJ694" s="231"/>
      <c r="BK694" s="224"/>
      <c r="BL694" s="224"/>
    </row>
    <row r="695" spans="1:64" hidden="1" outlineLevel="1">
      <c r="A695" s="9"/>
      <c r="B695" s="12"/>
      <c r="C695" s="44"/>
      <c r="D695" s="271">
        <f>Asset20</f>
        <v>0</v>
      </c>
      <c r="E695" s="12"/>
      <c r="F695" s="12"/>
      <c r="G695" s="204">
        <f t="shared" si="55"/>
        <v>0</v>
      </c>
      <c r="H695" s="157">
        <f t="shared" si="57"/>
        <v>0</v>
      </c>
      <c r="I695" s="157">
        <f t="shared" si="57"/>
        <v>0</v>
      </c>
      <c r="J695" s="157">
        <f t="shared" si="57"/>
        <v>0</v>
      </c>
      <c r="K695" s="157">
        <f t="shared" si="57"/>
        <v>0</v>
      </c>
      <c r="L695" s="157">
        <f t="shared" si="57"/>
        <v>0</v>
      </c>
      <c r="M695" s="157">
        <f>IF(COUNT($H695:L695)&gt;=Input!$Y$7,0, M511+M543+M575)</f>
        <v>0</v>
      </c>
      <c r="N695" s="157">
        <f>IF(COUNT($H695:M695)&gt;=Input!$Y$7,0, N511+N543+N575)</f>
        <v>0</v>
      </c>
      <c r="O695" s="157">
        <f>IF(COUNT($H695:N695)&gt;=Input!$Y$7,0, O511+O543+O575)</f>
        <v>0</v>
      </c>
      <c r="P695" s="157">
        <f>IF(COUNT($H695:O695)&gt;=Input!$Y$7,0, P511+P543+P575)</f>
        <v>0</v>
      </c>
      <c r="Q695" s="157">
        <f>IF(COUNT($H695:P695)&gt;=Input!$Y$7,0, Q511+Q543+Q575)</f>
        <v>0</v>
      </c>
      <c r="R695" s="104"/>
      <c r="S695" s="104"/>
      <c r="T695" s="104"/>
      <c r="U695" s="104"/>
      <c r="V695" s="104"/>
      <c r="W695" s="104"/>
      <c r="X695" s="104"/>
      <c r="Y695" s="104"/>
      <c r="Z695" s="104"/>
      <c r="AA695" s="231"/>
      <c r="AB695" s="231"/>
      <c r="AC695" s="231"/>
      <c r="AD695" s="231"/>
      <c r="AE695" s="231"/>
      <c r="AF695" s="231"/>
      <c r="AG695" s="231"/>
      <c r="AH695" s="231"/>
      <c r="AI695" s="231"/>
      <c r="AJ695" s="231"/>
      <c r="AK695" s="231"/>
      <c r="AL695" s="231"/>
      <c r="AM695" s="231"/>
      <c r="AN695" s="231"/>
      <c r="AO695" s="231"/>
      <c r="AP695" s="231"/>
      <c r="AQ695" s="231"/>
      <c r="AR695" s="231"/>
      <c r="AS695" s="231"/>
      <c r="AT695" s="231"/>
      <c r="AU695" s="231"/>
      <c r="AV695" s="231"/>
      <c r="AW695" s="231"/>
      <c r="AX695" s="231"/>
      <c r="AY695" s="231"/>
      <c r="AZ695" s="231"/>
      <c r="BA695" s="231"/>
      <c r="BB695" s="231"/>
      <c r="BC695" s="231"/>
      <c r="BD695" s="231"/>
      <c r="BE695" s="231"/>
      <c r="BF695" s="231"/>
      <c r="BG695" s="231"/>
      <c r="BH695" s="231"/>
      <c r="BI695" s="231"/>
      <c r="BJ695" s="231"/>
      <c r="BK695" s="224"/>
      <c r="BL695" s="224"/>
    </row>
    <row r="696" spans="1:64" hidden="1" outlineLevel="1">
      <c r="A696" s="9"/>
      <c r="B696" s="12"/>
      <c r="C696" s="44"/>
      <c r="D696" s="271">
        <f>Asset21</f>
        <v>0</v>
      </c>
      <c r="E696" s="12"/>
      <c r="F696" s="12"/>
      <c r="G696" s="204">
        <f t="shared" si="55"/>
        <v>0</v>
      </c>
      <c r="H696" s="157">
        <f t="shared" ref="H696:L705" si="58">H512+H544+H576</f>
        <v>0</v>
      </c>
      <c r="I696" s="157">
        <f t="shared" si="58"/>
        <v>0</v>
      </c>
      <c r="J696" s="157">
        <f t="shared" si="58"/>
        <v>0</v>
      </c>
      <c r="K696" s="157">
        <f t="shared" si="58"/>
        <v>0</v>
      </c>
      <c r="L696" s="157">
        <f t="shared" si="58"/>
        <v>0</v>
      </c>
      <c r="M696" s="157">
        <f>IF(COUNT($H696:L696)&gt;=Input!$Y$7,0, M512+M544+M576)</f>
        <v>0</v>
      </c>
      <c r="N696" s="157">
        <f>IF(COUNT($H696:M696)&gt;=Input!$Y$7,0, N512+N544+N576)</f>
        <v>0</v>
      </c>
      <c r="O696" s="157">
        <f>IF(COUNT($H696:N696)&gt;=Input!$Y$7,0, O512+O544+O576)</f>
        <v>0</v>
      </c>
      <c r="P696" s="157">
        <f>IF(COUNT($H696:O696)&gt;=Input!$Y$7,0, P512+P544+P576)</f>
        <v>0</v>
      </c>
      <c r="Q696" s="157">
        <f>IF(COUNT($H696:P696)&gt;=Input!$Y$7,0, Q512+Q544+Q576)</f>
        <v>0</v>
      </c>
      <c r="R696" s="104"/>
      <c r="S696" s="104"/>
      <c r="T696" s="104"/>
      <c r="U696" s="104"/>
      <c r="V696" s="104"/>
      <c r="W696" s="104"/>
      <c r="X696" s="104"/>
      <c r="Y696" s="104"/>
      <c r="Z696" s="104"/>
      <c r="AA696" s="231"/>
      <c r="AB696" s="231"/>
      <c r="AC696" s="231"/>
      <c r="AD696" s="231"/>
      <c r="AE696" s="231"/>
      <c r="AF696" s="231"/>
      <c r="AG696" s="231"/>
      <c r="AH696" s="231"/>
      <c r="AI696" s="231"/>
      <c r="AJ696" s="231"/>
      <c r="AK696" s="231"/>
      <c r="AL696" s="231"/>
      <c r="AM696" s="231"/>
      <c r="AN696" s="231"/>
      <c r="AO696" s="231"/>
      <c r="AP696" s="231"/>
      <c r="AQ696" s="231"/>
      <c r="AR696" s="231"/>
      <c r="AS696" s="231"/>
      <c r="AT696" s="231"/>
      <c r="AU696" s="231"/>
      <c r="AV696" s="231"/>
      <c r="AW696" s="231"/>
      <c r="AX696" s="231"/>
      <c r="AY696" s="231"/>
      <c r="AZ696" s="231"/>
      <c r="BA696" s="231"/>
      <c r="BB696" s="231"/>
      <c r="BC696" s="231"/>
      <c r="BD696" s="231"/>
      <c r="BE696" s="231"/>
      <c r="BF696" s="231"/>
      <c r="BG696" s="231"/>
      <c r="BH696" s="231"/>
      <c r="BI696" s="231"/>
      <c r="BJ696" s="231"/>
      <c r="BK696" s="224"/>
      <c r="BL696" s="224"/>
    </row>
    <row r="697" spans="1:64" hidden="1" outlineLevel="1">
      <c r="A697" s="9"/>
      <c r="B697" s="12"/>
      <c r="C697" s="44"/>
      <c r="D697" s="271">
        <f>Asset22</f>
        <v>0</v>
      </c>
      <c r="E697" s="12"/>
      <c r="F697" s="12"/>
      <c r="G697" s="204">
        <f t="shared" si="55"/>
        <v>0</v>
      </c>
      <c r="H697" s="157">
        <f t="shared" si="58"/>
        <v>0</v>
      </c>
      <c r="I697" s="157">
        <f t="shared" si="58"/>
        <v>0</v>
      </c>
      <c r="J697" s="157">
        <f t="shared" si="58"/>
        <v>0</v>
      </c>
      <c r="K697" s="157">
        <f t="shared" si="58"/>
        <v>0</v>
      </c>
      <c r="L697" s="157">
        <f t="shared" si="58"/>
        <v>0</v>
      </c>
      <c r="M697" s="157">
        <f>IF(COUNT($H697:L697)&gt;=Input!$Y$7,0, M513+M545+M577)</f>
        <v>0</v>
      </c>
      <c r="N697" s="157">
        <f>IF(COUNT($H697:M697)&gt;=Input!$Y$7,0, N513+N545+N577)</f>
        <v>0</v>
      </c>
      <c r="O697" s="157">
        <f>IF(COUNT($H697:N697)&gt;=Input!$Y$7,0, O513+O545+O577)</f>
        <v>0</v>
      </c>
      <c r="P697" s="157">
        <f>IF(COUNT($H697:O697)&gt;=Input!$Y$7,0, P513+P545+P577)</f>
        <v>0</v>
      </c>
      <c r="Q697" s="157">
        <f>IF(COUNT($H697:P697)&gt;=Input!$Y$7,0, Q513+Q545+Q577)</f>
        <v>0</v>
      </c>
      <c r="R697" s="104"/>
      <c r="S697" s="104"/>
      <c r="T697" s="104"/>
      <c r="U697" s="104"/>
      <c r="V697" s="104"/>
      <c r="W697" s="104"/>
      <c r="X697" s="104"/>
      <c r="Y697" s="104"/>
      <c r="Z697" s="104"/>
      <c r="AA697" s="231"/>
      <c r="AB697" s="231"/>
      <c r="AC697" s="231"/>
      <c r="AD697" s="231"/>
      <c r="AE697" s="231"/>
      <c r="AF697" s="231"/>
      <c r="AG697" s="231"/>
      <c r="AH697" s="231"/>
      <c r="AI697" s="231"/>
      <c r="AJ697" s="231"/>
      <c r="AK697" s="231"/>
      <c r="AL697" s="231"/>
      <c r="AM697" s="231"/>
      <c r="AN697" s="231"/>
      <c r="AO697" s="231"/>
      <c r="AP697" s="231"/>
      <c r="AQ697" s="231"/>
      <c r="AR697" s="231"/>
      <c r="AS697" s="231"/>
      <c r="AT697" s="231"/>
      <c r="AU697" s="231"/>
      <c r="AV697" s="231"/>
      <c r="AW697" s="231"/>
      <c r="AX697" s="231"/>
      <c r="AY697" s="231"/>
      <c r="AZ697" s="231"/>
      <c r="BA697" s="231"/>
      <c r="BB697" s="231"/>
      <c r="BC697" s="231"/>
      <c r="BD697" s="231"/>
      <c r="BE697" s="231"/>
      <c r="BF697" s="231"/>
      <c r="BG697" s="231"/>
      <c r="BH697" s="231"/>
      <c r="BI697" s="231"/>
      <c r="BJ697" s="231"/>
      <c r="BK697" s="224"/>
      <c r="BL697" s="224"/>
    </row>
    <row r="698" spans="1:64" hidden="1" outlineLevel="1">
      <c r="A698" s="9"/>
      <c r="B698" s="12"/>
      <c r="C698" s="44"/>
      <c r="D698" s="271">
        <f>Asset23</f>
        <v>0</v>
      </c>
      <c r="E698" s="12"/>
      <c r="F698" s="12"/>
      <c r="G698" s="204">
        <f t="shared" si="55"/>
        <v>0</v>
      </c>
      <c r="H698" s="157">
        <f t="shared" si="58"/>
        <v>0</v>
      </c>
      <c r="I698" s="157">
        <f t="shared" si="58"/>
        <v>0</v>
      </c>
      <c r="J698" s="157">
        <f t="shared" si="58"/>
        <v>0</v>
      </c>
      <c r="K698" s="157">
        <f t="shared" si="58"/>
        <v>0</v>
      </c>
      <c r="L698" s="157">
        <f t="shared" si="58"/>
        <v>0</v>
      </c>
      <c r="M698" s="157">
        <f>IF(COUNT($H698:L698)&gt;=Input!$Y$7,0, M514+M546+M578)</f>
        <v>0</v>
      </c>
      <c r="N698" s="157">
        <f>IF(COUNT($H698:M698)&gt;=Input!$Y$7,0, N514+N546+N578)</f>
        <v>0</v>
      </c>
      <c r="O698" s="157">
        <f>IF(COUNT($H698:N698)&gt;=Input!$Y$7,0, O514+O546+O578)</f>
        <v>0</v>
      </c>
      <c r="P698" s="157">
        <f>IF(COUNT($H698:O698)&gt;=Input!$Y$7,0, P514+P546+P578)</f>
        <v>0</v>
      </c>
      <c r="Q698" s="157">
        <f>IF(COUNT($H698:P698)&gt;=Input!$Y$7,0, Q514+Q546+Q578)</f>
        <v>0</v>
      </c>
      <c r="R698" s="104"/>
      <c r="S698" s="104"/>
      <c r="T698" s="104"/>
      <c r="U698" s="104"/>
      <c r="V698" s="104"/>
      <c r="W698" s="104"/>
      <c r="X698" s="104"/>
      <c r="Y698" s="104"/>
      <c r="Z698" s="104"/>
      <c r="AA698" s="231"/>
      <c r="AB698" s="231"/>
      <c r="AC698" s="231"/>
      <c r="AD698" s="231"/>
      <c r="AE698" s="231"/>
      <c r="AF698" s="231"/>
      <c r="AG698" s="231"/>
      <c r="AH698" s="231"/>
      <c r="AI698" s="231"/>
      <c r="AJ698" s="231"/>
      <c r="AK698" s="231"/>
      <c r="AL698" s="231"/>
      <c r="AM698" s="231"/>
      <c r="AN698" s="231"/>
      <c r="AO698" s="231"/>
      <c r="AP698" s="231"/>
      <c r="AQ698" s="231"/>
      <c r="AR698" s="231"/>
      <c r="AS698" s="231"/>
      <c r="AT698" s="231"/>
      <c r="AU698" s="231"/>
      <c r="AV698" s="231"/>
      <c r="AW698" s="231"/>
      <c r="AX698" s="231"/>
      <c r="AY698" s="231"/>
      <c r="AZ698" s="231"/>
      <c r="BA698" s="231"/>
      <c r="BB698" s="231"/>
      <c r="BC698" s="231"/>
      <c r="BD698" s="231"/>
      <c r="BE698" s="231"/>
      <c r="BF698" s="231"/>
      <c r="BG698" s="231"/>
      <c r="BH698" s="231"/>
      <c r="BI698" s="231"/>
      <c r="BJ698" s="231"/>
      <c r="BK698" s="224"/>
      <c r="BL698" s="224"/>
    </row>
    <row r="699" spans="1:64" hidden="1" outlineLevel="1">
      <c r="A699" s="9"/>
      <c r="B699" s="12"/>
      <c r="C699" s="44"/>
      <c r="D699" s="271">
        <f>Asset24</f>
        <v>0</v>
      </c>
      <c r="E699" s="12"/>
      <c r="F699" s="12"/>
      <c r="G699" s="204">
        <f t="shared" si="55"/>
        <v>0</v>
      </c>
      <c r="H699" s="157">
        <f t="shared" si="58"/>
        <v>0</v>
      </c>
      <c r="I699" s="157">
        <f t="shared" si="58"/>
        <v>0</v>
      </c>
      <c r="J699" s="157">
        <f t="shared" si="58"/>
        <v>0</v>
      </c>
      <c r="K699" s="157">
        <f t="shared" si="58"/>
        <v>0</v>
      </c>
      <c r="L699" s="157">
        <f t="shared" si="58"/>
        <v>0</v>
      </c>
      <c r="M699" s="157">
        <f>IF(COUNT($H699:L699)&gt;=Input!$Y$7,0, M515+M547+M579)</f>
        <v>0</v>
      </c>
      <c r="N699" s="157">
        <f>IF(COUNT($H699:M699)&gt;=Input!$Y$7,0, N515+N547+N579)</f>
        <v>0</v>
      </c>
      <c r="O699" s="157">
        <f>IF(COUNT($H699:N699)&gt;=Input!$Y$7,0, O515+O547+O579)</f>
        <v>0</v>
      </c>
      <c r="P699" s="157">
        <f>IF(COUNT($H699:O699)&gt;=Input!$Y$7,0, P515+P547+P579)</f>
        <v>0</v>
      </c>
      <c r="Q699" s="157">
        <f>IF(COUNT($H699:P699)&gt;=Input!$Y$7,0, Q515+Q547+Q579)</f>
        <v>0</v>
      </c>
      <c r="R699" s="104"/>
      <c r="S699" s="104"/>
      <c r="T699" s="104"/>
      <c r="U699" s="104"/>
      <c r="V699" s="104"/>
      <c r="W699" s="104"/>
      <c r="X699" s="104"/>
      <c r="Y699" s="104"/>
      <c r="Z699" s="104"/>
      <c r="AA699" s="231"/>
      <c r="AB699" s="231"/>
      <c r="AC699" s="231"/>
      <c r="AD699" s="231"/>
      <c r="AE699" s="231"/>
      <c r="AF699" s="231"/>
      <c r="AG699" s="231"/>
      <c r="AH699" s="231"/>
      <c r="AI699" s="231"/>
      <c r="AJ699" s="231"/>
      <c r="AK699" s="231"/>
      <c r="AL699" s="231"/>
      <c r="AM699" s="231"/>
      <c r="AN699" s="231"/>
      <c r="AO699" s="231"/>
      <c r="AP699" s="231"/>
      <c r="AQ699" s="231"/>
      <c r="AR699" s="231"/>
      <c r="AS699" s="231"/>
      <c r="AT699" s="231"/>
      <c r="AU699" s="231"/>
      <c r="AV699" s="231"/>
      <c r="AW699" s="231"/>
      <c r="AX699" s="231"/>
      <c r="AY699" s="231"/>
      <c r="AZ699" s="231"/>
      <c r="BA699" s="231"/>
      <c r="BB699" s="231"/>
      <c r="BC699" s="231"/>
      <c r="BD699" s="231"/>
      <c r="BE699" s="231"/>
      <c r="BF699" s="231"/>
      <c r="BG699" s="231"/>
      <c r="BH699" s="231"/>
      <c r="BI699" s="231"/>
      <c r="BJ699" s="231"/>
      <c r="BK699" s="224"/>
      <c r="BL699" s="224"/>
    </row>
    <row r="700" spans="1:64" hidden="1" outlineLevel="1">
      <c r="A700" s="9"/>
      <c r="B700" s="12"/>
      <c r="C700" s="44"/>
      <c r="D700" s="271">
        <f>Asset25</f>
        <v>0</v>
      </c>
      <c r="E700" s="12"/>
      <c r="F700" s="12"/>
      <c r="G700" s="204">
        <f t="shared" si="55"/>
        <v>0</v>
      </c>
      <c r="H700" s="157">
        <f t="shared" si="58"/>
        <v>0</v>
      </c>
      <c r="I700" s="157">
        <f t="shared" si="58"/>
        <v>0</v>
      </c>
      <c r="J700" s="157">
        <f t="shared" si="58"/>
        <v>0</v>
      </c>
      <c r="K700" s="157">
        <f t="shared" si="58"/>
        <v>0</v>
      </c>
      <c r="L700" s="157">
        <f t="shared" si="58"/>
        <v>0</v>
      </c>
      <c r="M700" s="157">
        <f>IF(COUNT($H700:L700)&gt;=Input!$Y$7,0, M516+M548+M580)</f>
        <v>0</v>
      </c>
      <c r="N700" s="157">
        <f>IF(COUNT($H700:M700)&gt;=Input!$Y$7,0, N516+N548+N580)</f>
        <v>0</v>
      </c>
      <c r="O700" s="157">
        <f>IF(COUNT($H700:N700)&gt;=Input!$Y$7,0, O516+O548+O580)</f>
        <v>0</v>
      </c>
      <c r="P700" s="157">
        <f>IF(COUNT($H700:O700)&gt;=Input!$Y$7,0, P516+P548+P580)</f>
        <v>0</v>
      </c>
      <c r="Q700" s="157">
        <f>IF(COUNT($H700:P700)&gt;=Input!$Y$7,0, Q516+Q548+Q580)</f>
        <v>0</v>
      </c>
      <c r="R700" s="104"/>
      <c r="S700" s="104"/>
      <c r="T700" s="104"/>
      <c r="U700" s="104"/>
      <c r="V700" s="104"/>
      <c r="W700" s="104"/>
      <c r="X700" s="104"/>
      <c r="Y700" s="104"/>
      <c r="Z700" s="104"/>
      <c r="AA700" s="231"/>
      <c r="AB700" s="231"/>
      <c r="AC700" s="231"/>
      <c r="AD700" s="231"/>
      <c r="AE700" s="231"/>
      <c r="AF700" s="231"/>
      <c r="AG700" s="231"/>
      <c r="AH700" s="231"/>
      <c r="AI700" s="231"/>
      <c r="AJ700" s="231"/>
      <c r="AK700" s="231"/>
      <c r="AL700" s="231"/>
      <c r="AM700" s="231"/>
      <c r="AN700" s="231"/>
      <c r="AO700" s="231"/>
      <c r="AP700" s="231"/>
      <c r="AQ700" s="231"/>
      <c r="AR700" s="231"/>
      <c r="AS700" s="231"/>
      <c r="AT700" s="231"/>
      <c r="AU700" s="231"/>
      <c r="AV700" s="231"/>
      <c r="AW700" s="231"/>
      <c r="AX700" s="231"/>
      <c r="AY700" s="231"/>
      <c r="AZ700" s="231"/>
      <c r="BA700" s="231"/>
      <c r="BB700" s="231"/>
      <c r="BC700" s="231"/>
      <c r="BD700" s="231"/>
      <c r="BE700" s="231"/>
      <c r="BF700" s="231"/>
      <c r="BG700" s="231"/>
      <c r="BH700" s="231"/>
      <c r="BI700" s="231"/>
      <c r="BJ700" s="231"/>
      <c r="BK700" s="224"/>
      <c r="BL700" s="224"/>
    </row>
    <row r="701" spans="1:64" hidden="1" outlineLevel="1">
      <c r="A701" s="9"/>
      <c r="B701" s="12"/>
      <c r="C701" s="44"/>
      <c r="D701" s="271">
        <f>Asset26</f>
        <v>0</v>
      </c>
      <c r="E701" s="12"/>
      <c r="F701" s="12"/>
      <c r="G701" s="204">
        <f t="shared" si="55"/>
        <v>0</v>
      </c>
      <c r="H701" s="157">
        <f t="shared" si="58"/>
        <v>0</v>
      </c>
      <c r="I701" s="157">
        <f t="shared" si="58"/>
        <v>0</v>
      </c>
      <c r="J701" s="157">
        <f t="shared" si="58"/>
        <v>0</v>
      </c>
      <c r="K701" s="157">
        <f t="shared" si="58"/>
        <v>0</v>
      </c>
      <c r="L701" s="157">
        <f t="shared" si="58"/>
        <v>0</v>
      </c>
      <c r="M701" s="157">
        <f>IF(COUNT($H701:L701)&gt;=Input!$Y$7,0, M517+M549+M581)</f>
        <v>0</v>
      </c>
      <c r="N701" s="157">
        <f>IF(COUNT($H701:M701)&gt;=Input!$Y$7,0, N517+N549+N581)</f>
        <v>0</v>
      </c>
      <c r="O701" s="157">
        <f>IF(COUNT($H701:N701)&gt;=Input!$Y$7,0, O517+O549+O581)</f>
        <v>0</v>
      </c>
      <c r="P701" s="157">
        <f>IF(COUNT($H701:O701)&gt;=Input!$Y$7,0, P517+P549+P581)</f>
        <v>0</v>
      </c>
      <c r="Q701" s="157">
        <f>IF(COUNT($H701:P701)&gt;=Input!$Y$7,0, Q517+Q549+Q581)</f>
        <v>0</v>
      </c>
      <c r="R701" s="104"/>
      <c r="S701" s="104"/>
      <c r="T701" s="104"/>
      <c r="U701" s="104"/>
      <c r="V701" s="104"/>
      <c r="W701" s="104"/>
      <c r="X701" s="104"/>
      <c r="Y701" s="104"/>
      <c r="Z701" s="104"/>
      <c r="AA701" s="231"/>
      <c r="AB701" s="231"/>
      <c r="AC701" s="231"/>
      <c r="AD701" s="231"/>
      <c r="AE701" s="231"/>
      <c r="AF701" s="231"/>
      <c r="AG701" s="231"/>
      <c r="AH701" s="231"/>
      <c r="AI701" s="231"/>
      <c r="AJ701" s="231"/>
      <c r="AK701" s="231"/>
      <c r="AL701" s="231"/>
      <c r="AM701" s="231"/>
      <c r="AN701" s="231"/>
      <c r="AO701" s="231"/>
      <c r="AP701" s="231"/>
      <c r="AQ701" s="231"/>
      <c r="AR701" s="231"/>
      <c r="AS701" s="231"/>
      <c r="AT701" s="231"/>
      <c r="AU701" s="231"/>
      <c r="AV701" s="231"/>
      <c r="AW701" s="231"/>
      <c r="AX701" s="231"/>
      <c r="AY701" s="231"/>
      <c r="AZ701" s="231"/>
      <c r="BA701" s="231"/>
      <c r="BB701" s="231"/>
      <c r="BC701" s="231"/>
      <c r="BD701" s="231"/>
      <c r="BE701" s="231"/>
      <c r="BF701" s="231"/>
      <c r="BG701" s="231"/>
      <c r="BH701" s="231"/>
      <c r="BI701" s="231"/>
      <c r="BJ701" s="231"/>
      <c r="BK701" s="224"/>
      <c r="BL701" s="224"/>
    </row>
    <row r="702" spans="1:64" hidden="1" outlineLevel="1">
      <c r="A702" s="9"/>
      <c r="B702" s="12"/>
      <c r="C702" s="44"/>
      <c r="D702" s="271">
        <f>Asset27</f>
        <v>0</v>
      </c>
      <c r="E702" s="12"/>
      <c r="F702" s="12"/>
      <c r="G702" s="204">
        <f t="shared" si="55"/>
        <v>0</v>
      </c>
      <c r="H702" s="157">
        <f t="shared" si="58"/>
        <v>0</v>
      </c>
      <c r="I702" s="157">
        <f t="shared" si="58"/>
        <v>0</v>
      </c>
      <c r="J702" s="157">
        <f t="shared" si="58"/>
        <v>0</v>
      </c>
      <c r="K702" s="157">
        <f t="shared" si="58"/>
        <v>0</v>
      </c>
      <c r="L702" s="157">
        <f t="shared" si="58"/>
        <v>0</v>
      </c>
      <c r="M702" s="157">
        <f>IF(COUNT($H702:L702)&gt;=Input!$Y$7,0, M518+M550+M582)</f>
        <v>0</v>
      </c>
      <c r="N702" s="157">
        <f>IF(COUNT($H702:M702)&gt;=Input!$Y$7,0, N518+N550+N582)</f>
        <v>0</v>
      </c>
      <c r="O702" s="157">
        <f>IF(COUNT($H702:N702)&gt;=Input!$Y$7,0, O518+O550+O582)</f>
        <v>0</v>
      </c>
      <c r="P702" s="157">
        <f>IF(COUNT($H702:O702)&gt;=Input!$Y$7,0, P518+P550+P582)</f>
        <v>0</v>
      </c>
      <c r="Q702" s="157">
        <f>IF(COUNT($H702:P702)&gt;=Input!$Y$7,0, Q518+Q550+Q582)</f>
        <v>0</v>
      </c>
      <c r="R702" s="104"/>
      <c r="S702" s="104"/>
      <c r="T702" s="104"/>
      <c r="U702" s="104"/>
      <c r="V702" s="104"/>
      <c r="W702" s="104"/>
      <c r="X702" s="104"/>
      <c r="Y702" s="104"/>
      <c r="Z702" s="104"/>
      <c r="AA702" s="231"/>
      <c r="AB702" s="231"/>
      <c r="AC702" s="231"/>
      <c r="AD702" s="231"/>
      <c r="AE702" s="231"/>
      <c r="AF702" s="231"/>
      <c r="AG702" s="231"/>
      <c r="AH702" s="231"/>
      <c r="AI702" s="231"/>
      <c r="AJ702" s="231"/>
      <c r="AK702" s="231"/>
      <c r="AL702" s="231"/>
      <c r="AM702" s="231"/>
      <c r="AN702" s="231"/>
      <c r="AO702" s="231"/>
      <c r="AP702" s="231"/>
      <c r="AQ702" s="231"/>
      <c r="AR702" s="231"/>
      <c r="AS702" s="231"/>
      <c r="AT702" s="231"/>
      <c r="AU702" s="231"/>
      <c r="AV702" s="231"/>
      <c r="AW702" s="231"/>
      <c r="AX702" s="231"/>
      <c r="AY702" s="231"/>
      <c r="AZ702" s="231"/>
      <c r="BA702" s="231"/>
      <c r="BB702" s="231"/>
      <c r="BC702" s="231"/>
      <c r="BD702" s="231"/>
      <c r="BE702" s="231"/>
      <c r="BF702" s="231"/>
      <c r="BG702" s="231"/>
      <c r="BH702" s="231"/>
      <c r="BI702" s="231"/>
      <c r="BJ702" s="231"/>
      <c r="BK702" s="224"/>
      <c r="BL702" s="224"/>
    </row>
    <row r="703" spans="1:64" hidden="1" outlineLevel="1">
      <c r="A703" s="9"/>
      <c r="B703" s="12"/>
      <c r="C703" s="44"/>
      <c r="D703" s="271">
        <f>Asset28</f>
        <v>0</v>
      </c>
      <c r="E703" s="12"/>
      <c r="F703" s="12"/>
      <c r="G703" s="204">
        <f t="shared" si="55"/>
        <v>0</v>
      </c>
      <c r="H703" s="157">
        <f t="shared" si="58"/>
        <v>0</v>
      </c>
      <c r="I703" s="157">
        <f t="shared" si="58"/>
        <v>0</v>
      </c>
      <c r="J703" s="157">
        <f t="shared" si="58"/>
        <v>0</v>
      </c>
      <c r="K703" s="157">
        <f t="shared" si="58"/>
        <v>0</v>
      </c>
      <c r="L703" s="157">
        <f t="shared" si="58"/>
        <v>0</v>
      </c>
      <c r="M703" s="157">
        <f>IF(COUNT($H703:L703)&gt;=Input!$Y$7,0, M519+M551+M583)</f>
        <v>0</v>
      </c>
      <c r="N703" s="157">
        <f>IF(COUNT($H703:M703)&gt;=Input!$Y$7,0, N519+N551+N583)</f>
        <v>0</v>
      </c>
      <c r="O703" s="157">
        <f>IF(COUNT($H703:N703)&gt;=Input!$Y$7,0, O519+O551+O583)</f>
        <v>0</v>
      </c>
      <c r="P703" s="157">
        <f>IF(COUNT($H703:O703)&gt;=Input!$Y$7,0, P519+P551+P583)</f>
        <v>0</v>
      </c>
      <c r="Q703" s="157">
        <f>IF(COUNT($H703:P703)&gt;=Input!$Y$7,0, Q519+Q551+Q583)</f>
        <v>0</v>
      </c>
      <c r="R703" s="104"/>
      <c r="S703" s="104"/>
      <c r="T703" s="104"/>
      <c r="U703" s="104"/>
      <c r="V703" s="104"/>
      <c r="W703" s="104"/>
      <c r="X703" s="104"/>
      <c r="Y703" s="104"/>
      <c r="Z703" s="104"/>
      <c r="AA703" s="231"/>
      <c r="AB703" s="231"/>
      <c r="AC703" s="231"/>
      <c r="AD703" s="231"/>
      <c r="AE703" s="231"/>
      <c r="AF703" s="231"/>
      <c r="AG703" s="231"/>
      <c r="AH703" s="231"/>
      <c r="AI703" s="231"/>
      <c r="AJ703" s="231"/>
      <c r="AK703" s="231"/>
      <c r="AL703" s="231"/>
      <c r="AM703" s="231"/>
      <c r="AN703" s="231"/>
      <c r="AO703" s="231"/>
      <c r="AP703" s="231"/>
      <c r="AQ703" s="231"/>
      <c r="AR703" s="231"/>
      <c r="AS703" s="231"/>
      <c r="AT703" s="231"/>
      <c r="AU703" s="231"/>
      <c r="AV703" s="231"/>
      <c r="AW703" s="231"/>
      <c r="AX703" s="231"/>
      <c r="AY703" s="231"/>
      <c r="AZ703" s="231"/>
      <c r="BA703" s="231"/>
      <c r="BB703" s="231"/>
      <c r="BC703" s="231"/>
      <c r="BD703" s="231"/>
      <c r="BE703" s="231"/>
      <c r="BF703" s="231"/>
      <c r="BG703" s="231"/>
      <c r="BH703" s="231"/>
      <c r="BI703" s="231"/>
      <c r="BJ703" s="231"/>
      <c r="BK703" s="224"/>
      <c r="BL703" s="224"/>
    </row>
    <row r="704" spans="1:64" hidden="1" outlineLevel="1">
      <c r="A704" s="9"/>
      <c r="B704" s="12"/>
      <c r="C704" s="44"/>
      <c r="D704" s="271">
        <f>Asset29</f>
        <v>0</v>
      </c>
      <c r="E704" s="12"/>
      <c r="F704" s="12"/>
      <c r="G704" s="204">
        <f t="shared" si="55"/>
        <v>0</v>
      </c>
      <c r="H704" s="157">
        <f t="shared" si="58"/>
        <v>0</v>
      </c>
      <c r="I704" s="157">
        <f t="shared" si="58"/>
        <v>0</v>
      </c>
      <c r="J704" s="157">
        <f t="shared" si="58"/>
        <v>0</v>
      </c>
      <c r="K704" s="157">
        <f t="shared" si="58"/>
        <v>0</v>
      </c>
      <c r="L704" s="157">
        <f t="shared" si="58"/>
        <v>0</v>
      </c>
      <c r="M704" s="157">
        <f>IF(COUNT($H704:L704)&gt;=Input!$Y$7,0, M520+M552+M584)</f>
        <v>0</v>
      </c>
      <c r="N704" s="157">
        <f>IF(COUNT($H704:M704)&gt;=Input!$Y$7,0, N520+N552+N584)</f>
        <v>0</v>
      </c>
      <c r="O704" s="157">
        <f>IF(COUNT($H704:N704)&gt;=Input!$Y$7,0, O520+O552+O584)</f>
        <v>0</v>
      </c>
      <c r="P704" s="157">
        <f>IF(COUNT($H704:O704)&gt;=Input!$Y$7,0, P520+P552+P584)</f>
        <v>0</v>
      </c>
      <c r="Q704" s="157">
        <f>IF(COUNT($H704:P704)&gt;=Input!$Y$7,0, Q520+Q552+Q584)</f>
        <v>0</v>
      </c>
      <c r="R704" s="104"/>
      <c r="S704" s="104"/>
      <c r="T704" s="104"/>
      <c r="U704" s="104"/>
      <c r="V704" s="104"/>
      <c r="W704" s="104"/>
      <c r="X704" s="104"/>
      <c r="Y704" s="104"/>
      <c r="Z704" s="104"/>
      <c r="AA704" s="231"/>
      <c r="AB704" s="231"/>
      <c r="AC704" s="231"/>
      <c r="AD704" s="231"/>
      <c r="AE704" s="231"/>
      <c r="AF704" s="231"/>
      <c r="AG704" s="231"/>
      <c r="AH704" s="231"/>
      <c r="AI704" s="231"/>
      <c r="AJ704" s="231"/>
      <c r="AK704" s="231"/>
      <c r="AL704" s="231"/>
      <c r="AM704" s="231"/>
      <c r="AN704" s="231"/>
      <c r="AO704" s="231"/>
      <c r="AP704" s="231"/>
      <c r="AQ704" s="231"/>
      <c r="AR704" s="231"/>
      <c r="AS704" s="231"/>
      <c r="AT704" s="231"/>
      <c r="AU704" s="231"/>
      <c r="AV704" s="231"/>
      <c r="AW704" s="231"/>
      <c r="AX704" s="231"/>
      <c r="AY704" s="231"/>
      <c r="AZ704" s="231"/>
      <c r="BA704" s="231"/>
      <c r="BB704" s="231"/>
      <c r="BC704" s="231"/>
      <c r="BD704" s="231"/>
      <c r="BE704" s="231"/>
      <c r="BF704" s="231"/>
      <c r="BG704" s="231"/>
      <c r="BH704" s="231"/>
      <c r="BI704" s="231"/>
      <c r="BJ704" s="231"/>
      <c r="BK704" s="224"/>
      <c r="BL704" s="224"/>
    </row>
    <row r="705" spans="1:64" hidden="1" outlineLevel="1">
      <c r="A705" s="9"/>
      <c r="B705" s="12"/>
      <c r="C705" s="44"/>
      <c r="D705" s="271">
        <f>Asset30</f>
        <v>0</v>
      </c>
      <c r="E705" s="12"/>
      <c r="F705" s="12"/>
      <c r="G705" s="204">
        <f t="shared" si="55"/>
        <v>0</v>
      </c>
      <c r="H705" s="157">
        <f t="shared" si="58"/>
        <v>0</v>
      </c>
      <c r="I705" s="157">
        <f t="shared" si="58"/>
        <v>0</v>
      </c>
      <c r="J705" s="157">
        <f t="shared" si="58"/>
        <v>0</v>
      </c>
      <c r="K705" s="157">
        <f t="shared" si="58"/>
        <v>0</v>
      </c>
      <c r="L705" s="157">
        <f t="shared" si="58"/>
        <v>0</v>
      </c>
      <c r="M705" s="157">
        <f>IF(COUNT($H705:L705)&gt;=Input!$Y$7,0, M521+M553+M585)</f>
        <v>0</v>
      </c>
      <c r="N705" s="157">
        <f>IF(COUNT($H705:M705)&gt;=Input!$Y$7,0, N521+N553+N585)</f>
        <v>0</v>
      </c>
      <c r="O705" s="157">
        <f>IF(COUNT($H705:N705)&gt;=Input!$Y$7,0, O521+O553+O585)</f>
        <v>0</v>
      </c>
      <c r="P705" s="157">
        <f>IF(COUNT($H705:O705)&gt;=Input!$Y$7,0, P521+P553+P585)</f>
        <v>0</v>
      </c>
      <c r="Q705" s="157">
        <f>IF(COUNT($H705:P705)&gt;=Input!$Y$7,0, Q521+Q553+Q585)</f>
        <v>0</v>
      </c>
      <c r="R705" s="104"/>
      <c r="S705" s="104"/>
      <c r="T705" s="104"/>
      <c r="U705" s="104"/>
      <c r="V705" s="104"/>
      <c r="W705" s="104"/>
      <c r="X705" s="104"/>
      <c r="Y705" s="104"/>
      <c r="Z705" s="104"/>
      <c r="AA705" s="231"/>
      <c r="AB705" s="231"/>
      <c r="AC705" s="231"/>
      <c r="AD705" s="231"/>
      <c r="AE705" s="231"/>
      <c r="AF705" s="231"/>
      <c r="AG705" s="231"/>
      <c r="AH705" s="231"/>
      <c r="AI705" s="231"/>
      <c r="AJ705" s="231"/>
      <c r="AK705" s="231"/>
      <c r="AL705" s="231"/>
      <c r="AM705" s="231"/>
      <c r="AN705" s="231"/>
      <c r="AO705" s="231"/>
      <c r="AP705" s="231"/>
      <c r="AQ705" s="231"/>
      <c r="AR705" s="231"/>
      <c r="AS705" s="231"/>
      <c r="AT705" s="231"/>
      <c r="AU705" s="231"/>
      <c r="AV705" s="231"/>
      <c r="AW705" s="231"/>
      <c r="AX705" s="231"/>
      <c r="AY705" s="231"/>
      <c r="AZ705" s="231"/>
      <c r="BA705" s="231"/>
      <c r="BB705" s="231"/>
      <c r="BC705" s="231"/>
      <c r="BD705" s="231"/>
      <c r="BE705" s="231"/>
      <c r="BF705" s="231"/>
      <c r="BG705" s="231"/>
      <c r="BH705" s="231"/>
      <c r="BI705" s="231"/>
      <c r="BJ705" s="231"/>
      <c r="BK705" s="224"/>
      <c r="BL705" s="224"/>
    </row>
    <row r="706" spans="1:64" collapsed="1">
      <c r="A706" s="9"/>
      <c r="B706" s="12"/>
      <c r="C706" s="94"/>
      <c r="D706" s="117"/>
      <c r="E706" s="12"/>
      <c r="F706" s="12"/>
      <c r="G706" s="156"/>
      <c r="H706" s="145"/>
      <c r="I706" s="145"/>
      <c r="J706" s="145"/>
      <c r="K706" s="145"/>
      <c r="L706" s="145"/>
      <c r="M706" s="145"/>
      <c r="N706" s="104"/>
      <c r="O706" s="104"/>
      <c r="P706" s="104"/>
      <c r="Q706" s="104"/>
      <c r="R706" s="104"/>
      <c r="S706" s="104"/>
      <c r="T706" s="104"/>
      <c r="U706" s="104"/>
      <c r="V706" s="104"/>
      <c r="W706" s="104"/>
      <c r="X706" s="104"/>
      <c r="Y706" s="104"/>
      <c r="Z706" s="104"/>
      <c r="AA706" s="231"/>
      <c r="AB706" s="231"/>
      <c r="AC706" s="231"/>
      <c r="AD706" s="231"/>
      <c r="AE706" s="231"/>
      <c r="AF706" s="231"/>
      <c r="AG706" s="231"/>
      <c r="AH706" s="231"/>
      <c r="AI706" s="231"/>
      <c r="AJ706" s="231"/>
      <c r="AK706" s="231"/>
      <c r="AL706" s="231"/>
      <c r="AM706" s="231"/>
      <c r="AN706" s="231"/>
      <c r="AO706" s="231"/>
      <c r="AP706" s="231"/>
      <c r="AQ706" s="231"/>
      <c r="AR706" s="231"/>
      <c r="AS706" s="231"/>
      <c r="AT706" s="231"/>
      <c r="AU706" s="231"/>
      <c r="AV706" s="231"/>
      <c r="AW706" s="231"/>
      <c r="AX706" s="231"/>
      <c r="AY706" s="231"/>
      <c r="AZ706" s="231"/>
      <c r="BA706" s="231"/>
      <c r="BB706" s="231"/>
      <c r="BC706" s="231"/>
      <c r="BD706" s="231"/>
      <c r="BE706" s="231"/>
      <c r="BF706" s="231"/>
      <c r="BG706" s="231"/>
      <c r="BH706" s="231"/>
      <c r="BI706" s="231"/>
      <c r="BJ706" s="231"/>
      <c r="BK706" s="224"/>
      <c r="BL706" s="224"/>
    </row>
    <row r="707" spans="1:64" s="9" customFormat="1">
      <c r="B707" s="12"/>
      <c r="C707" s="94" t="s">
        <v>12</v>
      </c>
      <c r="D707" s="12"/>
      <c r="E707" s="12"/>
      <c r="F707" s="12"/>
      <c r="G707" s="118"/>
      <c r="H707" s="119"/>
      <c r="I707" s="119"/>
      <c r="J707" s="119"/>
      <c r="K707" s="119"/>
      <c r="L707" s="119">
        <f t="shared" ref="L707:Q707" si="59">SUM(L708:L737)</f>
        <v>-18.17256938651434</v>
      </c>
      <c r="M707" s="119">
        <f t="shared" si="59"/>
        <v>0</v>
      </c>
      <c r="N707" s="119">
        <f t="shared" si="59"/>
        <v>0</v>
      </c>
      <c r="O707" s="119">
        <f t="shared" si="59"/>
        <v>0</v>
      </c>
      <c r="P707" s="119">
        <f t="shared" si="59"/>
        <v>0</v>
      </c>
      <c r="Q707" s="119">
        <f t="shared" si="59"/>
        <v>0</v>
      </c>
      <c r="R707" s="110"/>
      <c r="S707" s="110"/>
      <c r="T707" s="110"/>
      <c r="U707" s="110"/>
      <c r="V707" s="110"/>
      <c r="W707" s="110"/>
      <c r="X707" s="110"/>
      <c r="Y707" s="110"/>
      <c r="Z707" s="110"/>
      <c r="AA707" s="218"/>
      <c r="AB707" s="218"/>
      <c r="AC707" s="218"/>
      <c r="AD707" s="218"/>
      <c r="AE707" s="218"/>
      <c r="AF707" s="218"/>
      <c r="AG707" s="218"/>
      <c r="AH707" s="218"/>
      <c r="AI707" s="218"/>
      <c r="AJ707" s="218"/>
      <c r="AK707" s="218"/>
      <c r="AL707" s="218"/>
      <c r="AM707" s="218"/>
      <c r="AN707" s="218"/>
      <c r="AO707" s="218"/>
      <c r="AP707" s="218"/>
      <c r="AQ707" s="218"/>
      <c r="AR707" s="218"/>
      <c r="AS707" s="218"/>
      <c r="AT707" s="218"/>
      <c r="AU707" s="218"/>
      <c r="AV707" s="218"/>
      <c r="AW707" s="218"/>
      <c r="AX707" s="218"/>
      <c r="AY707" s="218"/>
      <c r="AZ707" s="218"/>
      <c r="BA707" s="218"/>
      <c r="BB707" s="218"/>
      <c r="BC707" s="218"/>
      <c r="BD707" s="218"/>
      <c r="BE707" s="218"/>
      <c r="BF707" s="218"/>
      <c r="BG707" s="218"/>
      <c r="BH707" s="218"/>
      <c r="BI707" s="218"/>
      <c r="BJ707" s="218"/>
      <c r="BK707" s="224"/>
      <c r="BL707" s="224"/>
    </row>
    <row r="708" spans="1:64" ht="12" hidden="1" customHeight="1" outlineLevel="1">
      <c r="A708" s="9"/>
      <c r="B708" s="9"/>
      <c r="C708" s="9"/>
      <c r="D708" s="271" t="str">
        <f>Asset1</f>
        <v>Subtransmission</v>
      </c>
      <c r="E708" s="9"/>
      <c r="F708" s="9"/>
      <c r="G708" s="9"/>
      <c r="H708" s="115"/>
      <c r="I708" s="115"/>
      <c r="J708" s="115"/>
      <c r="K708" s="115"/>
      <c r="L708" s="115">
        <f>IF(L$675&gt;0, IF(M$675=0, 'Adjustment for previous period'!$G76, 0), 0)</f>
        <v>-1.3366217069966382</v>
      </c>
      <c r="M708" s="115">
        <f>IF(M$675&gt;0, IF(N$675=0, 'Adjustment for previous period'!$G76, 0), 0)</f>
        <v>0</v>
      </c>
      <c r="N708" s="115">
        <f>IF(N$675&gt;0, IF(O$675=0, 'Adjustment for previous period'!$G76, 0), 0)</f>
        <v>0</v>
      </c>
      <c r="O708" s="115">
        <f>IF(O$675&gt;0, IF(P$675=0, 'Adjustment for previous period'!$G76, 0), 0)</f>
        <v>0</v>
      </c>
      <c r="P708" s="115">
        <f>IF(P$675&gt;0, IF(Q$675=0, 'Adjustment for previous period'!$G76, 0), 0)</f>
        <v>0</v>
      </c>
      <c r="Q708" s="115">
        <f>IF(Q$675&gt;0, IF(R$675=0, 'Adjustment for previous period'!$G76, 0), 0)</f>
        <v>0</v>
      </c>
      <c r="R708" s="9"/>
      <c r="S708" s="12"/>
      <c r="T708" s="12"/>
      <c r="U708" s="12"/>
      <c r="V708" s="12"/>
      <c r="W708" s="12"/>
      <c r="X708" s="12"/>
      <c r="Y708" s="12"/>
      <c r="Z708" s="12"/>
      <c r="AA708" s="224"/>
      <c r="AB708" s="224"/>
      <c r="AC708" s="224"/>
      <c r="AD708" s="224"/>
      <c r="AE708" s="224"/>
      <c r="AF708" s="224"/>
      <c r="AG708" s="224"/>
      <c r="AH708" s="224"/>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224"/>
      <c r="BE708" s="224"/>
      <c r="BF708" s="224"/>
      <c r="BG708" s="224"/>
      <c r="BH708" s="224"/>
      <c r="BI708" s="224"/>
      <c r="BJ708" s="224"/>
      <c r="BK708" s="224"/>
      <c r="BL708" s="224"/>
    </row>
    <row r="709" spans="1:64" ht="12" hidden="1" customHeight="1" outlineLevel="1">
      <c r="A709" s="9"/>
      <c r="B709" s="9"/>
      <c r="C709" s="9"/>
      <c r="D709" s="271" t="str">
        <f>Asset2</f>
        <v>Distribution system assets</v>
      </c>
      <c r="E709" s="9"/>
      <c r="F709" s="9"/>
      <c r="G709" s="9"/>
      <c r="H709" s="115"/>
      <c r="I709" s="115"/>
      <c r="J709" s="115"/>
      <c r="K709" s="115"/>
      <c r="L709" s="115">
        <f>IF(L$675&gt;0, IF(M$675=0, 'Adjustment for previous period'!$G77, 0), 0)</f>
        <v>-1.3017464708318016</v>
      </c>
      <c r="M709" s="115">
        <f>IF(M$675&gt;0, IF(N$675=0, 'Adjustment for previous period'!$G77, 0), 0)</f>
        <v>0</v>
      </c>
      <c r="N709" s="115">
        <f>IF(N$675&gt;0, IF(O$675=0, 'Adjustment for previous period'!$G77, 0), 0)</f>
        <v>0</v>
      </c>
      <c r="O709" s="115">
        <f>IF(O$675&gt;0, IF(P$675=0, 'Adjustment for previous period'!$G77, 0), 0)</f>
        <v>0</v>
      </c>
      <c r="P709" s="115">
        <f>IF(P$675&gt;0, IF(Q$675=0, 'Adjustment for previous period'!$G77, 0), 0)</f>
        <v>0</v>
      </c>
      <c r="Q709" s="115">
        <f>IF(Q$675&gt;0, IF(R$675=0, 'Adjustment for previous period'!$G77, 0), 0)</f>
        <v>0</v>
      </c>
      <c r="R709" s="9"/>
      <c r="S709" s="12"/>
      <c r="T709" s="12"/>
      <c r="U709" s="12"/>
      <c r="V709" s="12"/>
      <c r="W709" s="12"/>
      <c r="X709" s="12"/>
      <c r="Y709" s="12"/>
      <c r="Z709" s="12"/>
      <c r="AA709" s="224"/>
      <c r="AB709" s="224"/>
      <c r="AC709" s="224"/>
      <c r="AD709" s="224"/>
      <c r="AE709" s="224"/>
      <c r="AF709" s="224"/>
      <c r="AG709" s="224"/>
      <c r="AH709" s="224"/>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224"/>
      <c r="BE709" s="224"/>
      <c r="BF709" s="224"/>
      <c r="BG709" s="224"/>
      <c r="BH709" s="224"/>
      <c r="BI709" s="224"/>
      <c r="BJ709" s="224"/>
      <c r="BK709" s="224"/>
      <c r="BL709" s="224"/>
    </row>
    <row r="710" spans="1:64" ht="12" hidden="1" customHeight="1" outlineLevel="1">
      <c r="A710" s="9"/>
      <c r="B710" s="9"/>
      <c r="C710" s="9"/>
      <c r="D710" s="271" t="str">
        <f>Asset3</f>
        <v>Standard metering</v>
      </c>
      <c r="E710" s="9"/>
      <c r="F710" s="9"/>
      <c r="G710" s="9"/>
      <c r="H710" s="115"/>
      <c r="I710" s="115"/>
      <c r="J710" s="115"/>
      <c r="K710" s="115"/>
      <c r="L710" s="115">
        <f>IF(L$675&gt;0, IF(M$675=0, 'Adjustment for previous period'!$G78, 0), 0)</f>
        <v>0</v>
      </c>
      <c r="M710" s="115">
        <f>IF(M$675&gt;0, IF(N$675=0, 'Adjustment for previous period'!$G78, 0), 0)</f>
        <v>0</v>
      </c>
      <c r="N710" s="115">
        <f>IF(N$675&gt;0, IF(O$675=0, 'Adjustment for previous period'!$G78, 0), 0)</f>
        <v>0</v>
      </c>
      <c r="O710" s="115">
        <f>IF(O$675&gt;0, IF(P$675=0, 'Adjustment for previous period'!$G78, 0), 0)</f>
        <v>0</v>
      </c>
      <c r="P710" s="115">
        <f>IF(P$675&gt;0, IF(Q$675=0, 'Adjustment for previous period'!$G78, 0), 0)</f>
        <v>0</v>
      </c>
      <c r="Q710" s="115">
        <f>IF(Q$675&gt;0, IF(R$675=0, 'Adjustment for previous period'!$G78, 0), 0)</f>
        <v>0</v>
      </c>
      <c r="R710" s="9"/>
      <c r="S710" s="12"/>
      <c r="T710" s="12"/>
      <c r="U710" s="12"/>
      <c r="V710" s="12"/>
      <c r="W710" s="12"/>
      <c r="X710" s="12"/>
      <c r="Y710" s="12"/>
      <c r="Z710" s="12"/>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row>
    <row r="711" spans="1:64" ht="12" hidden="1" customHeight="1" outlineLevel="1">
      <c r="A711" s="9"/>
      <c r="B711" s="9"/>
      <c r="C711" s="9"/>
      <c r="D711" s="271" t="str">
        <f>Asset4</f>
        <v>Public lighting</v>
      </c>
      <c r="E711" s="9"/>
      <c r="F711" s="9"/>
      <c r="G711" s="9"/>
      <c r="H711" s="115"/>
      <c r="I711" s="115"/>
      <c r="J711" s="115"/>
      <c r="K711" s="115"/>
      <c r="L711" s="115">
        <f>IF(L$675&gt;0, IF(M$675=0, 'Adjustment for previous period'!$G79, 0), 0)</f>
        <v>0</v>
      </c>
      <c r="M711" s="115">
        <f>IF(M$675&gt;0, IF(N$675=0, 'Adjustment for previous period'!$G79, 0), 0)</f>
        <v>0</v>
      </c>
      <c r="N711" s="115">
        <f>IF(N$675&gt;0, IF(O$675=0, 'Adjustment for previous period'!$G79, 0), 0)</f>
        <v>0</v>
      </c>
      <c r="O711" s="115">
        <f>IF(O$675&gt;0, IF(P$675=0, 'Adjustment for previous period'!$G79, 0), 0)</f>
        <v>0</v>
      </c>
      <c r="P711" s="115">
        <f>IF(P$675&gt;0, IF(Q$675=0, 'Adjustment for previous period'!$G79, 0), 0)</f>
        <v>0</v>
      </c>
      <c r="Q711" s="115">
        <f>IF(Q$675&gt;0, IF(R$675=0, 'Adjustment for previous period'!$G79, 0), 0)</f>
        <v>0</v>
      </c>
      <c r="R711" s="9"/>
      <c r="S711" s="12"/>
      <c r="T711" s="12"/>
      <c r="U711" s="12"/>
      <c r="V711" s="12"/>
      <c r="W711" s="12"/>
      <c r="X711" s="12"/>
      <c r="Y711" s="12"/>
      <c r="Z711" s="12"/>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224"/>
      <c r="BH711" s="224"/>
      <c r="BI711" s="224"/>
      <c r="BJ711" s="224"/>
      <c r="BK711" s="224"/>
      <c r="BL711" s="224"/>
    </row>
    <row r="712" spans="1:64" ht="12" hidden="1" customHeight="1" outlineLevel="1">
      <c r="A712" s="9"/>
      <c r="B712" s="9"/>
      <c r="C712" s="9"/>
      <c r="D712" s="271" t="str">
        <f>Asset5</f>
        <v>SCADA/Network control</v>
      </c>
      <c r="E712" s="9"/>
      <c r="F712" s="9"/>
      <c r="G712" s="9"/>
      <c r="H712" s="115"/>
      <c r="I712" s="115"/>
      <c r="J712" s="115"/>
      <c r="K712" s="115"/>
      <c r="L712" s="115">
        <f>IF(L$675&gt;0, IF(M$675=0, 'Adjustment for previous period'!$G80, 0), 0)</f>
        <v>1.1359421498995483</v>
      </c>
      <c r="M712" s="115">
        <f>IF(M$675&gt;0, IF(N$675=0, 'Adjustment for previous period'!$G80, 0), 0)</f>
        <v>0</v>
      </c>
      <c r="N712" s="115">
        <f>IF(N$675&gt;0, IF(O$675=0, 'Adjustment for previous period'!$G80, 0), 0)</f>
        <v>0</v>
      </c>
      <c r="O712" s="115">
        <f>IF(O$675&gt;0, IF(P$675=0, 'Adjustment for previous period'!$G80, 0), 0)</f>
        <v>0</v>
      </c>
      <c r="P712" s="115">
        <f>IF(P$675&gt;0, IF(Q$675=0, 'Adjustment for previous period'!$G80, 0), 0)</f>
        <v>0</v>
      </c>
      <c r="Q712" s="115">
        <f>IF(Q$675&gt;0, IF(R$675=0, 'Adjustment for previous period'!$G80, 0), 0)</f>
        <v>0</v>
      </c>
      <c r="R712" s="9"/>
      <c r="S712" s="12"/>
      <c r="T712" s="12"/>
      <c r="U712" s="12"/>
      <c r="V712" s="12"/>
      <c r="W712" s="12"/>
      <c r="X712" s="12"/>
      <c r="Y712" s="12"/>
      <c r="Z712" s="12"/>
      <c r="AA712" s="224"/>
      <c r="AB712" s="224"/>
      <c r="AC712" s="224"/>
      <c r="AD712" s="224"/>
      <c r="AE712" s="224"/>
      <c r="AF712" s="224"/>
      <c r="AG712" s="224"/>
      <c r="AH712" s="224"/>
      <c r="AI712" s="224"/>
      <c r="AJ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224"/>
      <c r="BE712" s="224"/>
      <c r="BF712" s="224"/>
      <c r="BG712" s="224"/>
      <c r="BH712" s="224"/>
      <c r="BI712" s="224"/>
      <c r="BJ712" s="224"/>
      <c r="BK712" s="224"/>
      <c r="BL712" s="224"/>
    </row>
    <row r="713" spans="1:64" ht="12" hidden="1" customHeight="1" outlineLevel="1">
      <c r="A713" s="9"/>
      <c r="B713" s="9"/>
      <c r="C713" s="9"/>
      <c r="D713" s="271" t="str">
        <f>Asset6</f>
        <v>Non-network general assets - IT</v>
      </c>
      <c r="E713" s="9"/>
      <c r="F713" s="9"/>
      <c r="G713" s="9"/>
      <c r="H713" s="115"/>
      <c r="I713" s="115"/>
      <c r="J713" s="115"/>
      <c r="K713" s="115"/>
      <c r="L713" s="115">
        <f>IF(L$675&gt;0, IF(M$675=0, 'Adjustment for previous period'!$G81, 0), 0)</f>
        <v>-13.664127927522692</v>
      </c>
      <c r="M713" s="115">
        <f>IF(M$675&gt;0, IF(N$675=0, 'Adjustment for previous period'!$G81, 0), 0)</f>
        <v>0</v>
      </c>
      <c r="N713" s="115">
        <f>IF(N$675&gt;0, IF(O$675=0, 'Adjustment for previous period'!$G81, 0), 0)</f>
        <v>0</v>
      </c>
      <c r="O713" s="115">
        <f>IF(O$675&gt;0, IF(P$675=0, 'Adjustment for previous period'!$G81, 0), 0)</f>
        <v>0</v>
      </c>
      <c r="P713" s="115">
        <f>IF(P$675&gt;0, IF(Q$675=0, 'Adjustment for previous period'!$G81, 0), 0)</f>
        <v>0</v>
      </c>
      <c r="Q713" s="115">
        <f>IF(Q$675&gt;0, IF(R$675=0, 'Adjustment for previous period'!$G81, 0), 0)</f>
        <v>0</v>
      </c>
      <c r="R713" s="9"/>
      <c r="S713" s="12"/>
      <c r="T713" s="12"/>
      <c r="U713" s="12"/>
      <c r="V713" s="12"/>
      <c r="W713" s="12"/>
      <c r="X713" s="12"/>
      <c r="Y713" s="12"/>
      <c r="Z713" s="12"/>
      <c r="AA713" s="224"/>
      <c r="AB713" s="224"/>
      <c r="AC713" s="224"/>
      <c r="AD713" s="224"/>
      <c r="AE713" s="224"/>
      <c r="AF713" s="224"/>
      <c r="AG713" s="224"/>
      <c r="AH713" s="224"/>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224"/>
      <c r="BE713" s="224"/>
      <c r="BF713" s="224"/>
      <c r="BG713" s="224"/>
      <c r="BH713" s="224"/>
      <c r="BI713" s="224"/>
      <c r="BJ713" s="224"/>
      <c r="BK713" s="224"/>
      <c r="BL713" s="224"/>
    </row>
    <row r="714" spans="1:64" ht="12" hidden="1" customHeight="1" outlineLevel="1">
      <c r="A714" s="9"/>
      <c r="B714" s="9"/>
      <c r="C714" s="9"/>
      <c r="D714" s="271" t="str">
        <f>Asset7</f>
        <v>Non-network general assets - Other</v>
      </c>
      <c r="E714" s="9"/>
      <c r="F714" s="9"/>
      <c r="G714" s="9"/>
      <c r="H714" s="115"/>
      <c r="I714" s="115"/>
      <c r="J714" s="115"/>
      <c r="K714" s="115"/>
      <c r="L714" s="115">
        <f>IF(L$675&gt;0, IF(M$675=0, 'Adjustment for previous period'!$G82, 0), 0)</f>
        <v>-3.0060154310627576</v>
      </c>
      <c r="M714" s="115">
        <f>IF(M$675&gt;0, IF(N$675=0, 'Adjustment for previous period'!$G82, 0), 0)</f>
        <v>0</v>
      </c>
      <c r="N714" s="115">
        <f>IF(N$675&gt;0, IF(O$675=0, 'Adjustment for previous period'!$G82, 0), 0)</f>
        <v>0</v>
      </c>
      <c r="O714" s="115">
        <f>IF(O$675&gt;0, IF(P$675=0, 'Adjustment for previous period'!$G82, 0), 0)</f>
        <v>0</v>
      </c>
      <c r="P714" s="115">
        <f>IF(P$675&gt;0, IF(Q$675=0, 'Adjustment for previous period'!$G82, 0), 0)</f>
        <v>0</v>
      </c>
      <c r="Q714" s="115">
        <f>IF(Q$675&gt;0, IF(R$675=0, 'Adjustment for previous period'!$G82, 0), 0)</f>
        <v>0</v>
      </c>
      <c r="R714" s="9"/>
      <c r="S714" s="12"/>
      <c r="T714" s="12"/>
      <c r="U714" s="12"/>
      <c r="V714" s="12"/>
      <c r="W714" s="12"/>
      <c r="X714" s="12"/>
      <c r="Y714" s="12"/>
      <c r="Z714" s="12"/>
      <c r="AA714" s="224"/>
      <c r="AB714" s="224"/>
      <c r="AC714" s="224"/>
      <c r="AD714" s="224"/>
      <c r="AE714" s="224"/>
      <c r="AF714" s="224"/>
      <c r="AG714" s="224"/>
      <c r="AH714" s="224"/>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224"/>
      <c r="BE714" s="224"/>
      <c r="BF714" s="224"/>
      <c r="BG714" s="224"/>
      <c r="BH714" s="224"/>
      <c r="BI714" s="224"/>
      <c r="BJ714" s="224"/>
      <c r="BK714" s="224"/>
      <c r="BL714" s="224"/>
    </row>
    <row r="715" spans="1:64" ht="12" hidden="1" customHeight="1" outlineLevel="1">
      <c r="A715" s="9"/>
      <c r="B715" s="9"/>
      <c r="C715" s="9"/>
      <c r="D715" s="271" t="str">
        <f>Asset8</f>
        <v>Equity Raising Costs</v>
      </c>
      <c r="E715" s="9"/>
      <c r="F715" s="9"/>
      <c r="G715" s="9"/>
      <c r="H715" s="115"/>
      <c r="I715" s="115"/>
      <c r="J715" s="115"/>
      <c r="K715" s="115"/>
      <c r="L715" s="115">
        <f>IF(L$675&gt;0, IF(M$675=0, 'Adjustment for previous period'!$G83, 0), 0)</f>
        <v>0</v>
      </c>
      <c r="M715" s="115">
        <f>IF(M$675&gt;0, IF(N$675=0, 'Adjustment for previous period'!$G83, 0), 0)</f>
        <v>0</v>
      </c>
      <c r="N715" s="115">
        <f>IF(N$675&gt;0, IF(O$675=0, 'Adjustment for previous period'!$G83, 0), 0)</f>
        <v>0</v>
      </c>
      <c r="O715" s="115">
        <f>IF(O$675&gt;0, IF(P$675=0, 'Adjustment for previous period'!$G83, 0), 0)</f>
        <v>0</v>
      </c>
      <c r="P715" s="115">
        <f>IF(P$675&gt;0, IF(Q$675=0, 'Adjustment for previous period'!$G83, 0), 0)</f>
        <v>0</v>
      </c>
      <c r="Q715" s="115">
        <f>IF(Q$675&gt;0, IF(R$675=0, 'Adjustment for previous period'!$G83, 0), 0)</f>
        <v>0</v>
      </c>
      <c r="R715" s="9"/>
      <c r="S715" s="12"/>
      <c r="T715" s="12"/>
      <c r="U715" s="12"/>
      <c r="V715" s="12"/>
      <c r="W715" s="12"/>
      <c r="X715" s="12"/>
      <c r="Y715" s="12"/>
      <c r="Z715" s="12"/>
      <c r="AA715" s="224"/>
      <c r="AB715" s="224"/>
      <c r="AC715" s="224"/>
      <c r="AD715" s="224"/>
      <c r="AE715" s="224"/>
      <c r="AF715" s="224"/>
      <c r="AG715" s="224"/>
      <c r="AH715" s="224"/>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224"/>
      <c r="BE715" s="224"/>
      <c r="BF715" s="224"/>
      <c r="BG715" s="224"/>
      <c r="BH715" s="224"/>
      <c r="BI715" s="224"/>
      <c r="BJ715" s="224"/>
      <c r="BK715" s="224"/>
      <c r="BL715" s="224"/>
    </row>
    <row r="716" spans="1:64" ht="12" hidden="1" customHeight="1" outlineLevel="1">
      <c r="A716" s="9"/>
      <c r="B716" s="9"/>
      <c r="C716" s="9"/>
      <c r="D716" s="271">
        <f>Asset9</f>
        <v>0</v>
      </c>
      <c r="E716" s="9"/>
      <c r="F716" s="9"/>
      <c r="G716" s="9"/>
      <c r="H716" s="115"/>
      <c r="I716" s="115"/>
      <c r="J716" s="115"/>
      <c r="K716" s="115"/>
      <c r="L716" s="115">
        <f>IF(L$675&gt;0, IF(M$675=0, 'Adjustment for previous period'!$G84, 0), 0)</f>
        <v>0</v>
      </c>
      <c r="M716" s="115">
        <f>IF(M$675&gt;0, IF(N$675=0, 'Adjustment for previous period'!$G84, 0), 0)</f>
        <v>0</v>
      </c>
      <c r="N716" s="115">
        <f>IF(N$675&gt;0, IF(O$675=0, 'Adjustment for previous period'!$G84, 0), 0)</f>
        <v>0</v>
      </c>
      <c r="O716" s="115">
        <f>IF(O$675&gt;0, IF(P$675=0, 'Adjustment for previous period'!$G84, 0), 0)</f>
        <v>0</v>
      </c>
      <c r="P716" s="115">
        <f>IF(P$675&gt;0, IF(Q$675=0, 'Adjustment for previous period'!$G84, 0), 0)</f>
        <v>0</v>
      </c>
      <c r="Q716" s="115">
        <f>IF(Q$675&gt;0, IF(R$675=0, 'Adjustment for previous period'!$G84, 0), 0)</f>
        <v>0</v>
      </c>
      <c r="R716" s="9"/>
      <c r="S716" s="12"/>
      <c r="T716" s="12"/>
      <c r="U716" s="12"/>
      <c r="V716" s="12"/>
      <c r="W716" s="12"/>
      <c r="X716" s="12"/>
      <c r="Y716" s="12"/>
      <c r="Z716" s="12"/>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row>
    <row r="717" spans="1:64" ht="12" hidden="1" customHeight="1" outlineLevel="1">
      <c r="A717" s="9"/>
      <c r="B717" s="9"/>
      <c r="C717" s="9"/>
      <c r="D717" s="271">
        <f>Asset10</f>
        <v>0</v>
      </c>
      <c r="E717" s="9"/>
      <c r="F717" s="9"/>
      <c r="G717" s="9"/>
      <c r="H717" s="115"/>
      <c r="I717" s="115"/>
      <c r="J717" s="115"/>
      <c r="K717" s="115"/>
      <c r="L717" s="115">
        <f>IF(L$675&gt;0, IF(M$675=0, 'Adjustment for previous period'!$G85, 0), 0)</f>
        <v>0</v>
      </c>
      <c r="M717" s="115">
        <f>IF(M$675&gt;0, IF(N$675=0, 'Adjustment for previous period'!$G85, 0), 0)</f>
        <v>0</v>
      </c>
      <c r="N717" s="115">
        <f>IF(N$675&gt;0, IF(O$675=0, 'Adjustment for previous period'!$G85, 0), 0)</f>
        <v>0</v>
      </c>
      <c r="O717" s="115">
        <f>IF(O$675&gt;0, IF(P$675=0, 'Adjustment for previous period'!$G85, 0), 0)</f>
        <v>0</v>
      </c>
      <c r="P717" s="115">
        <f>IF(P$675&gt;0, IF(Q$675=0, 'Adjustment for previous period'!$G85, 0), 0)</f>
        <v>0</v>
      </c>
      <c r="Q717" s="115">
        <f>IF(Q$675&gt;0, IF(R$675=0, 'Adjustment for previous period'!$G85, 0), 0)</f>
        <v>0</v>
      </c>
      <c r="R717" s="9"/>
      <c r="S717" s="12"/>
      <c r="T717" s="12"/>
      <c r="U717" s="12"/>
      <c r="V717" s="12"/>
      <c r="W717" s="12"/>
      <c r="X717" s="12"/>
      <c r="Y717" s="12"/>
      <c r="Z717" s="12"/>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224"/>
      <c r="BH717" s="224"/>
      <c r="BI717" s="224"/>
      <c r="BJ717" s="224"/>
      <c r="BK717" s="224"/>
      <c r="BL717" s="224"/>
    </row>
    <row r="718" spans="1:64" ht="12" hidden="1" customHeight="1" outlineLevel="1">
      <c r="A718" s="9"/>
      <c r="B718" s="9"/>
      <c r="C718" s="9"/>
      <c r="D718" s="271">
        <f>Asset11</f>
        <v>0</v>
      </c>
      <c r="E718" s="9"/>
      <c r="F718" s="9"/>
      <c r="G718" s="9"/>
      <c r="H718" s="115"/>
      <c r="I718" s="115"/>
      <c r="J718" s="115"/>
      <c r="K718" s="115"/>
      <c r="L718" s="115">
        <f>IF(L$675&gt;0, IF(M$675=0, 'Adjustment for previous period'!$G86, 0), 0)</f>
        <v>0</v>
      </c>
      <c r="M718" s="115">
        <f>IF(M$675&gt;0, IF(N$675=0, 'Adjustment for previous period'!$G86, 0), 0)</f>
        <v>0</v>
      </c>
      <c r="N718" s="115">
        <f>IF(N$675&gt;0, IF(O$675=0, 'Adjustment for previous period'!$G86, 0), 0)</f>
        <v>0</v>
      </c>
      <c r="O718" s="115">
        <f>IF(O$675&gt;0, IF(P$675=0, 'Adjustment for previous period'!$G86, 0), 0)</f>
        <v>0</v>
      </c>
      <c r="P718" s="115">
        <f>IF(P$675&gt;0, IF(Q$675=0, 'Adjustment for previous period'!$G86, 0), 0)</f>
        <v>0</v>
      </c>
      <c r="Q718" s="115">
        <f>IF(Q$675&gt;0, IF(R$675=0, 'Adjustment for previous period'!$G86, 0), 0)</f>
        <v>0</v>
      </c>
      <c r="R718" s="9"/>
      <c r="S718" s="12"/>
      <c r="T718" s="12"/>
      <c r="U718" s="12"/>
      <c r="V718" s="12"/>
      <c r="W718" s="12"/>
      <c r="X718" s="12"/>
      <c r="Y718" s="12"/>
      <c r="Z718" s="12"/>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224"/>
      <c r="BH718" s="224"/>
      <c r="BI718" s="224"/>
      <c r="BJ718" s="224"/>
      <c r="BK718" s="224"/>
      <c r="BL718" s="224"/>
    </row>
    <row r="719" spans="1:64" ht="12" hidden="1" customHeight="1" outlineLevel="1">
      <c r="A719" s="9"/>
      <c r="B719" s="9"/>
      <c r="C719" s="9"/>
      <c r="D719" s="271">
        <f>Asset12</f>
        <v>0</v>
      </c>
      <c r="E719" s="9"/>
      <c r="F719" s="9"/>
      <c r="G719" s="9"/>
      <c r="H719" s="115"/>
      <c r="I719" s="115"/>
      <c r="J719" s="115"/>
      <c r="K719" s="115"/>
      <c r="L719" s="115">
        <f>IF(L$675&gt;0, IF(M$675=0, 'Adjustment for previous period'!$G87, 0), 0)</f>
        <v>0</v>
      </c>
      <c r="M719" s="115">
        <f>IF(M$675&gt;0, IF(N$675=0, 'Adjustment for previous period'!$G87, 0), 0)</f>
        <v>0</v>
      </c>
      <c r="N719" s="115">
        <f>IF(N$675&gt;0, IF(O$675=0, 'Adjustment for previous period'!$G87, 0), 0)</f>
        <v>0</v>
      </c>
      <c r="O719" s="115">
        <f>IF(O$675&gt;0, IF(P$675=0, 'Adjustment for previous period'!$G87, 0), 0)</f>
        <v>0</v>
      </c>
      <c r="P719" s="115">
        <f>IF(P$675&gt;0, IF(Q$675=0, 'Adjustment for previous period'!$G87, 0), 0)</f>
        <v>0</v>
      </c>
      <c r="Q719" s="115">
        <f>IF(Q$675&gt;0, IF(R$675=0, 'Adjustment for previous period'!$G87, 0), 0)</f>
        <v>0</v>
      </c>
      <c r="R719" s="9"/>
      <c r="S719" s="12"/>
      <c r="T719" s="12"/>
      <c r="U719" s="12"/>
      <c r="V719" s="12"/>
      <c r="W719" s="12"/>
      <c r="X719" s="12"/>
      <c r="Y719" s="12"/>
      <c r="Z719" s="12"/>
      <c r="AA719" s="224"/>
      <c r="AB719" s="224"/>
      <c r="AC719" s="224"/>
      <c r="AD719" s="224"/>
      <c r="AE719" s="224"/>
      <c r="AF719" s="224"/>
      <c r="AG719" s="224"/>
      <c r="AH719" s="224"/>
      <c r="AI719" s="224"/>
      <c r="AJ719" s="224"/>
      <c r="AK719" s="224"/>
      <c r="AL719" s="224"/>
      <c r="AM719" s="224"/>
      <c r="AN719" s="224"/>
      <c r="AO719" s="224"/>
      <c r="AP719" s="224"/>
      <c r="AQ719" s="224"/>
      <c r="AR719" s="224"/>
      <c r="AS719" s="224"/>
      <c r="AT719" s="224"/>
      <c r="AU719" s="224"/>
      <c r="AV719" s="224"/>
      <c r="AW719" s="224"/>
      <c r="AX719" s="224"/>
      <c r="AY719" s="224"/>
      <c r="AZ719" s="224"/>
      <c r="BA719" s="224"/>
      <c r="BB719" s="224"/>
      <c r="BC719" s="224"/>
      <c r="BD719" s="224"/>
      <c r="BE719" s="224"/>
      <c r="BF719" s="224"/>
      <c r="BG719" s="224"/>
      <c r="BH719" s="224"/>
      <c r="BI719" s="224"/>
      <c r="BJ719" s="224"/>
      <c r="BK719" s="224"/>
      <c r="BL719" s="224"/>
    </row>
    <row r="720" spans="1:64" ht="12" hidden="1" customHeight="1" outlineLevel="1">
      <c r="A720" s="9"/>
      <c r="B720" s="9"/>
      <c r="C720" s="9"/>
      <c r="D720" s="271">
        <f>Asset13</f>
        <v>0</v>
      </c>
      <c r="E720" s="9"/>
      <c r="F720" s="9"/>
      <c r="G720" s="9"/>
      <c r="H720" s="115"/>
      <c r="I720" s="115"/>
      <c r="J720" s="115"/>
      <c r="K720" s="115"/>
      <c r="L720" s="115">
        <f>IF(L$675&gt;0, IF(M$675=0, 'Adjustment for previous period'!$G88, 0), 0)</f>
        <v>0</v>
      </c>
      <c r="M720" s="115">
        <f>IF(M$675&gt;0, IF(N$675=0, 'Adjustment for previous period'!$G88, 0), 0)</f>
        <v>0</v>
      </c>
      <c r="N720" s="115">
        <f>IF(N$675&gt;0, IF(O$675=0, 'Adjustment for previous period'!$G88, 0), 0)</f>
        <v>0</v>
      </c>
      <c r="O720" s="115">
        <f>IF(O$675&gt;0, IF(P$675=0, 'Adjustment for previous period'!$G88, 0), 0)</f>
        <v>0</v>
      </c>
      <c r="P720" s="115">
        <f>IF(P$675&gt;0, IF(Q$675=0, 'Adjustment for previous period'!$G88, 0), 0)</f>
        <v>0</v>
      </c>
      <c r="Q720" s="115">
        <f>IF(Q$675&gt;0, IF(R$675=0, 'Adjustment for previous period'!$G88, 0), 0)</f>
        <v>0</v>
      </c>
      <c r="R720" s="9"/>
      <c r="S720" s="12"/>
      <c r="T720" s="12"/>
      <c r="U720" s="12"/>
      <c r="V720" s="12"/>
      <c r="W720" s="12"/>
      <c r="X720" s="12"/>
      <c r="Y720" s="12"/>
      <c r="Z720" s="12"/>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224"/>
      <c r="BE720" s="224"/>
      <c r="BF720" s="224"/>
      <c r="BG720" s="224"/>
      <c r="BH720" s="224"/>
      <c r="BI720" s="224"/>
      <c r="BJ720" s="224"/>
      <c r="BK720" s="224"/>
      <c r="BL720" s="224"/>
    </row>
    <row r="721" spans="1:64" ht="12" hidden="1" customHeight="1" outlineLevel="1">
      <c r="A721" s="9"/>
      <c r="B721" s="9"/>
      <c r="C721" s="9"/>
      <c r="D721" s="271">
        <f>Asset14</f>
        <v>0</v>
      </c>
      <c r="E721" s="9"/>
      <c r="F721" s="9"/>
      <c r="G721" s="9"/>
      <c r="H721" s="115"/>
      <c r="I721" s="115"/>
      <c r="J721" s="115"/>
      <c r="K721" s="115"/>
      <c r="L721" s="115">
        <f>IF(L$675&gt;0, IF(M$675=0, 'Adjustment for previous period'!$G89, 0), 0)</f>
        <v>0</v>
      </c>
      <c r="M721" s="115">
        <f>IF(M$675&gt;0, IF(N$675=0, 'Adjustment for previous period'!$G89, 0), 0)</f>
        <v>0</v>
      </c>
      <c r="N721" s="115">
        <f>IF(N$675&gt;0, IF(O$675=0, 'Adjustment for previous period'!$G89, 0), 0)</f>
        <v>0</v>
      </c>
      <c r="O721" s="115">
        <f>IF(O$675&gt;0, IF(P$675=0, 'Adjustment for previous period'!$G89, 0), 0)</f>
        <v>0</v>
      </c>
      <c r="P721" s="115">
        <f>IF(P$675&gt;0, IF(Q$675=0, 'Adjustment for previous period'!$G89, 0), 0)</f>
        <v>0</v>
      </c>
      <c r="Q721" s="115">
        <f>IF(Q$675&gt;0, IF(R$675=0, 'Adjustment for previous period'!$G89, 0), 0)</f>
        <v>0</v>
      </c>
      <c r="R721" s="9"/>
      <c r="S721" s="12"/>
      <c r="T721" s="12"/>
      <c r="U721" s="12"/>
      <c r="V721" s="12"/>
      <c r="W721" s="12"/>
      <c r="X721" s="12"/>
      <c r="Y721" s="12"/>
      <c r="Z721" s="12"/>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224"/>
      <c r="BE721" s="224"/>
      <c r="BF721" s="224"/>
      <c r="BG721" s="224"/>
      <c r="BH721" s="224"/>
      <c r="BI721" s="224"/>
      <c r="BJ721" s="224"/>
      <c r="BK721" s="224"/>
      <c r="BL721" s="224"/>
    </row>
    <row r="722" spans="1:64" ht="12" hidden="1" customHeight="1" outlineLevel="1">
      <c r="A722" s="9"/>
      <c r="B722" s="9"/>
      <c r="C722" s="9"/>
      <c r="D722" s="271">
        <f>Asset15</f>
        <v>0</v>
      </c>
      <c r="E722" s="9"/>
      <c r="F722" s="9"/>
      <c r="G722" s="9"/>
      <c r="H722" s="115"/>
      <c r="I722" s="115"/>
      <c r="J722" s="115"/>
      <c r="K722" s="115"/>
      <c r="L722" s="115">
        <f>IF(L$675&gt;0, IF(M$675=0, 'Adjustment for previous period'!$G90, 0), 0)</f>
        <v>0</v>
      </c>
      <c r="M722" s="115">
        <f>IF(M$675&gt;0, IF(N$675=0, 'Adjustment for previous period'!$G90, 0), 0)</f>
        <v>0</v>
      </c>
      <c r="N722" s="115">
        <f>IF(N$675&gt;0, IF(O$675=0, 'Adjustment for previous period'!$G90, 0), 0)</f>
        <v>0</v>
      </c>
      <c r="O722" s="115">
        <f>IF(O$675&gt;0, IF(P$675=0, 'Adjustment for previous period'!$G90, 0), 0)</f>
        <v>0</v>
      </c>
      <c r="P722" s="115">
        <f>IF(P$675&gt;0, IF(Q$675=0, 'Adjustment for previous period'!$G90, 0), 0)</f>
        <v>0</v>
      </c>
      <c r="Q722" s="115">
        <f>IF(Q$675&gt;0, IF(R$675=0, 'Adjustment for previous period'!$G90, 0), 0)</f>
        <v>0</v>
      </c>
      <c r="R722" s="9"/>
      <c r="S722" s="12"/>
      <c r="T722" s="12"/>
      <c r="U722" s="12"/>
      <c r="V722" s="12"/>
      <c r="W722" s="12"/>
      <c r="X722" s="12"/>
      <c r="Y722" s="12"/>
      <c r="Z722" s="12"/>
      <c r="AA722" s="224"/>
      <c r="AB722" s="224"/>
      <c r="AC722" s="224"/>
      <c r="AD722" s="224"/>
      <c r="AE722" s="224"/>
      <c r="AF722" s="224"/>
      <c r="AG722" s="224"/>
      <c r="AH722" s="224"/>
      <c r="AI722" s="224"/>
      <c r="AJ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224"/>
      <c r="BE722" s="224"/>
      <c r="BF722" s="224"/>
      <c r="BG722" s="224"/>
      <c r="BH722" s="224"/>
      <c r="BI722" s="224"/>
      <c r="BJ722" s="224"/>
      <c r="BK722" s="224"/>
      <c r="BL722" s="224"/>
    </row>
    <row r="723" spans="1:64" ht="12" hidden="1" customHeight="1" outlineLevel="1">
      <c r="A723" s="9"/>
      <c r="B723" s="9"/>
      <c r="C723" s="9"/>
      <c r="D723" s="271">
        <f>Asset16</f>
        <v>0</v>
      </c>
      <c r="E723" s="9"/>
      <c r="F723" s="9"/>
      <c r="G723" s="9"/>
      <c r="H723" s="115"/>
      <c r="I723" s="115"/>
      <c r="J723" s="115"/>
      <c r="K723" s="115"/>
      <c r="L723" s="115">
        <f>IF(L$675&gt;0, IF(M$675=0, 'Adjustment for previous period'!$G91, 0), 0)</f>
        <v>0</v>
      </c>
      <c r="M723" s="115">
        <f>IF(M$675&gt;0, IF(N$675=0, 'Adjustment for previous period'!$G91, 0), 0)</f>
        <v>0</v>
      </c>
      <c r="N723" s="115">
        <f>IF(N$675&gt;0, IF(O$675=0, 'Adjustment for previous period'!$G91, 0), 0)</f>
        <v>0</v>
      </c>
      <c r="O723" s="115">
        <f>IF(O$675&gt;0, IF(P$675=0, 'Adjustment for previous period'!$G91, 0), 0)</f>
        <v>0</v>
      </c>
      <c r="P723" s="115">
        <f>IF(P$675&gt;0, IF(Q$675=0, 'Adjustment for previous period'!$G91, 0), 0)</f>
        <v>0</v>
      </c>
      <c r="Q723" s="115">
        <f>IF(Q$675&gt;0, IF(R$675=0, 'Adjustment for previous period'!$G91, 0), 0)</f>
        <v>0</v>
      </c>
      <c r="R723" s="9"/>
      <c r="S723" s="12"/>
      <c r="T723" s="12"/>
      <c r="U723" s="12"/>
      <c r="V723" s="12"/>
      <c r="W723" s="12"/>
      <c r="X723" s="12"/>
      <c r="Y723" s="12"/>
      <c r="Z723" s="12"/>
      <c r="AA723" s="224"/>
      <c r="AB723" s="224"/>
      <c r="AC723" s="224"/>
      <c r="AD723" s="224"/>
      <c r="AE723" s="224"/>
      <c r="AF723" s="224"/>
      <c r="AG723" s="224"/>
      <c r="AH723" s="224"/>
      <c r="AI723" s="224"/>
      <c r="AJ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224"/>
      <c r="BE723" s="224"/>
      <c r="BF723" s="224"/>
      <c r="BG723" s="224"/>
      <c r="BH723" s="224"/>
      <c r="BI723" s="224"/>
      <c r="BJ723" s="224"/>
      <c r="BK723" s="224"/>
      <c r="BL723" s="224"/>
    </row>
    <row r="724" spans="1:64" ht="12" hidden="1" customHeight="1" outlineLevel="1">
      <c r="A724" s="9"/>
      <c r="B724" s="9"/>
      <c r="C724" s="9"/>
      <c r="D724" s="271">
        <f>Asset17</f>
        <v>0</v>
      </c>
      <c r="E724" s="9"/>
      <c r="F724" s="9"/>
      <c r="G724" s="9"/>
      <c r="H724" s="115"/>
      <c r="I724" s="115"/>
      <c r="J724" s="115"/>
      <c r="K724" s="115"/>
      <c r="L724" s="115">
        <f>IF(L$675&gt;0, IF(M$675=0, 'Adjustment for previous period'!$G92, 0), 0)</f>
        <v>0</v>
      </c>
      <c r="M724" s="115">
        <f>IF(M$675&gt;0, IF(N$675=0, 'Adjustment for previous period'!$G92, 0), 0)</f>
        <v>0</v>
      </c>
      <c r="N724" s="115">
        <f>IF(N$675&gt;0, IF(O$675=0, 'Adjustment for previous period'!$G92, 0), 0)</f>
        <v>0</v>
      </c>
      <c r="O724" s="115">
        <f>IF(O$675&gt;0, IF(P$675=0, 'Adjustment for previous period'!$G92, 0), 0)</f>
        <v>0</v>
      </c>
      <c r="P724" s="115">
        <f>IF(P$675&gt;0, IF(Q$675=0, 'Adjustment for previous period'!$G92, 0), 0)</f>
        <v>0</v>
      </c>
      <c r="Q724" s="115">
        <f>IF(Q$675&gt;0, IF(R$675=0, 'Adjustment for previous period'!$G92, 0), 0)</f>
        <v>0</v>
      </c>
      <c r="R724" s="9"/>
      <c r="S724" s="12"/>
      <c r="T724" s="12"/>
      <c r="U724" s="12"/>
      <c r="V724" s="12"/>
      <c r="W724" s="12"/>
      <c r="X724" s="12"/>
      <c r="Y724" s="12"/>
      <c r="Z724" s="12"/>
      <c r="AA724" s="224"/>
      <c r="AB724" s="224"/>
      <c r="AC724" s="224"/>
      <c r="AD724" s="224"/>
      <c r="AE724" s="224"/>
      <c r="AF724" s="224"/>
      <c r="AG724" s="224"/>
      <c r="AH724" s="224"/>
      <c r="AI724" s="224"/>
      <c r="AJ724" s="224"/>
      <c r="AK724" s="224"/>
      <c r="AL724" s="224"/>
      <c r="AM724" s="224"/>
      <c r="AN724" s="224"/>
      <c r="AO724" s="224"/>
      <c r="AP724" s="224"/>
      <c r="AQ724" s="224"/>
      <c r="AR724" s="224"/>
      <c r="AS724" s="224"/>
      <c r="AT724" s="224"/>
      <c r="AU724" s="224"/>
      <c r="AV724" s="224"/>
      <c r="AW724" s="224"/>
      <c r="AX724" s="224"/>
      <c r="AY724" s="224"/>
      <c r="AZ724" s="224"/>
      <c r="BA724" s="224"/>
      <c r="BB724" s="224"/>
      <c r="BC724" s="224"/>
      <c r="BD724" s="224"/>
      <c r="BE724" s="224"/>
      <c r="BF724" s="224"/>
      <c r="BG724" s="224"/>
      <c r="BH724" s="224"/>
      <c r="BI724" s="224"/>
      <c r="BJ724" s="224"/>
      <c r="BK724" s="224"/>
      <c r="BL724" s="224"/>
    </row>
    <row r="725" spans="1:64" ht="12" hidden="1" customHeight="1" outlineLevel="1">
      <c r="A725" s="9"/>
      <c r="B725" s="9"/>
      <c r="C725" s="9"/>
      <c r="D725" s="271">
        <f>Asset18</f>
        <v>0</v>
      </c>
      <c r="E725" s="9"/>
      <c r="F725" s="9"/>
      <c r="G725" s="9"/>
      <c r="H725" s="115"/>
      <c r="I725" s="115"/>
      <c r="J725" s="115"/>
      <c r="K725" s="115"/>
      <c r="L725" s="115">
        <f>IF(L$675&gt;0, IF(M$675=0, 'Adjustment for previous period'!$G93, 0), 0)</f>
        <v>0</v>
      </c>
      <c r="M725" s="115">
        <f>IF(M$675&gt;0, IF(N$675=0, 'Adjustment for previous period'!$G93, 0), 0)</f>
        <v>0</v>
      </c>
      <c r="N725" s="115">
        <f>IF(N$675&gt;0, IF(O$675=0, 'Adjustment for previous period'!$G93, 0), 0)</f>
        <v>0</v>
      </c>
      <c r="O725" s="115">
        <f>IF(O$675&gt;0, IF(P$675=0, 'Adjustment for previous period'!$G93, 0), 0)</f>
        <v>0</v>
      </c>
      <c r="P725" s="115">
        <f>IF(P$675&gt;0, IF(Q$675=0, 'Adjustment for previous period'!$G93, 0), 0)</f>
        <v>0</v>
      </c>
      <c r="Q725" s="115">
        <f>IF(Q$675&gt;0, IF(R$675=0, 'Adjustment for previous period'!$G93, 0), 0)</f>
        <v>0</v>
      </c>
      <c r="R725" s="9"/>
      <c r="S725" s="12"/>
      <c r="T725" s="12"/>
      <c r="U725" s="12"/>
      <c r="V725" s="12"/>
      <c r="W725" s="12"/>
      <c r="X725" s="12"/>
      <c r="Y725" s="12"/>
      <c r="Z725" s="12"/>
      <c r="AA725" s="224"/>
      <c r="AB725" s="224"/>
      <c r="AC725" s="224"/>
      <c r="AD725" s="224"/>
      <c r="AE725" s="224"/>
      <c r="AF725" s="224"/>
      <c r="AG725" s="224"/>
      <c r="AH725" s="224"/>
      <c r="AI725" s="224"/>
      <c r="AJ725" s="224"/>
      <c r="AK725" s="224"/>
      <c r="AL725" s="224"/>
      <c r="AM725" s="224"/>
      <c r="AN725" s="224"/>
      <c r="AO725" s="224"/>
      <c r="AP725" s="224"/>
      <c r="AQ725" s="224"/>
      <c r="AR725" s="224"/>
      <c r="AS725" s="224"/>
      <c r="AT725" s="224"/>
      <c r="AU725" s="224"/>
      <c r="AV725" s="224"/>
      <c r="AW725" s="224"/>
      <c r="AX725" s="224"/>
      <c r="AY725" s="224"/>
      <c r="AZ725" s="224"/>
      <c r="BA725" s="224"/>
      <c r="BB725" s="224"/>
      <c r="BC725" s="224"/>
      <c r="BD725" s="224"/>
      <c r="BE725" s="224"/>
      <c r="BF725" s="224"/>
      <c r="BG725" s="224"/>
      <c r="BH725" s="224"/>
      <c r="BI725" s="224"/>
      <c r="BJ725" s="224"/>
      <c r="BK725" s="224"/>
      <c r="BL725" s="224"/>
    </row>
    <row r="726" spans="1:64" ht="12" hidden="1" customHeight="1" outlineLevel="1">
      <c r="A726" s="9"/>
      <c r="B726" s="9"/>
      <c r="C726" s="9"/>
      <c r="D726" s="271">
        <f>Asset19</f>
        <v>0</v>
      </c>
      <c r="E726" s="9"/>
      <c r="F726" s="9"/>
      <c r="G726" s="9"/>
      <c r="H726" s="115"/>
      <c r="I726" s="115"/>
      <c r="J726" s="115"/>
      <c r="K726" s="115"/>
      <c r="L726" s="115">
        <f>IF(L$675&gt;0, IF(M$675=0, 'Adjustment for previous period'!$G94, 0), 0)</f>
        <v>0</v>
      </c>
      <c r="M726" s="115">
        <f>IF(M$675&gt;0, IF(N$675=0, 'Adjustment for previous period'!$G94, 0), 0)</f>
        <v>0</v>
      </c>
      <c r="N726" s="115">
        <f>IF(N$675&gt;0, IF(O$675=0, 'Adjustment for previous period'!$G94, 0), 0)</f>
        <v>0</v>
      </c>
      <c r="O726" s="115">
        <f>IF(O$675&gt;0, IF(P$675=0, 'Adjustment for previous period'!$G94, 0), 0)</f>
        <v>0</v>
      </c>
      <c r="P726" s="115">
        <f>IF(P$675&gt;0, IF(Q$675=0, 'Adjustment for previous period'!$G94, 0), 0)</f>
        <v>0</v>
      </c>
      <c r="Q726" s="115">
        <f>IF(Q$675&gt;0, IF(R$675=0, 'Adjustment for previous period'!$G94, 0), 0)</f>
        <v>0</v>
      </c>
      <c r="R726" s="9"/>
      <c r="S726" s="12"/>
      <c r="T726" s="12"/>
      <c r="U726" s="12"/>
      <c r="V726" s="12"/>
      <c r="W726" s="12"/>
      <c r="X726" s="12"/>
      <c r="Y726" s="12"/>
      <c r="Z726" s="12"/>
      <c r="AA726" s="224"/>
      <c r="AB726" s="224"/>
      <c r="AC726" s="224"/>
      <c r="AD726" s="224"/>
      <c r="AE726" s="224"/>
      <c r="AF726" s="224"/>
      <c r="AG726" s="224"/>
      <c r="AH726" s="224"/>
      <c r="AI726" s="224"/>
      <c r="AJ726" s="224"/>
      <c r="AK726" s="224"/>
      <c r="AL726" s="224"/>
      <c r="AM726" s="224"/>
      <c r="AN726" s="224"/>
      <c r="AO726" s="224"/>
      <c r="AP726" s="224"/>
      <c r="AQ726" s="224"/>
      <c r="AR726" s="224"/>
      <c r="AS726" s="224"/>
      <c r="AT726" s="224"/>
      <c r="AU726" s="224"/>
      <c r="AV726" s="224"/>
      <c r="AW726" s="224"/>
      <c r="AX726" s="224"/>
      <c r="AY726" s="224"/>
      <c r="AZ726" s="224"/>
      <c r="BA726" s="224"/>
      <c r="BB726" s="224"/>
      <c r="BC726" s="224"/>
      <c r="BD726" s="224"/>
      <c r="BE726" s="224"/>
      <c r="BF726" s="224"/>
      <c r="BG726" s="224"/>
      <c r="BH726" s="224"/>
      <c r="BI726" s="224"/>
      <c r="BJ726" s="224"/>
      <c r="BK726" s="224"/>
      <c r="BL726" s="224"/>
    </row>
    <row r="727" spans="1:64" ht="12" hidden="1" customHeight="1" outlineLevel="1">
      <c r="A727" s="9"/>
      <c r="B727" s="9"/>
      <c r="C727" s="9"/>
      <c r="D727" s="271">
        <f>Asset20</f>
        <v>0</v>
      </c>
      <c r="E727" s="9"/>
      <c r="F727" s="9"/>
      <c r="G727" s="9"/>
      <c r="H727" s="115"/>
      <c r="I727" s="115"/>
      <c r="J727" s="115"/>
      <c r="K727" s="115"/>
      <c r="L727" s="115">
        <f>IF(L$675&gt;0, IF(M$675=0, 'Adjustment for previous period'!$G95, 0), 0)</f>
        <v>0</v>
      </c>
      <c r="M727" s="115">
        <f>IF(M$675&gt;0, IF(N$675=0, 'Adjustment for previous period'!$G95, 0), 0)</f>
        <v>0</v>
      </c>
      <c r="N727" s="115">
        <f>IF(N$675&gt;0, IF(O$675=0, 'Adjustment for previous period'!$G95, 0), 0)</f>
        <v>0</v>
      </c>
      <c r="O727" s="115">
        <f>IF(O$675&gt;0, IF(P$675=0, 'Adjustment for previous period'!$G95, 0), 0)</f>
        <v>0</v>
      </c>
      <c r="P727" s="115">
        <f>IF(P$675&gt;0, IF(Q$675=0, 'Adjustment for previous period'!$G95, 0), 0)</f>
        <v>0</v>
      </c>
      <c r="Q727" s="115">
        <f>IF(Q$675&gt;0, IF(R$675=0, 'Adjustment for previous period'!$G95, 0), 0)</f>
        <v>0</v>
      </c>
      <c r="R727" s="9"/>
      <c r="S727" s="12"/>
      <c r="T727" s="12"/>
      <c r="U727" s="12"/>
      <c r="V727" s="12"/>
      <c r="W727" s="12"/>
      <c r="X727" s="12"/>
      <c r="Y727" s="12"/>
      <c r="Z727" s="12"/>
      <c r="AA727" s="224"/>
      <c r="AB727" s="224"/>
      <c r="AC727" s="224"/>
      <c r="AD727" s="224"/>
      <c r="AE727" s="224"/>
      <c r="AF727" s="224"/>
      <c r="AG727" s="224"/>
      <c r="AH727" s="224"/>
      <c r="AI727" s="224"/>
      <c r="AJ727" s="224"/>
      <c r="AK727" s="224"/>
      <c r="AL727" s="224"/>
      <c r="AM727" s="224"/>
      <c r="AN727" s="224"/>
      <c r="AO727" s="224"/>
      <c r="AP727" s="224"/>
      <c r="AQ727" s="224"/>
      <c r="AR727" s="224"/>
      <c r="AS727" s="224"/>
      <c r="AT727" s="224"/>
      <c r="AU727" s="224"/>
      <c r="AV727" s="224"/>
      <c r="AW727" s="224"/>
      <c r="AX727" s="224"/>
      <c r="AY727" s="224"/>
      <c r="AZ727" s="224"/>
      <c r="BA727" s="224"/>
      <c r="BB727" s="224"/>
      <c r="BC727" s="224"/>
      <c r="BD727" s="224"/>
      <c r="BE727" s="224"/>
      <c r="BF727" s="224"/>
      <c r="BG727" s="224"/>
      <c r="BH727" s="224"/>
      <c r="BI727" s="224"/>
      <c r="BJ727" s="224"/>
      <c r="BK727" s="224"/>
      <c r="BL727" s="224"/>
    </row>
    <row r="728" spans="1:64" ht="12" hidden="1" customHeight="1" outlineLevel="1">
      <c r="A728" s="9"/>
      <c r="B728" s="9"/>
      <c r="C728" s="9"/>
      <c r="D728" s="271">
        <f>Asset21</f>
        <v>0</v>
      </c>
      <c r="E728" s="9"/>
      <c r="F728" s="9"/>
      <c r="G728" s="9"/>
      <c r="H728" s="115"/>
      <c r="I728" s="115"/>
      <c r="J728" s="115"/>
      <c r="K728" s="115"/>
      <c r="L728" s="115">
        <f>IF(L$675&gt;0, IF(M$675=0, 'Adjustment for previous period'!$G96, 0), 0)</f>
        <v>0</v>
      </c>
      <c r="M728" s="115">
        <f>IF(M$675&gt;0, IF(N$675=0, 'Adjustment for previous period'!$G96, 0), 0)</f>
        <v>0</v>
      </c>
      <c r="N728" s="115">
        <f>IF(N$675&gt;0, IF(O$675=0, 'Adjustment for previous period'!$G96, 0), 0)</f>
        <v>0</v>
      </c>
      <c r="O728" s="115">
        <f>IF(O$675&gt;0, IF(P$675=0, 'Adjustment for previous period'!$G96, 0), 0)</f>
        <v>0</v>
      </c>
      <c r="P728" s="115">
        <f>IF(P$675&gt;0, IF(Q$675=0, 'Adjustment for previous period'!$G96, 0), 0)</f>
        <v>0</v>
      </c>
      <c r="Q728" s="115">
        <f>IF(Q$675&gt;0, IF(R$675=0, 'Adjustment for previous period'!$G96, 0), 0)</f>
        <v>0</v>
      </c>
      <c r="R728" s="9"/>
      <c r="S728" s="12"/>
      <c r="T728" s="12"/>
      <c r="U728" s="12"/>
      <c r="V728" s="12"/>
      <c r="W728" s="12"/>
      <c r="X728" s="12"/>
      <c r="Y728" s="12"/>
      <c r="Z728" s="12"/>
      <c r="AA728" s="224"/>
      <c r="AB728" s="224"/>
      <c r="AC728" s="224"/>
      <c r="AD728" s="224"/>
      <c r="AE728" s="224"/>
      <c r="AF728" s="224"/>
      <c r="AG728" s="224"/>
      <c r="AH728" s="224"/>
      <c r="AI728" s="224"/>
      <c r="AJ728" s="224"/>
      <c r="AK728" s="224"/>
      <c r="AL728" s="224"/>
      <c r="AM728" s="224"/>
      <c r="AN728" s="224"/>
      <c r="AO728" s="224"/>
      <c r="AP728" s="224"/>
      <c r="AQ728" s="224"/>
      <c r="AR728" s="224"/>
      <c r="AS728" s="224"/>
      <c r="AT728" s="224"/>
      <c r="AU728" s="224"/>
      <c r="AV728" s="224"/>
      <c r="AW728" s="224"/>
      <c r="AX728" s="224"/>
      <c r="AY728" s="224"/>
      <c r="AZ728" s="224"/>
      <c r="BA728" s="224"/>
      <c r="BB728" s="224"/>
      <c r="BC728" s="224"/>
      <c r="BD728" s="224"/>
      <c r="BE728" s="224"/>
      <c r="BF728" s="224"/>
      <c r="BG728" s="224"/>
      <c r="BH728" s="224"/>
      <c r="BI728" s="224"/>
      <c r="BJ728" s="224"/>
      <c r="BK728" s="224"/>
      <c r="BL728" s="224"/>
    </row>
    <row r="729" spans="1:64" ht="12" hidden="1" customHeight="1" outlineLevel="1">
      <c r="A729" s="9"/>
      <c r="B729" s="9"/>
      <c r="C729" s="9"/>
      <c r="D729" s="271">
        <f>Asset22</f>
        <v>0</v>
      </c>
      <c r="E729" s="9"/>
      <c r="F729" s="9"/>
      <c r="G729" s="9"/>
      <c r="H729" s="115"/>
      <c r="I729" s="115"/>
      <c r="J729" s="115"/>
      <c r="K729" s="115"/>
      <c r="L729" s="115">
        <f>IF(L$675&gt;0, IF(M$675=0, 'Adjustment for previous period'!$G97, 0), 0)</f>
        <v>0</v>
      </c>
      <c r="M729" s="115">
        <f>IF(M$675&gt;0, IF(N$675=0, 'Adjustment for previous period'!$G97, 0), 0)</f>
        <v>0</v>
      </c>
      <c r="N729" s="115">
        <f>IF(N$675&gt;0, IF(O$675=0, 'Adjustment for previous period'!$G97, 0), 0)</f>
        <v>0</v>
      </c>
      <c r="O729" s="115">
        <f>IF(O$675&gt;0, IF(P$675=0, 'Adjustment for previous period'!$G97, 0), 0)</f>
        <v>0</v>
      </c>
      <c r="P729" s="115">
        <f>IF(P$675&gt;0, IF(Q$675=0, 'Adjustment for previous period'!$G97, 0), 0)</f>
        <v>0</v>
      </c>
      <c r="Q729" s="115">
        <f>IF(Q$675&gt;0, IF(R$675=0, 'Adjustment for previous period'!$G97, 0), 0)</f>
        <v>0</v>
      </c>
      <c r="R729" s="9"/>
      <c r="S729" s="12"/>
      <c r="T729" s="12"/>
      <c r="U729" s="12"/>
      <c r="V729" s="12"/>
      <c r="W729" s="12"/>
      <c r="X729" s="12"/>
      <c r="Y729" s="12"/>
      <c r="Z729" s="12"/>
      <c r="AA729" s="224"/>
      <c r="AB729" s="224"/>
      <c r="AC729" s="224"/>
      <c r="AD729" s="224"/>
      <c r="AE729" s="224"/>
      <c r="AF729" s="224"/>
      <c r="AG729" s="224"/>
      <c r="AH729" s="224"/>
      <c r="AI729" s="224"/>
      <c r="AJ729" s="224"/>
      <c r="AK729" s="224"/>
      <c r="AL729" s="224"/>
      <c r="AM729" s="224"/>
      <c r="AN729" s="224"/>
      <c r="AO729" s="224"/>
      <c r="AP729" s="224"/>
      <c r="AQ729" s="224"/>
      <c r="AR729" s="224"/>
      <c r="AS729" s="224"/>
      <c r="AT729" s="224"/>
      <c r="AU729" s="224"/>
      <c r="AV729" s="224"/>
      <c r="AW729" s="224"/>
      <c r="AX729" s="224"/>
      <c r="AY729" s="224"/>
      <c r="AZ729" s="224"/>
      <c r="BA729" s="224"/>
      <c r="BB729" s="224"/>
      <c r="BC729" s="224"/>
      <c r="BD729" s="224"/>
      <c r="BE729" s="224"/>
      <c r="BF729" s="224"/>
      <c r="BG729" s="224"/>
      <c r="BH729" s="224"/>
      <c r="BI729" s="224"/>
      <c r="BJ729" s="224"/>
      <c r="BK729" s="224"/>
      <c r="BL729" s="224"/>
    </row>
    <row r="730" spans="1:64" ht="12" hidden="1" customHeight="1" outlineLevel="1">
      <c r="A730" s="9"/>
      <c r="B730" s="9"/>
      <c r="C730" s="9"/>
      <c r="D730" s="271">
        <f>Asset23</f>
        <v>0</v>
      </c>
      <c r="E730" s="9"/>
      <c r="F730" s="9"/>
      <c r="G730" s="9"/>
      <c r="H730" s="115"/>
      <c r="I730" s="115"/>
      <c r="J730" s="115"/>
      <c r="K730" s="115"/>
      <c r="L730" s="115">
        <f>IF(L$675&gt;0, IF(M$675=0, 'Adjustment for previous period'!$G98, 0), 0)</f>
        <v>0</v>
      </c>
      <c r="M730" s="115">
        <f>IF(M$675&gt;0, IF(N$675=0, 'Adjustment for previous period'!$G98, 0), 0)</f>
        <v>0</v>
      </c>
      <c r="N730" s="115">
        <f>IF(N$675&gt;0, IF(O$675=0, 'Adjustment for previous period'!$G98, 0), 0)</f>
        <v>0</v>
      </c>
      <c r="O730" s="115">
        <f>IF(O$675&gt;0, IF(P$675=0, 'Adjustment for previous period'!$G98, 0), 0)</f>
        <v>0</v>
      </c>
      <c r="P730" s="115">
        <f>IF(P$675&gt;0, IF(Q$675=0, 'Adjustment for previous period'!$G98, 0), 0)</f>
        <v>0</v>
      </c>
      <c r="Q730" s="115">
        <f>IF(Q$675&gt;0, IF(R$675=0, 'Adjustment for previous period'!$G98, 0), 0)</f>
        <v>0</v>
      </c>
      <c r="R730" s="9"/>
      <c r="S730" s="12"/>
      <c r="T730" s="12"/>
      <c r="U730" s="12"/>
      <c r="V730" s="12"/>
      <c r="W730" s="12"/>
      <c r="X730" s="12"/>
      <c r="Y730" s="12"/>
      <c r="Z730" s="12"/>
      <c r="AA730" s="224"/>
      <c r="AB730" s="224"/>
      <c r="AC730" s="224"/>
      <c r="AD730" s="224"/>
      <c r="AE730" s="224"/>
      <c r="AF730" s="224"/>
      <c r="AG730" s="224"/>
      <c r="AH730" s="224"/>
      <c r="AI730" s="224"/>
      <c r="AJ730" s="224"/>
      <c r="AK730" s="224"/>
      <c r="AL730" s="224"/>
      <c r="AM730" s="224"/>
      <c r="AN730" s="224"/>
      <c r="AO730" s="224"/>
      <c r="AP730" s="224"/>
      <c r="AQ730" s="224"/>
      <c r="AR730" s="224"/>
      <c r="AS730" s="224"/>
      <c r="AT730" s="224"/>
      <c r="AU730" s="224"/>
      <c r="AV730" s="224"/>
      <c r="AW730" s="224"/>
      <c r="AX730" s="224"/>
      <c r="AY730" s="224"/>
      <c r="AZ730" s="224"/>
      <c r="BA730" s="224"/>
      <c r="BB730" s="224"/>
      <c r="BC730" s="224"/>
      <c r="BD730" s="224"/>
      <c r="BE730" s="224"/>
      <c r="BF730" s="224"/>
      <c r="BG730" s="224"/>
      <c r="BH730" s="224"/>
      <c r="BI730" s="224"/>
      <c r="BJ730" s="224"/>
      <c r="BK730" s="224"/>
      <c r="BL730" s="224"/>
    </row>
    <row r="731" spans="1:64" ht="12" hidden="1" customHeight="1" outlineLevel="1">
      <c r="A731" s="9"/>
      <c r="B731" s="9"/>
      <c r="C731" s="9"/>
      <c r="D731" s="271">
        <f>Asset24</f>
        <v>0</v>
      </c>
      <c r="E731" s="9"/>
      <c r="F731" s="9"/>
      <c r="G731" s="9"/>
      <c r="H731" s="115"/>
      <c r="I731" s="115"/>
      <c r="J731" s="115"/>
      <c r="K731" s="115"/>
      <c r="L731" s="115">
        <f>IF(L$675&gt;0, IF(M$675=0, 'Adjustment for previous period'!$G99, 0), 0)</f>
        <v>0</v>
      </c>
      <c r="M731" s="115">
        <f>IF(M$675&gt;0, IF(N$675=0, 'Adjustment for previous period'!$G99, 0), 0)</f>
        <v>0</v>
      </c>
      <c r="N731" s="115">
        <f>IF(N$675&gt;0, IF(O$675=0, 'Adjustment for previous period'!$G99, 0), 0)</f>
        <v>0</v>
      </c>
      <c r="O731" s="115">
        <f>IF(O$675&gt;0, IF(P$675=0, 'Adjustment for previous period'!$G99, 0), 0)</f>
        <v>0</v>
      </c>
      <c r="P731" s="115">
        <f>IF(P$675&gt;0, IF(Q$675=0, 'Adjustment for previous period'!$G99, 0), 0)</f>
        <v>0</v>
      </c>
      <c r="Q731" s="115">
        <f>IF(Q$675&gt;0, IF(R$675=0, 'Adjustment for previous period'!$G99, 0), 0)</f>
        <v>0</v>
      </c>
      <c r="R731" s="9"/>
      <c r="S731" s="12"/>
      <c r="T731" s="12"/>
      <c r="U731" s="12"/>
      <c r="V731" s="12"/>
      <c r="W731" s="12"/>
      <c r="X731" s="12"/>
      <c r="Y731" s="12"/>
      <c r="Z731" s="12"/>
      <c r="AA731" s="224"/>
      <c r="AB731" s="224"/>
      <c r="AC731" s="224"/>
      <c r="AD731" s="224"/>
      <c r="AE731" s="224"/>
      <c r="AF731" s="224"/>
      <c r="AG731" s="224"/>
      <c r="AH731" s="224"/>
      <c r="AI731" s="224"/>
      <c r="AJ731" s="224"/>
      <c r="AK731" s="224"/>
      <c r="AL731" s="224"/>
      <c r="AM731" s="224"/>
      <c r="AN731" s="224"/>
      <c r="AO731" s="224"/>
      <c r="AP731" s="224"/>
      <c r="AQ731" s="224"/>
      <c r="AR731" s="224"/>
      <c r="AS731" s="224"/>
      <c r="AT731" s="224"/>
      <c r="AU731" s="224"/>
      <c r="AV731" s="224"/>
      <c r="AW731" s="224"/>
      <c r="AX731" s="224"/>
      <c r="AY731" s="224"/>
      <c r="AZ731" s="224"/>
      <c r="BA731" s="224"/>
      <c r="BB731" s="224"/>
      <c r="BC731" s="224"/>
      <c r="BD731" s="224"/>
      <c r="BE731" s="224"/>
      <c r="BF731" s="224"/>
      <c r="BG731" s="224"/>
      <c r="BH731" s="224"/>
      <c r="BI731" s="224"/>
      <c r="BJ731" s="224"/>
      <c r="BK731" s="224"/>
      <c r="BL731" s="224"/>
    </row>
    <row r="732" spans="1:64" ht="12" hidden="1" customHeight="1" outlineLevel="1">
      <c r="A732" s="9"/>
      <c r="B732" s="9"/>
      <c r="C732" s="9"/>
      <c r="D732" s="271">
        <f>Asset25</f>
        <v>0</v>
      </c>
      <c r="E732" s="9"/>
      <c r="F732" s="9"/>
      <c r="G732" s="9"/>
      <c r="H732" s="115"/>
      <c r="I732" s="115"/>
      <c r="J732" s="115"/>
      <c r="K732" s="115"/>
      <c r="L732" s="115">
        <f>IF(L$675&gt;0, IF(M$675=0, 'Adjustment for previous period'!$G100, 0), 0)</f>
        <v>0</v>
      </c>
      <c r="M732" s="115">
        <f>IF(M$675&gt;0, IF(N$675=0, 'Adjustment for previous period'!$G100, 0), 0)</f>
        <v>0</v>
      </c>
      <c r="N732" s="115">
        <f>IF(N$675&gt;0, IF(O$675=0, 'Adjustment for previous period'!$G100, 0), 0)</f>
        <v>0</v>
      </c>
      <c r="O732" s="115">
        <f>IF(O$675&gt;0, IF(P$675=0, 'Adjustment for previous period'!$G100, 0), 0)</f>
        <v>0</v>
      </c>
      <c r="P732" s="115">
        <f>IF(P$675&gt;0, IF(Q$675=0, 'Adjustment for previous period'!$G100, 0), 0)</f>
        <v>0</v>
      </c>
      <c r="Q732" s="115">
        <f>IF(Q$675&gt;0, IF(R$675=0, 'Adjustment for previous period'!$G100, 0), 0)</f>
        <v>0</v>
      </c>
      <c r="R732" s="9"/>
      <c r="S732" s="12"/>
      <c r="T732" s="12"/>
      <c r="U732" s="12"/>
      <c r="V732" s="12"/>
      <c r="W732" s="12"/>
      <c r="X732" s="12"/>
      <c r="Y732" s="12"/>
      <c r="Z732" s="12"/>
      <c r="AA732" s="224"/>
      <c r="AB732" s="224"/>
      <c r="AC732" s="224"/>
      <c r="AD732" s="224"/>
      <c r="AE732" s="224"/>
      <c r="AF732" s="224"/>
      <c r="AG732" s="224"/>
      <c r="AH732" s="224"/>
      <c r="AI732" s="224"/>
      <c r="AJ732" s="224"/>
      <c r="AK732" s="224"/>
      <c r="AL732" s="224"/>
      <c r="AM732" s="224"/>
      <c r="AN732" s="224"/>
      <c r="AO732" s="224"/>
      <c r="AP732" s="224"/>
      <c r="AQ732" s="224"/>
      <c r="AR732" s="224"/>
      <c r="AS732" s="224"/>
      <c r="AT732" s="224"/>
      <c r="AU732" s="224"/>
      <c r="AV732" s="224"/>
      <c r="AW732" s="224"/>
      <c r="AX732" s="224"/>
      <c r="AY732" s="224"/>
      <c r="AZ732" s="224"/>
      <c r="BA732" s="224"/>
      <c r="BB732" s="224"/>
      <c r="BC732" s="224"/>
      <c r="BD732" s="224"/>
      <c r="BE732" s="224"/>
      <c r="BF732" s="224"/>
      <c r="BG732" s="224"/>
      <c r="BH732" s="224"/>
      <c r="BI732" s="224"/>
      <c r="BJ732" s="224"/>
      <c r="BK732" s="224"/>
      <c r="BL732" s="224"/>
    </row>
    <row r="733" spans="1:64" ht="12" hidden="1" customHeight="1" outlineLevel="1">
      <c r="A733" s="9"/>
      <c r="B733" s="9"/>
      <c r="C733" s="9"/>
      <c r="D733" s="271">
        <f>Asset26</f>
        <v>0</v>
      </c>
      <c r="E733" s="9"/>
      <c r="F733" s="9"/>
      <c r="G733" s="9"/>
      <c r="H733" s="115"/>
      <c r="I733" s="115"/>
      <c r="J733" s="115"/>
      <c r="K733" s="115"/>
      <c r="L733" s="115">
        <f>IF(L$675&gt;0, IF(M$675=0, 'Adjustment for previous period'!$G101, 0), 0)</f>
        <v>0</v>
      </c>
      <c r="M733" s="115">
        <f>IF(M$675&gt;0, IF(N$675=0, 'Adjustment for previous period'!$G101, 0), 0)</f>
        <v>0</v>
      </c>
      <c r="N733" s="115">
        <f>IF(N$675&gt;0, IF(O$675=0, 'Adjustment for previous period'!$G101, 0), 0)</f>
        <v>0</v>
      </c>
      <c r="O733" s="115">
        <f>IF(O$675&gt;0, IF(P$675=0, 'Adjustment for previous period'!$G101, 0), 0)</f>
        <v>0</v>
      </c>
      <c r="P733" s="115">
        <f>IF(P$675&gt;0, IF(Q$675=0, 'Adjustment for previous period'!$G101, 0), 0)</f>
        <v>0</v>
      </c>
      <c r="Q733" s="115">
        <f>IF(Q$675&gt;0, IF(R$675=0, 'Adjustment for previous period'!$G101, 0), 0)</f>
        <v>0</v>
      </c>
      <c r="R733" s="9"/>
      <c r="S733" s="12"/>
      <c r="T733" s="12"/>
      <c r="U733" s="12"/>
      <c r="V733" s="12"/>
      <c r="W733" s="12"/>
      <c r="X733" s="12"/>
      <c r="Y733" s="12"/>
      <c r="Z733" s="12"/>
      <c r="AA733" s="224"/>
      <c r="AB733" s="224"/>
      <c r="AC733" s="224"/>
      <c r="AD733" s="224"/>
      <c r="AE733" s="224"/>
      <c r="AF733" s="224"/>
      <c r="AG733" s="224"/>
      <c r="AH733" s="224"/>
      <c r="AI733" s="224"/>
      <c r="AJ733" s="224"/>
      <c r="AK733" s="224"/>
      <c r="AL733" s="224"/>
      <c r="AM733" s="224"/>
      <c r="AN733" s="224"/>
      <c r="AO733" s="224"/>
      <c r="AP733" s="224"/>
      <c r="AQ733" s="224"/>
      <c r="AR733" s="224"/>
      <c r="AS733" s="224"/>
      <c r="AT733" s="224"/>
      <c r="AU733" s="224"/>
      <c r="AV733" s="224"/>
      <c r="AW733" s="224"/>
      <c r="AX733" s="224"/>
      <c r="AY733" s="224"/>
      <c r="AZ733" s="224"/>
      <c r="BA733" s="224"/>
      <c r="BB733" s="224"/>
      <c r="BC733" s="224"/>
      <c r="BD733" s="224"/>
      <c r="BE733" s="224"/>
      <c r="BF733" s="224"/>
      <c r="BG733" s="224"/>
      <c r="BH733" s="224"/>
      <c r="BI733" s="224"/>
      <c r="BJ733" s="224"/>
      <c r="BK733" s="224"/>
      <c r="BL733" s="224"/>
    </row>
    <row r="734" spans="1:64" ht="12" hidden="1" customHeight="1" outlineLevel="1">
      <c r="A734" s="9"/>
      <c r="B734" s="9"/>
      <c r="C734" s="9"/>
      <c r="D734" s="271">
        <f>Asset27</f>
        <v>0</v>
      </c>
      <c r="E734" s="9"/>
      <c r="F734" s="9"/>
      <c r="G734" s="9"/>
      <c r="H734" s="115"/>
      <c r="I734" s="115"/>
      <c r="J734" s="115"/>
      <c r="K734" s="115"/>
      <c r="L734" s="115">
        <f>IF(L$675&gt;0, IF(M$675=0, 'Adjustment for previous period'!$G102, 0), 0)</f>
        <v>0</v>
      </c>
      <c r="M734" s="115">
        <f>IF(M$675&gt;0, IF(N$675=0, 'Adjustment for previous period'!$G102, 0), 0)</f>
        <v>0</v>
      </c>
      <c r="N734" s="115">
        <f>IF(N$675&gt;0, IF(O$675=0, 'Adjustment for previous period'!$G102, 0), 0)</f>
        <v>0</v>
      </c>
      <c r="O734" s="115">
        <f>IF(O$675&gt;0, IF(P$675=0, 'Adjustment for previous period'!$G102, 0), 0)</f>
        <v>0</v>
      </c>
      <c r="P734" s="115">
        <f>IF(P$675&gt;0, IF(Q$675=0, 'Adjustment for previous period'!$G102, 0), 0)</f>
        <v>0</v>
      </c>
      <c r="Q734" s="115">
        <f>IF(Q$675&gt;0, IF(R$675=0, 'Adjustment for previous period'!$G102, 0), 0)</f>
        <v>0</v>
      </c>
      <c r="R734" s="9"/>
      <c r="S734" s="12"/>
      <c r="T734" s="12"/>
      <c r="U734" s="12"/>
      <c r="V734" s="12"/>
      <c r="W734" s="12"/>
      <c r="X734" s="12"/>
      <c r="Y734" s="12"/>
      <c r="Z734" s="12"/>
      <c r="AA734" s="224"/>
      <c r="AB734" s="224"/>
      <c r="AC734" s="224"/>
      <c r="AD734" s="224"/>
      <c r="AE734" s="224"/>
      <c r="AF734" s="224"/>
      <c r="AG734" s="224"/>
      <c r="AH734" s="224"/>
      <c r="AI734" s="224"/>
      <c r="AJ734" s="224"/>
      <c r="AK734" s="224"/>
      <c r="AL734" s="224"/>
      <c r="AM734" s="224"/>
      <c r="AN734" s="224"/>
      <c r="AO734" s="224"/>
      <c r="AP734" s="224"/>
      <c r="AQ734" s="224"/>
      <c r="AR734" s="224"/>
      <c r="AS734" s="224"/>
      <c r="AT734" s="224"/>
      <c r="AU734" s="224"/>
      <c r="AV734" s="224"/>
      <c r="AW734" s="224"/>
      <c r="AX734" s="224"/>
      <c r="AY734" s="224"/>
      <c r="AZ734" s="224"/>
      <c r="BA734" s="224"/>
      <c r="BB734" s="224"/>
      <c r="BC734" s="224"/>
      <c r="BD734" s="224"/>
      <c r="BE734" s="224"/>
      <c r="BF734" s="224"/>
      <c r="BG734" s="224"/>
      <c r="BH734" s="224"/>
      <c r="BI734" s="224"/>
      <c r="BJ734" s="224"/>
      <c r="BK734" s="224"/>
      <c r="BL734" s="224"/>
    </row>
    <row r="735" spans="1:64" ht="12" hidden="1" customHeight="1" outlineLevel="1">
      <c r="A735" s="9"/>
      <c r="B735" s="9"/>
      <c r="C735" s="9"/>
      <c r="D735" s="271">
        <f>Asset28</f>
        <v>0</v>
      </c>
      <c r="E735" s="9"/>
      <c r="F735" s="9"/>
      <c r="G735" s="9"/>
      <c r="H735" s="115"/>
      <c r="I735" s="115"/>
      <c r="J735" s="115"/>
      <c r="K735" s="115"/>
      <c r="L735" s="115">
        <f>IF(L$675&gt;0, IF(M$675=0, 'Adjustment for previous period'!$G103, 0), 0)</f>
        <v>0</v>
      </c>
      <c r="M735" s="115">
        <f>IF(M$675&gt;0, IF(N$675=0, 'Adjustment for previous period'!$G103, 0), 0)</f>
        <v>0</v>
      </c>
      <c r="N735" s="115">
        <f>IF(N$675&gt;0, IF(O$675=0, 'Adjustment for previous period'!$G103, 0), 0)</f>
        <v>0</v>
      </c>
      <c r="O735" s="115">
        <f>IF(O$675&gt;0, IF(P$675=0, 'Adjustment for previous period'!$G103, 0), 0)</f>
        <v>0</v>
      </c>
      <c r="P735" s="115">
        <f>IF(P$675&gt;0, IF(Q$675=0, 'Adjustment for previous period'!$G103, 0), 0)</f>
        <v>0</v>
      </c>
      <c r="Q735" s="115">
        <f>IF(Q$675&gt;0, IF(R$675=0, 'Adjustment for previous period'!$G103, 0), 0)</f>
        <v>0</v>
      </c>
      <c r="R735" s="9"/>
      <c r="S735" s="12"/>
      <c r="T735" s="12"/>
      <c r="U735" s="12"/>
      <c r="V735" s="12"/>
      <c r="W735" s="12"/>
      <c r="X735" s="12"/>
      <c r="Y735" s="12"/>
      <c r="Z735" s="12"/>
      <c r="AA735" s="224"/>
      <c r="AB735" s="224"/>
      <c r="AC735" s="224"/>
      <c r="AD735" s="224"/>
      <c r="AE735" s="224"/>
      <c r="AF735" s="224"/>
      <c r="AG735" s="224"/>
      <c r="AH735" s="224"/>
      <c r="AI735" s="224"/>
      <c r="AJ735" s="224"/>
      <c r="AK735" s="224"/>
      <c r="AL735" s="224"/>
      <c r="AM735" s="224"/>
      <c r="AN735" s="224"/>
      <c r="AO735" s="224"/>
      <c r="AP735" s="224"/>
      <c r="AQ735" s="224"/>
      <c r="AR735" s="224"/>
      <c r="AS735" s="224"/>
      <c r="AT735" s="224"/>
      <c r="AU735" s="224"/>
      <c r="AV735" s="224"/>
      <c r="AW735" s="224"/>
      <c r="AX735" s="224"/>
      <c r="AY735" s="224"/>
      <c r="AZ735" s="224"/>
      <c r="BA735" s="224"/>
      <c r="BB735" s="224"/>
      <c r="BC735" s="224"/>
      <c r="BD735" s="224"/>
      <c r="BE735" s="224"/>
      <c r="BF735" s="224"/>
      <c r="BG735" s="224"/>
      <c r="BH735" s="224"/>
      <c r="BI735" s="224"/>
      <c r="BJ735" s="224"/>
      <c r="BK735" s="224"/>
      <c r="BL735" s="224"/>
    </row>
    <row r="736" spans="1:64" ht="12" hidden="1" customHeight="1" outlineLevel="1">
      <c r="A736" s="9"/>
      <c r="B736" s="9"/>
      <c r="C736" s="9"/>
      <c r="D736" s="271">
        <f>Asset29</f>
        <v>0</v>
      </c>
      <c r="E736" s="9"/>
      <c r="F736" s="9"/>
      <c r="G736" s="9"/>
      <c r="H736" s="115"/>
      <c r="I736" s="115"/>
      <c r="J736" s="115"/>
      <c r="K736" s="115"/>
      <c r="L736" s="115">
        <f>IF(L$675&gt;0, IF(M$675=0, 'Adjustment for previous period'!$G104, 0), 0)</f>
        <v>0</v>
      </c>
      <c r="M736" s="115">
        <f>IF(M$675&gt;0, IF(N$675=0, 'Adjustment for previous period'!$G104, 0), 0)</f>
        <v>0</v>
      </c>
      <c r="N736" s="115">
        <f>IF(N$675&gt;0, IF(O$675=0, 'Adjustment for previous period'!$G104, 0), 0)</f>
        <v>0</v>
      </c>
      <c r="O736" s="115">
        <f>IF(O$675&gt;0, IF(P$675=0, 'Adjustment for previous period'!$G104, 0), 0)</f>
        <v>0</v>
      </c>
      <c r="P736" s="115">
        <f>IF(P$675&gt;0, IF(Q$675=0, 'Adjustment for previous period'!$G104, 0), 0)</f>
        <v>0</v>
      </c>
      <c r="Q736" s="115">
        <f>IF(Q$675&gt;0, IF(R$675=0, 'Adjustment for previous period'!$G104, 0), 0)</f>
        <v>0</v>
      </c>
      <c r="R736" s="9"/>
      <c r="S736" s="12"/>
      <c r="T736" s="12"/>
      <c r="U736" s="12"/>
      <c r="V736" s="12"/>
      <c r="W736" s="12"/>
      <c r="X736" s="12"/>
      <c r="Y736" s="12"/>
      <c r="Z736" s="12"/>
      <c r="AA736" s="224"/>
      <c r="AB736" s="224"/>
      <c r="AC736" s="224"/>
      <c r="AD736" s="224"/>
      <c r="AE736" s="224"/>
      <c r="AF736" s="224"/>
      <c r="AG736" s="224"/>
      <c r="AH736" s="224"/>
      <c r="AI736" s="224"/>
      <c r="AJ736" s="224"/>
      <c r="AK736" s="224"/>
      <c r="AL736" s="224"/>
      <c r="AM736" s="224"/>
      <c r="AN736" s="224"/>
      <c r="AO736" s="224"/>
      <c r="AP736" s="224"/>
      <c r="AQ736" s="224"/>
      <c r="AR736" s="224"/>
      <c r="AS736" s="224"/>
      <c r="AT736" s="224"/>
      <c r="AU736" s="224"/>
      <c r="AV736" s="224"/>
      <c r="AW736" s="224"/>
      <c r="AX736" s="224"/>
      <c r="AY736" s="224"/>
      <c r="AZ736" s="224"/>
      <c r="BA736" s="224"/>
      <c r="BB736" s="224"/>
      <c r="BC736" s="224"/>
      <c r="BD736" s="224"/>
      <c r="BE736" s="224"/>
      <c r="BF736" s="224"/>
      <c r="BG736" s="224"/>
      <c r="BH736" s="224"/>
      <c r="BI736" s="224"/>
      <c r="BJ736" s="224"/>
      <c r="BK736" s="224"/>
      <c r="BL736" s="224"/>
    </row>
    <row r="737" spans="1:64" ht="12" hidden="1" customHeight="1" outlineLevel="1">
      <c r="A737" s="9"/>
      <c r="B737" s="9"/>
      <c r="C737" s="9"/>
      <c r="D737" s="271">
        <f>Asset30</f>
        <v>0</v>
      </c>
      <c r="E737" s="9"/>
      <c r="F737" s="9"/>
      <c r="G737" s="9"/>
      <c r="H737" s="115"/>
      <c r="I737" s="115"/>
      <c r="J737" s="115"/>
      <c r="K737" s="115"/>
      <c r="L737" s="115">
        <f>IF(L$675&gt;0, IF(M$675=0, 'Adjustment for previous period'!$G105, 0), 0)</f>
        <v>0</v>
      </c>
      <c r="M737" s="115">
        <f>IF(M$675&gt;0, IF(N$675=0, 'Adjustment for previous period'!$G105, 0), 0)</f>
        <v>0</v>
      </c>
      <c r="N737" s="115">
        <f>IF(N$675&gt;0, IF(O$675=0, 'Adjustment for previous period'!$G105, 0), 0)</f>
        <v>0</v>
      </c>
      <c r="O737" s="115">
        <f>IF(O$675&gt;0, IF(P$675=0, 'Adjustment for previous period'!$G105, 0), 0)</f>
        <v>0</v>
      </c>
      <c r="P737" s="115">
        <f>IF(P$675&gt;0, IF(Q$675=0, 'Adjustment for previous period'!$G105, 0), 0)</f>
        <v>0</v>
      </c>
      <c r="Q737" s="115">
        <f>IF(Q$675&gt;0, IF(R$675=0, 'Adjustment for previous period'!$G105, 0), 0)</f>
        <v>0</v>
      </c>
      <c r="R737" s="9"/>
      <c r="S737" s="12"/>
      <c r="T737" s="12"/>
      <c r="U737" s="12"/>
      <c r="V737" s="12"/>
      <c r="W737" s="12"/>
      <c r="X737" s="12"/>
      <c r="Y737" s="12"/>
      <c r="Z737" s="12"/>
      <c r="AA737" s="224"/>
      <c r="AB737" s="224"/>
      <c r="AC737" s="224"/>
      <c r="AD737" s="224"/>
      <c r="AE737" s="224"/>
      <c r="AF737" s="224"/>
      <c r="AG737" s="224"/>
      <c r="AH737" s="224"/>
      <c r="AI737" s="224"/>
      <c r="AJ737" s="224"/>
      <c r="AK737" s="224"/>
      <c r="AL737" s="224"/>
      <c r="AM737" s="224"/>
      <c r="AN737" s="224"/>
      <c r="AO737" s="224"/>
      <c r="AP737" s="224"/>
      <c r="AQ737" s="224"/>
      <c r="AR737" s="224"/>
      <c r="AS737" s="224"/>
      <c r="AT737" s="224"/>
      <c r="AU737" s="224"/>
      <c r="AV737" s="224"/>
      <c r="AW737" s="224"/>
      <c r="AX737" s="224"/>
      <c r="AY737" s="224"/>
      <c r="AZ737" s="224"/>
      <c r="BA737" s="224"/>
      <c r="BB737" s="224"/>
      <c r="BC737" s="224"/>
      <c r="BD737" s="224"/>
      <c r="BE737" s="224"/>
      <c r="BF737" s="224"/>
      <c r="BG737" s="224"/>
      <c r="BH737" s="224"/>
      <c r="BI737" s="224"/>
      <c r="BJ737" s="224"/>
      <c r="BK737" s="224"/>
      <c r="BL737" s="224"/>
    </row>
    <row r="738" spans="1:64" ht="12" customHeight="1" collapsed="1">
      <c r="A738" s="9"/>
      <c r="B738" s="9"/>
      <c r="C738" s="9"/>
      <c r="D738" s="9"/>
      <c r="E738" s="9"/>
      <c r="F738" s="9"/>
      <c r="G738" s="9"/>
      <c r="H738" s="9"/>
      <c r="I738" s="9"/>
      <c r="J738" s="9"/>
      <c r="K738" s="9"/>
      <c r="L738" s="9"/>
      <c r="M738" s="9"/>
      <c r="N738" s="12"/>
      <c r="O738" s="9"/>
      <c r="P738" s="9"/>
      <c r="Q738" s="9"/>
      <c r="R738" s="9"/>
      <c r="S738" s="12"/>
      <c r="T738" s="12"/>
      <c r="U738" s="12"/>
      <c r="V738" s="12"/>
      <c r="W738" s="12"/>
      <c r="X738" s="12"/>
      <c r="Y738" s="12"/>
      <c r="Z738" s="12"/>
      <c r="AA738" s="224"/>
      <c r="AB738" s="224"/>
      <c r="AC738" s="224"/>
      <c r="AD738" s="224"/>
      <c r="AE738" s="224"/>
      <c r="AF738" s="224"/>
      <c r="AG738" s="224"/>
      <c r="AH738" s="224"/>
      <c r="AI738" s="224"/>
      <c r="AJ738" s="224"/>
      <c r="AK738" s="224"/>
      <c r="AL738" s="224"/>
      <c r="AM738" s="224"/>
      <c r="AN738" s="224"/>
      <c r="AO738" s="224"/>
      <c r="AP738" s="224"/>
      <c r="AQ738" s="224"/>
      <c r="AR738" s="224"/>
      <c r="AS738" s="224"/>
      <c r="AT738" s="224"/>
      <c r="AU738" s="224"/>
      <c r="AV738" s="224"/>
      <c r="AW738" s="224"/>
      <c r="AX738" s="224"/>
      <c r="AY738" s="224"/>
      <c r="AZ738" s="224"/>
      <c r="BA738" s="224"/>
      <c r="BB738" s="224"/>
      <c r="BC738" s="224"/>
      <c r="BD738" s="224"/>
      <c r="BE738" s="224"/>
      <c r="BF738" s="224"/>
      <c r="BG738" s="224"/>
      <c r="BH738" s="224"/>
      <c r="BI738" s="224"/>
      <c r="BJ738" s="224"/>
      <c r="BK738" s="224"/>
      <c r="BL738" s="224"/>
    </row>
    <row r="739" spans="1:64" ht="12" customHeight="1">
      <c r="A739" s="9"/>
      <c r="B739" s="12"/>
      <c r="C739" s="94" t="s">
        <v>32</v>
      </c>
      <c r="D739" s="12"/>
      <c r="E739" s="12"/>
      <c r="F739" s="12"/>
      <c r="G739" s="118"/>
      <c r="H739" s="122"/>
      <c r="I739" s="122"/>
      <c r="J739" s="122"/>
      <c r="K739" s="122"/>
      <c r="L739" s="122">
        <f t="shared" ref="L739:Q739" si="60">SUM(L740:L769)</f>
        <v>-10.734518459371975</v>
      </c>
      <c r="M739" s="122">
        <f t="shared" si="60"/>
        <v>0</v>
      </c>
      <c r="N739" s="122">
        <f t="shared" si="60"/>
        <v>0</v>
      </c>
      <c r="O739" s="122">
        <f t="shared" si="60"/>
        <v>0</v>
      </c>
      <c r="P739" s="122">
        <f t="shared" si="60"/>
        <v>0</v>
      </c>
      <c r="Q739" s="122">
        <f t="shared" si="60"/>
        <v>0</v>
      </c>
      <c r="R739" s="9"/>
      <c r="S739" s="12"/>
      <c r="T739" s="12"/>
      <c r="U739" s="12"/>
      <c r="V739" s="12"/>
      <c r="W739" s="12"/>
      <c r="X739" s="12"/>
      <c r="Y739" s="12"/>
      <c r="Z739" s="12"/>
      <c r="AA739" s="224"/>
      <c r="AB739" s="224"/>
      <c r="AC739" s="224"/>
      <c r="AD739" s="224"/>
      <c r="AE739" s="224"/>
      <c r="AF739" s="224"/>
      <c r="AG739" s="224"/>
      <c r="AH739" s="224"/>
      <c r="AI739" s="224"/>
      <c r="AJ739" s="224"/>
      <c r="AK739" s="224"/>
      <c r="AL739" s="224"/>
      <c r="AM739" s="224"/>
      <c r="AN739" s="224"/>
      <c r="AO739" s="224"/>
      <c r="AP739" s="224"/>
      <c r="AQ739" s="224"/>
      <c r="AR739" s="224"/>
      <c r="AS739" s="224"/>
      <c r="AT739" s="224"/>
      <c r="AU739" s="224"/>
      <c r="AV739" s="224"/>
      <c r="AW739" s="224"/>
      <c r="AX739" s="224"/>
      <c r="AY739" s="224"/>
      <c r="AZ739" s="224"/>
      <c r="BA739" s="224"/>
      <c r="BB739" s="224"/>
      <c r="BC739" s="224"/>
      <c r="BD739" s="224"/>
      <c r="BE739" s="224"/>
      <c r="BF739" s="224"/>
      <c r="BG739" s="224"/>
      <c r="BH739" s="224"/>
      <c r="BI739" s="224"/>
      <c r="BJ739" s="224"/>
      <c r="BK739" s="224"/>
      <c r="BL739" s="224"/>
    </row>
    <row r="740" spans="1:64" ht="12" hidden="1" customHeight="1" outlineLevel="1">
      <c r="A740" s="9"/>
      <c r="B740" s="9"/>
      <c r="C740" s="9"/>
      <c r="D740" s="271" t="str">
        <f>Asset1</f>
        <v>Subtransmission</v>
      </c>
      <c r="E740" s="9"/>
      <c r="F740" s="9"/>
      <c r="G740" s="9"/>
      <c r="H740" s="115"/>
      <c r="I740" s="115"/>
      <c r="J740" s="115"/>
      <c r="K740" s="115"/>
      <c r="L740" s="115">
        <f>IF(M$675=0, 'Adjustment for previous period'!L109, 0)</f>
        <v>-0.78954109800236472</v>
      </c>
      <c r="M740" s="115">
        <f>IF(N$675=0, 'Adjustment for previous period'!M109, 0)</f>
        <v>0</v>
      </c>
      <c r="N740" s="115">
        <f>IF(O$675=0, 'Adjustment for previous period'!N109, 0)</f>
        <v>0</v>
      </c>
      <c r="O740" s="115">
        <f>IF(P$675=0, 'Adjustment for previous period'!O109, 0)</f>
        <v>0</v>
      </c>
      <c r="P740" s="115">
        <f>IF(Q$675=0, 'Adjustment for previous period'!P109, 0)</f>
        <v>0</v>
      </c>
      <c r="Q740" s="115">
        <f>IF(R$675=0, 'Adjustment for previous period'!Q109, 0)</f>
        <v>0</v>
      </c>
      <c r="R740" s="9"/>
      <c r="S740" s="12"/>
      <c r="T740" s="12"/>
      <c r="U740" s="12"/>
      <c r="V740" s="12"/>
      <c r="W740" s="12"/>
      <c r="X740" s="12"/>
      <c r="Y740" s="12"/>
      <c r="Z740" s="12"/>
      <c r="AA740" s="224"/>
      <c r="AB740" s="224"/>
      <c r="AC740" s="224"/>
      <c r="AD740" s="224"/>
      <c r="AE740" s="224"/>
      <c r="AF740" s="224"/>
      <c r="AG740" s="224"/>
      <c r="AH740" s="224"/>
      <c r="AI740" s="224"/>
      <c r="AJ740" s="224"/>
      <c r="AK740" s="224"/>
      <c r="AL740" s="224"/>
      <c r="AM740" s="224"/>
      <c r="AN740" s="224"/>
      <c r="AO740" s="224"/>
      <c r="AP740" s="224"/>
      <c r="AQ740" s="224"/>
      <c r="AR740" s="224"/>
      <c r="AS740" s="224"/>
      <c r="AT740" s="224"/>
      <c r="AU740" s="224"/>
      <c r="AV740" s="224"/>
      <c r="AW740" s="224"/>
      <c r="AX740" s="224"/>
      <c r="AY740" s="224"/>
      <c r="AZ740" s="224"/>
      <c r="BA740" s="224"/>
      <c r="BB740" s="224"/>
      <c r="BC740" s="224"/>
      <c r="BD740" s="224"/>
      <c r="BE740" s="224"/>
      <c r="BF740" s="224"/>
      <c r="BG740" s="224"/>
      <c r="BH740" s="224"/>
      <c r="BI740" s="224"/>
      <c r="BJ740" s="224"/>
      <c r="BK740" s="224"/>
      <c r="BL740" s="224"/>
    </row>
    <row r="741" spans="1:64" hidden="1" outlineLevel="1">
      <c r="A741" s="9"/>
      <c r="B741" s="9"/>
      <c r="C741" s="9"/>
      <c r="D741" s="271" t="str">
        <f>Asset2</f>
        <v>Distribution system assets</v>
      </c>
      <c r="E741" s="9"/>
      <c r="F741" s="9"/>
      <c r="G741" s="9"/>
      <c r="H741" s="115"/>
      <c r="I741" s="115"/>
      <c r="J741" s="115"/>
      <c r="K741" s="115"/>
      <c r="L741" s="115">
        <f>IF(M$675=0, 'Adjustment for previous period'!L111, 0)</f>
        <v>-0.76894033107591053</v>
      </c>
      <c r="M741" s="115">
        <f>IF(N$675=0, 'Adjustment for previous period'!M111, 0)</f>
        <v>0</v>
      </c>
      <c r="N741" s="115">
        <f>IF(O$675=0, 'Adjustment for previous period'!N111, 0)</f>
        <v>0</v>
      </c>
      <c r="O741" s="115">
        <f>IF(P$675=0, 'Adjustment for previous period'!O111, 0)</f>
        <v>0</v>
      </c>
      <c r="P741" s="115">
        <f>IF(Q$675=0, 'Adjustment for previous period'!P111, 0)</f>
        <v>0</v>
      </c>
      <c r="Q741" s="115">
        <f>IF(R$675=0, 'Adjustment for previous period'!Q111, 0)</f>
        <v>0</v>
      </c>
      <c r="R741" s="29"/>
      <c r="S741" s="104"/>
      <c r="T741" s="104"/>
      <c r="U741" s="104"/>
      <c r="V741" s="104"/>
      <c r="W741" s="104"/>
      <c r="X741" s="104"/>
      <c r="Y741" s="104"/>
      <c r="Z741" s="104"/>
      <c r="AA741" s="231"/>
      <c r="AB741" s="231"/>
      <c r="AC741" s="231"/>
      <c r="AD741" s="231"/>
      <c r="AE741" s="231"/>
      <c r="AF741" s="231"/>
      <c r="AG741" s="231"/>
      <c r="AH741" s="231"/>
      <c r="AI741" s="231"/>
      <c r="AJ741" s="231"/>
      <c r="AK741" s="231"/>
      <c r="AL741" s="231"/>
      <c r="AM741" s="231"/>
      <c r="AN741" s="231"/>
      <c r="AO741" s="231"/>
      <c r="AP741" s="231"/>
      <c r="AQ741" s="231"/>
      <c r="AR741" s="231"/>
      <c r="AS741" s="231"/>
      <c r="AT741" s="231"/>
      <c r="AU741" s="231"/>
      <c r="AV741" s="231"/>
      <c r="AW741" s="231"/>
      <c r="AX741" s="231"/>
      <c r="AY741" s="231"/>
      <c r="AZ741" s="231"/>
      <c r="BA741" s="231"/>
      <c r="BB741" s="231"/>
      <c r="BC741" s="231"/>
      <c r="BD741" s="231"/>
      <c r="BE741" s="231"/>
      <c r="BF741" s="231"/>
      <c r="BG741" s="231"/>
      <c r="BH741" s="231"/>
      <c r="BI741" s="231"/>
      <c r="BJ741" s="231"/>
      <c r="BK741" s="224"/>
      <c r="BL741" s="224"/>
    </row>
    <row r="742" spans="1:64" ht="12" hidden="1" customHeight="1" outlineLevel="1">
      <c r="A742" s="9"/>
      <c r="B742" s="9"/>
      <c r="C742" s="9"/>
      <c r="D742" s="271" t="str">
        <f>Asset3</f>
        <v>Standard metering</v>
      </c>
      <c r="E742" s="9"/>
      <c r="F742" s="9"/>
      <c r="G742" s="9"/>
      <c r="H742" s="115"/>
      <c r="I742" s="115"/>
      <c r="J742" s="115"/>
      <c r="K742" s="115"/>
      <c r="L742" s="115">
        <f>IF(M$675=0, 'Adjustment for previous period'!L113, 0)</f>
        <v>0</v>
      </c>
      <c r="M742" s="115">
        <f>IF(N$675=0, 'Adjustment for previous period'!M113, 0)</f>
        <v>0</v>
      </c>
      <c r="N742" s="115">
        <f>IF(O$675=0, 'Adjustment for previous period'!N113, 0)</f>
        <v>0</v>
      </c>
      <c r="O742" s="115">
        <f>IF(P$675=0, 'Adjustment for previous period'!O113, 0)</f>
        <v>0</v>
      </c>
      <c r="P742" s="115">
        <f>IF(Q$675=0, 'Adjustment for previous period'!P113, 0)</f>
        <v>0</v>
      </c>
      <c r="Q742" s="115">
        <f>IF(R$675=0, 'Adjustment for previous period'!Q113, 0)</f>
        <v>0</v>
      </c>
      <c r="R742" s="9"/>
      <c r="S742" s="12"/>
      <c r="T742" s="12"/>
      <c r="U742" s="12"/>
      <c r="V742" s="12"/>
      <c r="W742" s="12"/>
      <c r="X742" s="12"/>
      <c r="Y742" s="12"/>
      <c r="Z742" s="12"/>
      <c r="AA742" s="224"/>
      <c r="AB742" s="224"/>
      <c r="AC742" s="224"/>
      <c r="AD742" s="224"/>
      <c r="AE742" s="224"/>
      <c r="AF742" s="224"/>
      <c r="AG742" s="224"/>
      <c r="AH742" s="224"/>
      <c r="AI742" s="224"/>
      <c r="AJ742" s="224"/>
      <c r="AK742" s="224"/>
      <c r="AL742" s="224"/>
      <c r="AM742" s="224"/>
      <c r="AN742" s="224"/>
      <c r="AO742" s="224"/>
      <c r="AP742" s="224"/>
      <c r="AQ742" s="224"/>
      <c r="AR742" s="224"/>
      <c r="AS742" s="224"/>
      <c r="AT742" s="224"/>
      <c r="AU742" s="224"/>
      <c r="AV742" s="224"/>
      <c r="AW742" s="224"/>
      <c r="AX742" s="224"/>
      <c r="AY742" s="224"/>
      <c r="AZ742" s="224"/>
      <c r="BA742" s="224"/>
      <c r="BB742" s="224"/>
      <c r="BC742" s="224"/>
      <c r="BD742" s="224"/>
      <c r="BE742" s="224"/>
      <c r="BF742" s="224"/>
      <c r="BG742" s="224"/>
      <c r="BH742" s="224"/>
      <c r="BI742" s="224"/>
      <c r="BJ742" s="224"/>
      <c r="BK742" s="224"/>
      <c r="BL742" s="224"/>
    </row>
    <row r="743" spans="1:64" ht="12" hidden="1" customHeight="1" outlineLevel="1">
      <c r="A743" s="9"/>
      <c r="B743" s="9"/>
      <c r="C743" s="9"/>
      <c r="D743" s="271" t="str">
        <f>Asset4</f>
        <v>Public lighting</v>
      </c>
      <c r="E743" s="9"/>
      <c r="F743" s="9"/>
      <c r="G743" s="9"/>
      <c r="H743" s="115"/>
      <c r="I743" s="115"/>
      <c r="J743" s="115"/>
      <c r="K743" s="115"/>
      <c r="L743" s="115">
        <f>IF(M$675=0, 'Adjustment for previous period'!L115, 0)</f>
        <v>0</v>
      </c>
      <c r="M743" s="115">
        <f>IF(N$675=0, 'Adjustment for previous period'!M115, 0)</f>
        <v>0</v>
      </c>
      <c r="N743" s="115">
        <f>IF(O$675=0, 'Adjustment for previous period'!N115, 0)</f>
        <v>0</v>
      </c>
      <c r="O743" s="115">
        <f>IF(P$675=0, 'Adjustment for previous period'!O115, 0)</f>
        <v>0</v>
      </c>
      <c r="P743" s="115">
        <f>IF(Q$675=0, 'Adjustment for previous period'!P115, 0)</f>
        <v>0</v>
      </c>
      <c r="Q743" s="115">
        <f>IF(R$675=0, 'Adjustment for previous period'!Q115, 0)</f>
        <v>0</v>
      </c>
      <c r="R743" s="9"/>
      <c r="S743" s="12"/>
      <c r="T743" s="12"/>
      <c r="U743" s="12"/>
      <c r="V743" s="12"/>
      <c r="W743" s="12"/>
      <c r="X743" s="12"/>
      <c r="Y743" s="12"/>
      <c r="Z743" s="12"/>
      <c r="AA743" s="224"/>
      <c r="AB743" s="224"/>
      <c r="AC743" s="224"/>
      <c r="AD743" s="224"/>
      <c r="AE743" s="224"/>
      <c r="AF743" s="224"/>
      <c r="AG743" s="224"/>
      <c r="AH743" s="224"/>
      <c r="AI743" s="224"/>
      <c r="AJ743" s="224"/>
      <c r="AK743" s="224"/>
      <c r="AL743" s="224"/>
      <c r="AM743" s="224"/>
      <c r="AN743" s="224"/>
      <c r="AO743" s="224"/>
      <c r="AP743" s="224"/>
      <c r="AQ743" s="224"/>
      <c r="AR743" s="224"/>
      <c r="AS743" s="224"/>
      <c r="AT743" s="224"/>
      <c r="AU743" s="224"/>
      <c r="AV743" s="224"/>
      <c r="AW743" s="224"/>
      <c r="AX743" s="224"/>
      <c r="AY743" s="224"/>
      <c r="AZ743" s="224"/>
      <c r="BA743" s="224"/>
      <c r="BB743" s="224"/>
      <c r="BC743" s="224"/>
      <c r="BD743" s="224"/>
      <c r="BE743" s="224"/>
      <c r="BF743" s="224"/>
      <c r="BG743" s="224"/>
      <c r="BH743" s="224"/>
      <c r="BI743" s="224"/>
      <c r="BJ743" s="224"/>
      <c r="BK743" s="224"/>
      <c r="BL743" s="224"/>
    </row>
    <row r="744" spans="1:64" ht="12" hidden="1" customHeight="1" outlineLevel="1">
      <c r="A744" s="9"/>
      <c r="B744" s="9"/>
      <c r="C744" s="9"/>
      <c r="D744" s="271" t="str">
        <f>Asset5</f>
        <v>SCADA/Network control</v>
      </c>
      <c r="E744" s="9"/>
      <c r="F744" s="9"/>
      <c r="G744" s="9"/>
      <c r="H744" s="115"/>
      <c r="I744" s="115"/>
      <c r="J744" s="115"/>
      <c r="K744" s="115"/>
      <c r="L744" s="115">
        <f>IF(M$675=0, 'Adjustment for previous period'!L117, 0)</f>
        <v>0.67099988546057021</v>
      </c>
      <c r="M744" s="115">
        <f>IF(N$675=0, 'Adjustment for previous period'!M117, 0)</f>
        <v>0</v>
      </c>
      <c r="N744" s="115">
        <f>IF(O$675=0, 'Adjustment for previous period'!N117, 0)</f>
        <v>0</v>
      </c>
      <c r="O744" s="115">
        <f>IF(P$675=0, 'Adjustment for previous period'!O117, 0)</f>
        <v>0</v>
      </c>
      <c r="P744" s="115">
        <f>IF(Q$675=0, 'Adjustment for previous period'!P117, 0)</f>
        <v>0</v>
      </c>
      <c r="Q744" s="115">
        <f>IF(R$675=0, 'Adjustment for previous period'!Q117, 0)</f>
        <v>0</v>
      </c>
      <c r="R744" s="9"/>
      <c r="S744" s="12"/>
      <c r="T744" s="12"/>
      <c r="U744" s="12"/>
      <c r="V744" s="12"/>
      <c r="W744" s="12"/>
      <c r="X744" s="12"/>
      <c r="Y744" s="12"/>
      <c r="Z744" s="12"/>
      <c r="AA744" s="224"/>
      <c r="AB744" s="224"/>
      <c r="AC744" s="224"/>
      <c r="AD744" s="224"/>
      <c r="AE744" s="224"/>
      <c r="AF744" s="224"/>
      <c r="AG744" s="224"/>
      <c r="AH744" s="224"/>
      <c r="AI744" s="224"/>
      <c r="AJ744" s="224"/>
      <c r="AK744" s="224"/>
      <c r="AL744" s="224"/>
      <c r="AM744" s="224"/>
      <c r="AN744" s="224"/>
      <c r="AO744" s="224"/>
      <c r="AP744" s="224"/>
      <c r="AQ744" s="224"/>
      <c r="AR744" s="224"/>
      <c r="AS744" s="224"/>
      <c r="AT744" s="224"/>
      <c r="AU744" s="224"/>
      <c r="AV744" s="224"/>
      <c r="AW744" s="224"/>
      <c r="AX744" s="224"/>
      <c r="AY744" s="224"/>
      <c r="AZ744" s="224"/>
      <c r="BA744" s="224"/>
      <c r="BB744" s="224"/>
      <c r="BC744" s="224"/>
      <c r="BD744" s="224"/>
      <c r="BE744" s="224"/>
      <c r="BF744" s="224"/>
      <c r="BG744" s="224"/>
      <c r="BH744" s="224"/>
      <c r="BI744" s="224"/>
      <c r="BJ744" s="224"/>
      <c r="BK744" s="224"/>
      <c r="BL744" s="224"/>
    </row>
    <row r="745" spans="1:64" hidden="1" outlineLevel="1">
      <c r="A745" s="9"/>
      <c r="B745" s="9"/>
      <c r="C745" s="9"/>
      <c r="D745" s="271" t="str">
        <f>Asset6</f>
        <v>Non-network general assets - IT</v>
      </c>
      <c r="E745" s="9"/>
      <c r="F745" s="9"/>
      <c r="G745" s="9"/>
      <c r="H745" s="115"/>
      <c r="I745" s="115"/>
      <c r="J745" s="115"/>
      <c r="K745" s="115"/>
      <c r="L745" s="115">
        <f>IF(M$675=0, 'Adjustment for previous period'!L119, 0)</f>
        <v>-8.0713866239553571</v>
      </c>
      <c r="M745" s="115">
        <f>IF(N$675=0, 'Adjustment for previous period'!M119, 0)</f>
        <v>0</v>
      </c>
      <c r="N745" s="115">
        <f>IF(O$675=0, 'Adjustment for previous period'!N119, 0)</f>
        <v>0</v>
      </c>
      <c r="O745" s="115">
        <f>IF(P$675=0, 'Adjustment for previous period'!O119, 0)</f>
        <v>0</v>
      </c>
      <c r="P745" s="115">
        <f>IF(Q$675=0, 'Adjustment for previous period'!P119, 0)</f>
        <v>0</v>
      </c>
      <c r="Q745" s="115">
        <f>IF(R$675=0, 'Adjustment for previous period'!Q119, 0)</f>
        <v>0</v>
      </c>
      <c r="R745" s="9"/>
      <c r="S745" s="12"/>
      <c r="T745" s="12"/>
      <c r="U745" s="12"/>
      <c r="V745" s="12"/>
      <c r="W745" s="12"/>
      <c r="X745" s="12"/>
      <c r="Y745" s="12"/>
      <c r="Z745" s="12"/>
      <c r="AA745" s="224"/>
      <c r="AB745" s="224"/>
      <c r="AC745" s="224"/>
      <c r="AD745" s="224"/>
      <c r="AE745" s="224"/>
      <c r="AF745" s="224"/>
      <c r="AG745" s="224"/>
      <c r="AH745" s="224"/>
      <c r="AI745" s="224"/>
      <c r="AJ745" s="224"/>
      <c r="AK745" s="224"/>
      <c r="AL745" s="224"/>
      <c r="AM745" s="224"/>
      <c r="AN745" s="224"/>
      <c r="AO745" s="224"/>
      <c r="AP745" s="224"/>
      <c r="AQ745" s="224"/>
      <c r="AR745" s="224"/>
      <c r="AS745" s="224"/>
      <c r="AT745" s="224"/>
      <c r="AU745" s="224"/>
      <c r="AV745" s="224"/>
      <c r="AW745" s="224"/>
      <c r="AX745" s="224"/>
      <c r="AY745" s="224"/>
      <c r="AZ745" s="224"/>
      <c r="BA745" s="224"/>
      <c r="BB745" s="224"/>
      <c r="BC745" s="224"/>
      <c r="BD745" s="224"/>
      <c r="BE745" s="224"/>
      <c r="BF745" s="224"/>
      <c r="BG745" s="224"/>
      <c r="BH745" s="224"/>
      <c r="BI745" s="224"/>
      <c r="BJ745" s="224"/>
      <c r="BK745" s="224"/>
      <c r="BL745" s="224"/>
    </row>
    <row r="746" spans="1:64" hidden="1" outlineLevel="1">
      <c r="A746" s="9"/>
      <c r="B746" s="9"/>
      <c r="C746" s="9"/>
      <c r="D746" s="271" t="str">
        <f>Asset7</f>
        <v>Non-network general assets - Other</v>
      </c>
      <c r="E746" s="9"/>
      <c r="F746" s="9"/>
      <c r="G746" s="9"/>
      <c r="H746" s="115"/>
      <c r="I746" s="115"/>
      <c r="J746" s="115"/>
      <c r="K746" s="115"/>
      <c r="L746" s="115">
        <f>IF(M$675=0, 'Adjustment for previous period'!L121, 0)</f>
        <v>-1.7756502917989125</v>
      </c>
      <c r="M746" s="115">
        <f>IF(N$675=0, 'Adjustment for previous period'!M121, 0)</f>
        <v>0</v>
      </c>
      <c r="N746" s="115">
        <f>IF(O$675=0, 'Adjustment for previous period'!N121, 0)</f>
        <v>0</v>
      </c>
      <c r="O746" s="115">
        <f>IF(P$675=0, 'Adjustment for previous period'!O121, 0)</f>
        <v>0</v>
      </c>
      <c r="P746" s="115">
        <f>IF(Q$675=0, 'Adjustment for previous period'!P121, 0)</f>
        <v>0</v>
      </c>
      <c r="Q746" s="115">
        <f>IF(R$675=0, 'Adjustment for previous period'!Q121, 0)</f>
        <v>0</v>
      </c>
      <c r="R746" s="9"/>
      <c r="S746" s="9"/>
      <c r="T746" s="9"/>
      <c r="U746" s="9"/>
      <c r="V746" s="9"/>
      <c r="W746" s="9"/>
      <c r="X746" s="9"/>
      <c r="Y746" s="9"/>
      <c r="Z746" s="9"/>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row>
    <row r="747" spans="1:64" hidden="1" outlineLevel="1">
      <c r="A747" s="9"/>
      <c r="B747" s="9"/>
      <c r="C747" s="9"/>
      <c r="D747" s="271" t="str">
        <f>Asset8</f>
        <v>Equity Raising Costs</v>
      </c>
      <c r="E747" s="9"/>
      <c r="F747" s="9"/>
      <c r="G747" s="9"/>
      <c r="H747" s="115"/>
      <c r="I747" s="115"/>
      <c r="J747" s="115"/>
      <c r="K747" s="115"/>
      <c r="L747" s="115">
        <f>IF(M$675=0, 'Adjustment for previous period'!L123, 0)</f>
        <v>0</v>
      </c>
      <c r="M747" s="115">
        <f>IF(N$675=0, 'Adjustment for previous period'!M123, 0)</f>
        <v>0</v>
      </c>
      <c r="N747" s="115">
        <f>IF(O$675=0, 'Adjustment for previous period'!N123, 0)</f>
        <v>0</v>
      </c>
      <c r="O747" s="115">
        <f>IF(P$675=0, 'Adjustment for previous period'!O123, 0)</f>
        <v>0</v>
      </c>
      <c r="P747" s="115">
        <f>IF(Q$675=0, 'Adjustment for previous period'!P123, 0)</f>
        <v>0</v>
      </c>
      <c r="Q747" s="115">
        <f>IF(R$675=0, 'Adjustment for previous period'!Q123, 0)</f>
        <v>0</v>
      </c>
      <c r="R747" s="9"/>
      <c r="S747" s="9"/>
      <c r="T747" s="9"/>
      <c r="U747" s="9"/>
      <c r="V747" s="9"/>
      <c r="W747" s="9"/>
      <c r="X747" s="9"/>
      <c r="Y747" s="9"/>
      <c r="Z747" s="9"/>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row>
    <row r="748" spans="1:64" hidden="1" outlineLevel="1">
      <c r="A748" s="9"/>
      <c r="B748" s="9"/>
      <c r="C748" s="9"/>
      <c r="D748" s="271">
        <f>Asset9</f>
        <v>0</v>
      </c>
      <c r="E748" s="9"/>
      <c r="F748" s="9"/>
      <c r="G748" s="9"/>
      <c r="H748" s="115"/>
      <c r="I748" s="115"/>
      <c r="J748" s="115"/>
      <c r="K748" s="115"/>
      <c r="L748" s="115">
        <f>IF(M$675=0, 'Adjustment for previous period'!L125, 0)</f>
        <v>0</v>
      </c>
      <c r="M748" s="115">
        <f>IF(N$675=0, 'Adjustment for previous period'!M125, 0)</f>
        <v>0</v>
      </c>
      <c r="N748" s="115">
        <f>IF(O$675=0, 'Adjustment for previous period'!N125, 0)</f>
        <v>0</v>
      </c>
      <c r="O748" s="115">
        <f>IF(P$675=0, 'Adjustment for previous period'!O125, 0)</f>
        <v>0</v>
      </c>
      <c r="P748" s="115">
        <f>IF(Q$675=0, 'Adjustment for previous period'!P125, 0)</f>
        <v>0</v>
      </c>
      <c r="Q748" s="115">
        <f>IF(R$675=0, 'Adjustment for previous period'!Q125, 0)</f>
        <v>0</v>
      </c>
      <c r="R748" s="9"/>
      <c r="S748" s="9"/>
      <c r="T748" s="9"/>
      <c r="U748" s="9"/>
      <c r="V748" s="9"/>
      <c r="W748" s="9"/>
      <c r="X748" s="9"/>
      <c r="Y748" s="9"/>
      <c r="Z748" s="9"/>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row>
    <row r="749" spans="1:64" hidden="1" outlineLevel="1">
      <c r="A749" s="9"/>
      <c r="B749" s="9"/>
      <c r="C749" s="9"/>
      <c r="D749" s="271">
        <f>Asset10</f>
        <v>0</v>
      </c>
      <c r="E749" s="9"/>
      <c r="F749" s="9"/>
      <c r="G749" s="9"/>
      <c r="H749" s="115"/>
      <c r="I749" s="115"/>
      <c r="J749" s="115"/>
      <c r="K749" s="115"/>
      <c r="L749" s="115">
        <f>IF(M$675=0, 'Adjustment for previous period'!L127, 0)</f>
        <v>0</v>
      </c>
      <c r="M749" s="115">
        <f>IF(N$675=0, 'Adjustment for previous period'!M127, 0)</f>
        <v>0</v>
      </c>
      <c r="N749" s="115">
        <f>IF(O$675=0, 'Adjustment for previous period'!N127, 0)</f>
        <v>0</v>
      </c>
      <c r="O749" s="115">
        <f>IF(P$675=0, 'Adjustment for previous period'!O127, 0)</f>
        <v>0</v>
      </c>
      <c r="P749" s="115">
        <f>IF(Q$675=0, 'Adjustment for previous period'!P127, 0)</f>
        <v>0</v>
      </c>
      <c r="Q749" s="115">
        <f>IF(R$675=0, 'Adjustment for previous period'!Q127, 0)</f>
        <v>0</v>
      </c>
      <c r="R749" s="9"/>
      <c r="S749" s="9"/>
      <c r="T749" s="9"/>
      <c r="U749" s="9"/>
      <c r="V749" s="9"/>
      <c r="W749" s="9"/>
      <c r="X749" s="9"/>
      <c r="Y749" s="9"/>
      <c r="Z749" s="9"/>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row>
    <row r="750" spans="1:64" hidden="1" outlineLevel="1">
      <c r="A750" s="9"/>
      <c r="B750" s="9"/>
      <c r="C750" s="9"/>
      <c r="D750" s="271">
        <f>Asset11</f>
        <v>0</v>
      </c>
      <c r="E750" s="9"/>
      <c r="F750" s="9"/>
      <c r="G750" s="9"/>
      <c r="H750" s="115"/>
      <c r="I750" s="115"/>
      <c r="J750" s="115"/>
      <c r="K750" s="115"/>
      <c r="L750" s="115">
        <f>IF(M$675=0, 'Adjustment for previous period'!L129, 0)</f>
        <v>0</v>
      </c>
      <c r="M750" s="115">
        <f>IF(N$675=0, 'Adjustment for previous period'!M129, 0)</f>
        <v>0</v>
      </c>
      <c r="N750" s="115">
        <f>IF(O$675=0, 'Adjustment for previous period'!N129, 0)</f>
        <v>0</v>
      </c>
      <c r="O750" s="115">
        <f>IF(P$675=0, 'Adjustment for previous period'!O129, 0)</f>
        <v>0</v>
      </c>
      <c r="P750" s="115">
        <f>IF(Q$675=0, 'Adjustment for previous period'!P129, 0)</f>
        <v>0</v>
      </c>
      <c r="Q750" s="115">
        <f>IF(R$675=0, 'Adjustment for previous period'!Q129, 0)</f>
        <v>0</v>
      </c>
      <c r="R750" s="9"/>
      <c r="S750" s="9"/>
      <c r="T750" s="9"/>
      <c r="U750" s="9"/>
      <c r="V750" s="9"/>
      <c r="W750" s="9"/>
      <c r="X750" s="9"/>
      <c r="Y750" s="9"/>
      <c r="Z750" s="9"/>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row>
    <row r="751" spans="1:64" hidden="1" outlineLevel="1">
      <c r="A751" s="9"/>
      <c r="B751" s="9"/>
      <c r="C751" s="9"/>
      <c r="D751" s="271">
        <f>Asset12</f>
        <v>0</v>
      </c>
      <c r="E751" s="9"/>
      <c r="F751" s="9"/>
      <c r="G751" s="9"/>
      <c r="H751" s="115"/>
      <c r="I751" s="115"/>
      <c r="J751" s="115"/>
      <c r="K751" s="115"/>
      <c r="L751" s="115">
        <f>IF(M$675=0, 'Adjustment for previous period'!L131, 0)</f>
        <v>0</v>
      </c>
      <c r="M751" s="115">
        <f>IF(N$675=0, 'Adjustment for previous period'!M131, 0)</f>
        <v>0</v>
      </c>
      <c r="N751" s="115">
        <f>IF(O$675=0, 'Adjustment for previous period'!N131, 0)</f>
        <v>0</v>
      </c>
      <c r="O751" s="115">
        <f>IF(P$675=0, 'Adjustment for previous period'!O131, 0)</f>
        <v>0</v>
      </c>
      <c r="P751" s="115">
        <f>IF(Q$675=0, 'Adjustment for previous period'!P131, 0)</f>
        <v>0</v>
      </c>
      <c r="Q751" s="115">
        <f>IF(R$675=0, 'Adjustment for previous period'!Q131, 0)</f>
        <v>0</v>
      </c>
      <c r="R751" s="9"/>
      <c r="S751" s="9"/>
      <c r="T751" s="9"/>
      <c r="U751" s="9"/>
      <c r="V751" s="9"/>
      <c r="W751" s="9"/>
      <c r="X751" s="9"/>
      <c r="Y751" s="9"/>
      <c r="Z751" s="9"/>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row>
    <row r="752" spans="1:64" hidden="1" outlineLevel="1">
      <c r="A752" s="9"/>
      <c r="B752" s="9"/>
      <c r="C752" s="9"/>
      <c r="D752" s="271">
        <f>Asset13</f>
        <v>0</v>
      </c>
      <c r="E752" s="9"/>
      <c r="F752" s="9"/>
      <c r="G752" s="9"/>
      <c r="H752" s="115"/>
      <c r="I752" s="115"/>
      <c r="J752" s="115"/>
      <c r="K752" s="115"/>
      <c r="L752" s="115">
        <f>IF(M$675=0, 'Adjustment for previous period'!L133, 0)</f>
        <v>0</v>
      </c>
      <c r="M752" s="115">
        <f>IF(N$675=0, 'Adjustment for previous period'!M133, 0)</f>
        <v>0</v>
      </c>
      <c r="N752" s="115">
        <f>IF(O$675=0, 'Adjustment for previous period'!N133, 0)</f>
        <v>0</v>
      </c>
      <c r="O752" s="115">
        <f>IF(P$675=0, 'Adjustment for previous period'!O133, 0)</f>
        <v>0</v>
      </c>
      <c r="P752" s="115">
        <f>IF(Q$675=0, 'Adjustment for previous period'!P133, 0)</f>
        <v>0</v>
      </c>
      <c r="Q752" s="115">
        <f>IF(R$675=0, 'Adjustment for previous period'!Q133, 0)</f>
        <v>0</v>
      </c>
      <c r="R752" s="9"/>
      <c r="S752" s="9"/>
      <c r="T752" s="9"/>
      <c r="U752" s="9"/>
      <c r="V752" s="9"/>
      <c r="W752" s="9"/>
      <c r="X752" s="9"/>
      <c r="Y752" s="9"/>
      <c r="Z752" s="9"/>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row>
    <row r="753" spans="1:64" hidden="1" outlineLevel="1">
      <c r="A753" s="9"/>
      <c r="B753" s="9"/>
      <c r="C753" s="9"/>
      <c r="D753" s="271">
        <f>Asset14</f>
        <v>0</v>
      </c>
      <c r="E753" s="9"/>
      <c r="F753" s="9"/>
      <c r="G753" s="9"/>
      <c r="H753" s="115"/>
      <c r="I753" s="115"/>
      <c r="J753" s="115"/>
      <c r="K753" s="115"/>
      <c r="L753" s="115">
        <f>IF(M$675=0, 'Adjustment for previous period'!L135, 0)</f>
        <v>0</v>
      </c>
      <c r="M753" s="115">
        <f>IF(N$675=0, 'Adjustment for previous period'!M135, 0)</f>
        <v>0</v>
      </c>
      <c r="N753" s="115">
        <f>IF(O$675=0, 'Adjustment for previous period'!N135, 0)</f>
        <v>0</v>
      </c>
      <c r="O753" s="115">
        <f>IF(P$675=0, 'Adjustment for previous period'!O135, 0)</f>
        <v>0</v>
      </c>
      <c r="P753" s="115">
        <f>IF(Q$675=0, 'Adjustment for previous period'!P135, 0)</f>
        <v>0</v>
      </c>
      <c r="Q753" s="115">
        <f>IF(R$675=0, 'Adjustment for previous period'!Q135, 0)</f>
        <v>0</v>
      </c>
      <c r="R753" s="9"/>
      <c r="S753" s="9"/>
      <c r="T753" s="9"/>
      <c r="U753" s="9"/>
      <c r="V753" s="9"/>
      <c r="W753" s="9"/>
      <c r="X753" s="9"/>
      <c r="Y753" s="9"/>
      <c r="Z753" s="9"/>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row>
    <row r="754" spans="1:64" hidden="1" outlineLevel="1">
      <c r="A754" s="9"/>
      <c r="B754" s="9"/>
      <c r="C754" s="9"/>
      <c r="D754" s="271">
        <f>Asset15</f>
        <v>0</v>
      </c>
      <c r="E754" s="9"/>
      <c r="F754" s="9"/>
      <c r="G754" s="9"/>
      <c r="H754" s="115"/>
      <c r="I754" s="115"/>
      <c r="J754" s="115"/>
      <c r="K754" s="115"/>
      <c r="L754" s="115">
        <f>IF(M$675=0, 'Adjustment for previous period'!L137, 0)</f>
        <v>0</v>
      </c>
      <c r="M754" s="115">
        <f>IF(N$675=0, 'Adjustment for previous period'!M137, 0)</f>
        <v>0</v>
      </c>
      <c r="N754" s="115">
        <f>IF(O$675=0, 'Adjustment for previous period'!N137, 0)</f>
        <v>0</v>
      </c>
      <c r="O754" s="115">
        <f>IF(P$675=0, 'Adjustment for previous period'!O137, 0)</f>
        <v>0</v>
      </c>
      <c r="P754" s="115">
        <f>IF(Q$675=0, 'Adjustment for previous period'!P137, 0)</f>
        <v>0</v>
      </c>
      <c r="Q754" s="115">
        <f>IF(R$675=0, 'Adjustment for previous period'!Q137, 0)</f>
        <v>0</v>
      </c>
      <c r="R754" s="9"/>
      <c r="S754" s="9"/>
      <c r="T754" s="9"/>
      <c r="U754" s="9"/>
      <c r="V754" s="9"/>
      <c r="W754" s="9"/>
      <c r="X754" s="9"/>
      <c r="Y754" s="9"/>
      <c r="Z754" s="9"/>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row>
    <row r="755" spans="1:64" hidden="1" outlineLevel="1">
      <c r="A755" s="9"/>
      <c r="B755" s="9"/>
      <c r="C755" s="9"/>
      <c r="D755" s="271">
        <f>Asset16</f>
        <v>0</v>
      </c>
      <c r="E755" s="9"/>
      <c r="F755" s="9"/>
      <c r="G755" s="9"/>
      <c r="H755" s="115"/>
      <c r="I755" s="115"/>
      <c r="J755" s="115"/>
      <c r="K755" s="115"/>
      <c r="L755" s="115">
        <f>IF(M$675=0, 'Adjustment for previous period'!L139, 0)</f>
        <v>0</v>
      </c>
      <c r="M755" s="115">
        <f>IF(N$675=0, 'Adjustment for previous period'!M139, 0)</f>
        <v>0</v>
      </c>
      <c r="N755" s="115">
        <f>IF(O$675=0, 'Adjustment for previous period'!N139, 0)</f>
        <v>0</v>
      </c>
      <c r="O755" s="115">
        <f>IF(P$675=0, 'Adjustment for previous period'!O139, 0)</f>
        <v>0</v>
      </c>
      <c r="P755" s="115">
        <f>IF(Q$675=0, 'Adjustment for previous period'!P139, 0)</f>
        <v>0</v>
      </c>
      <c r="Q755" s="115">
        <f>IF(R$675=0, 'Adjustment for previous period'!Q139, 0)</f>
        <v>0</v>
      </c>
      <c r="R755" s="9"/>
      <c r="S755" s="9"/>
      <c r="T755" s="9"/>
      <c r="U755" s="9"/>
      <c r="V755" s="9"/>
      <c r="W755" s="9"/>
      <c r="X755" s="9"/>
      <c r="Y755" s="9"/>
      <c r="Z755" s="9"/>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row>
    <row r="756" spans="1:64" hidden="1" outlineLevel="1">
      <c r="A756" s="9"/>
      <c r="B756" s="9"/>
      <c r="C756" s="9"/>
      <c r="D756" s="271">
        <f>Asset17</f>
        <v>0</v>
      </c>
      <c r="E756" s="9"/>
      <c r="F756" s="9"/>
      <c r="G756" s="9"/>
      <c r="H756" s="115"/>
      <c r="I756" s="115"/>
      <c r="J756" s="115"/>
      <c r="K756" s="115"/>
      <c r="L756" s="115">
        <f>IF(M$675=0, 'Adjustment for previous period'!L141, 0)</f>
        <v>0</v>
      </c>
      <c r="M756" s="115">
        <f>IF(N$675=0, 'Adjustment for previous period'!M141, 0)</f>
        <v>0</v>
      </c>
      <c r="N756" s="115">
        <f>IF(O$675=0, 'Adjustment for previous period'!N141, 0)</f>
        <v>0</v>
      </c>
      <c r="O756" s="115">
        <f>IF(P$675=0, 'Adjustment for previous period'!O141, 0)</f>
        <v>0</v>
      </c>
      <c r="P756" s="115">
        <f>IF(Q$675=0, 'Adjustment for previous period'!P141, 0)</f>
        <v>0</v>
      </c>
      <c r="Q756" s="115">
        <f>IF(R$675=0, 'Adjustment for previous period'!Q141, 0)</f>
        <v>0</v>
      </c>
      <c r="R756" s="9"/>
      <c r="S756" s="9"/>
      <c r="T756" s="9"/>
      <c r="U756" s="9"/>
      <c r="V756" s="9"/>
      <c r="W756" s="9"/>
      <c r="X756" s="9"/>
      <c r="Y756" s="9"/>
      <c r="Z756" s="9"/>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row>
    <row r="757" spans="1:64" hidden="1" outlineLevel="1">
      <c r="A757" s="9"/>
      <c r="B757" s="9"/>
      <c r="C757" s="9"/>
      <c r="D757" s="271">
        <f>Asset18</f>
        <v>0</v>
      </c>
      <c r="E757" s="9"/>
      <c r="F757" s="9"/>
      <c r="G757" s="9"/>
      <c r="H757" s="115"/>
      <c r="I757" s="115"/>
      <c r="J757" s="115"/>
      <c r="K757" s="115"/>
      <c r="L757" s="115">
        <f>IF(M$675=0, 'Adjustment for previous period'!L143, 0)</f>
        <v>0</v>
      </c>
      <c r="M757" s="115">
        <f>IF(N$675=0, 'Adjustment for previous period'!M143, 0)</f>
        <v>0</v>
      </c>
      <c r="N757" s="115">
        <f>IF(O$675=0, 'Adjustment for previous period'!N143, 0)</f>
        <v>0</v>
      </c>
      <c r="O757" s="115">
        <f>IF(P$675=0, 'Adjustment for previous period'!O143, 0)</f>
        <v>0</v>
      </c>
      <c r="P757" s="115">
        <f>IF(Q$675=0, 'Adjustment for previous period'!P143, 0)</f>
        <v>0</v>
      </c>
      <c r="Q757" s="115">
        <f>IF(R$675=0, 'Adjustment for previous period'!Q143, 0)</f>
        <v>0</v>
      </c>
      <c r="R757" s="9"/>
      <c r="S757" s="9"/>
      <c r="T757" s="9"/>
      <c r="U757" s="9"/>
      <c r="V757" s="9"/>
      <c r="W757" s="9"/>
      <c r="X757" s="9"/>
      <c r="Y757" s="9"/>
      <c r="Z757" s="9"/>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row>
    <row r="758" spans="1:64" hidden="1" outlineLevel="1">
      <c r="A758" s="9"/>
      <c r="B758" s="9"/>
      <c r="C758" s="9"/>
      <c r="D758" s="271">
        <f>Asset19</f>
        <v>0</v>
      </c>
      <c r="E758" s="9"/>
      <c r="F758" s="9"/>
      <c r="G758" s="9"/>
      <c r="H758" s="115"/>
      <c r="I758" s="115"/>
      <c r="J758" s="115"/>
      <c r="K758" s="115"/>
      <c r="L758" s="115">
        <f>IF(M$675=0, 'Adjustment for previous period'!L145, 0)</f>
        <v>0</v>
      </c>
      <c r="M758" s="115">
        <f>IF(N$675=0, 'Adjustment for previous period'!M145, 0)</f>
        <v>0</v>
      </c>
      <c r="N758" s="115">
        <f>IF(O$675=0, 'Adjustment for previous period'!N145, 0)</f>
        <v>0</v>
      </c>
      <c r="O758" s="115">
        <f>IF(P$675=0, 'Adjustment for previous period'!O145, 0)</f>
        <v>0</v>
      </c>
      <c r="P758" s="115">
        <f>IF(Q$675=0, 'Adjustment for previous period'!P145, 0)</f>
        <v>0</v>
      </c>
      <c r="Q758" s="115">
        <f>IF(R$675=0, 'Adjustment for previous period'!Q145, 0)</f>
        <v>0</v>
      </c>
      <c r="R758" s="9"/>
      <c r="S758" s="9"/>
      <c r="T758" s="9"/>
      <c r="U758" s="9"/>
      <c r="V758" s="9"/>
      <c r="W758" s="9"/>
      <c r="X758" s="9"/>
      <c r="Y758" s="9"/>
      <c r="Z758" s="9"/>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row>
    <row r="759" spans="1:64" hidden="1" outlineLevel="1">
      <c r="A759" s="9"/>
      <c r="B759" s="9"/>
      <c r="C759" s="9"/>
      <c r="D759" s="271">
        <f>Asset20</f>
        <v>0</v>
      </c>
      <c r="E759" s="9"/>
      <c r="F759" s="9"/>
      <c r="G759" s="9"/>
      <c r="H759" s="115"/>
      <c r="I759" s="115"/>
      <c r="J759" s="115"/>
      <c r="K759" s="115"/>
      <c r="L759" s="115">
        <f>IF(M$675=0, 'Adjustment for previous period'!L147, 0)</f>
        <v>0</v>
      </c>
      <c r="M759" s="115">
        <f>IF(N$675=0, 'Adjustment for previous period'!M147, 0)</f>
        <v>0</v>
      </c>
      <c r="N759" s="115">
        <f>IF(O$675=0, 'Adjustment for previous period'!N147, 0)</f>
        <v>0</v>
      </c>
      <c r="O759" s="115">
        <f>IF(P$675=0, 'Adjustment for previous period'!O147, 0)</f>
        <v>0</v>
      </c>
      <c r="P759" s="115">
        <f>IF(Q$675=0, 'Adjustment for previous period'!P147, 0)</f>
        <v>0</v>
      </c>
      <c r="Q759" s="115">
        <f>IF(R$675=0, 'Adjustment for previous period'!Q147, 0)</f>
        <v>0</v>
      </c>
      <c r="R759" s="9"/>
      <c r="S759" s="9"/>
      <c r="T759" s="9"/>
      <c r="U759" s="9"/>
      <c r="V759" s="9"/>
      <c r="W759" s="9"/>
      <c r="X759" s="9"/>
      <c r="Y759" s="9"/>
      <c r="Z759" s="9"/>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row>
    <row r="760" spans="1:64" hidden="1" outlineLevel="1">
      <c r="A760" s="9"/>
      <c r="B760" s="9"/>
      <c r="C760" s="9"/>
      <c r="D760" s="271">
        <f>Asset21</f>
        <v>0</v>
      </c>
      <c r="E760" s="9"/>
      <c r="F760" s="9"/>
      <c r="G760" s="9"/>
      <c r="H760" s="115"/>
      <c r="I760" s="115"/>
      <c r="J760" s="115"/>
      <c r="K760" s="115"/>
      <c r="L760" s="115">
        <f>IF(M$675=0, 'Adjustment for previous period'!L149, 0)</f>
        <v>0</v>
      </c>
      <c r="M760" s="115">
        <f>IF(N$675=0, 'Adjustment for previous period'!M149, 0)</f>
        <v>0</v>
      </c>
      <c r="N760" s="115">
        <f>IF(O$675=0, 'Adjustment for previous period'!N149, 0)</f>
        <v>0</v>
      </c>
      <c r="O760" s="115">
        <f>IF(P$675=0, 'Adjustment for previous period'!O149, 0)</f>
        <v>0</v>
      </c>
      <c r="P760" s="115">
        <f>IF(Q$675=0, 'Adjustment for previous period'!P149, 0)</f>
        <v>0</v>
      </c>
      <c r="Q760" s="115">
        <f>IF(R$675=0, 'Adjustment for previous period'!Q149, 0)</f>
        <v>0</v>
      </c>
      <c r="R760" s="9"/>
      <c r="S760" s="9"/>
      <c r="T760" s="9"/>
      <c r="U760" s="9"/>
      <c r="V760" s="9"/>
      <c r="W760" s="9"/>
      <c r="X760" s="9"/>
      <c r="Y760" s="9"/>
      <c r="Z760" s="9"/>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row>
    <row r="761" spans="1:64" hidden="1" outlineLevel="1">
      <c r="A761" s="9"/>
      <c r="B761" s="9"/>
      <c r="C761" s="9"/>
      <c r="D761" s="271">
        <f>Asset22</f>
        <v>0</v>
      </c>
      <c r="E761" s="9"/>
      <c r="F761" s="9"/>
      <c r="G761" s="9"/>
      <c r="H761" s="115"/>
      <c r="I761" s="115"/>
      <c r="J761" s="115"/>
      <c r="K761" s="115"/>
      <c r="L761" s="115">
        <f>IF(M$675=0, 'Adjustment for previous period'!L151, 0)</f>
        <v>0</v>
      </c>
      <c r="M761" s="115">
        <f>IF(N$675=0, 'Adjustment for previous period'!M151, 0)</f>
        <v>0</v>
      </c>
      <c r="N761" s="115">
        <f>IF(O$675=0, 'Adjustment for previous period'!N151, 0)</f>
        <v>0</v>
      </c>
      <c r="O761" s="115">
        <f>IF(P$675=0, 'Adjustment for previous period'!O151, 0)</f>
        <v>0</v>
      </c>
      <c r="P761" s="115">
        <f>IF(Q$675=0, 'Adjustment for previous period'!P151, 0)</f>
        <v>0</v>
      </c>
      <c r="Q761" s="115">
        <f>IF(R$675=0, 'Adjustment for previous period'!Q151, 0)</f>
        <v>0</v>
      </c>
      <c r="R761" s="9"/>
      <c r="S761" s="9"/>
      <c r="T761" s="9"/>
      <c r="U761" s="9"/>
      <c r="V761" s="9"/>
      <c r="W761" s="9"/>
      <c r="X761" s="9"/>
      <c r="Y761" s="9"/>
      <c r="Z761" s="9"/>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row>
    <row r="762" spans="1:64" hidden="1" outlineLevel="1">
      <c r="A762" s="9"/>
      <c r="B762" s="9"/>
      <c r="C762" s="9"/>
      <c r="D762" s="271">
        <f>Asset23</f>
        <v>0</v>
      </c>
      <c r="E762" s="9"/>
      <c r="F762" s="9"/>
      <c r="G762" s="9"/>
      <c r="H762" s="115"/>
      <c r="I762" s="115"/>
      <c r="J762" s="115"/>
      <c r="K762" s="115"/>
      <c r="L762" s="115">
        <f>IF(M$675=0, 'Adjustment for previous period'!L153, 0)</f>
        <v>0</v>
      </c>
      <c r="M762" s="115">
        <f>IF(N$675=0, 'Adjustment for previous period'!M153, 0)</f>
        <v>0</v>
      </c>
      <c r="N762" s="115">
        <f>IF(O$675=0, 'Adjustment for previous period'!N153, 0)</f>
        <v>0</v>
      </c>
      <c r="O762" s="115">
        <f>IF(P$675=0, 'Adjustment for previous period'!O153, 0)</f>
        <v>0</v>
      </c>
      <c r="P762" s="115">
        <f>IF(Q$675=0, 'Adjustment for previous period'!P153, 0)</f>
        <v>0</v>
      </c>
      <c r="Q762" s="115">
        <f>IF(R$675=0, 'Adjustment for previous period'!Q153, 0)</f>
        <v>0</v>
      </c>
      <c r="R762" s="9"/>
      <c r="S762" s="9"/>
      <c r="T762" s="9"/>
      <c r="U762" s="9"/>
      <c r="V762" s="9"/>
      <c r="W762" s="9"/>
      <c r="X762" s="9"/>
      <c r="Y762" s="9"/>
      <c r="Z762" s="9"/>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row>
    <row r="763" spans="1:64" hidden="1" outlineLevel="1">
      <c r="A763" s="9"/>
      <c r="B763" s="9"/>
      <c r="C763" s="9"/>
      <c r="D763" s="271">
        <f>Asset24</f>
        <v>0</v>
      </c>
      <c r="E763" s="9"/>
      <c r="F763" s="9"/>
      <c r="G763" s="9"/>
      <c r="H763" s="115"/>
      <c r="I763" s="115"/>
      <c r="J763" s="115"/>
      <c r="K763" s="115"/>
      <c r="L763" s="115">
        <f>IF(M$675=0, 'Adjustment for previous period'!L155, 0)</f>
        <v>0</v>
      </c>
      <c r="M763" s="115">
        <f>IF(N$675=0, 'Adjustment for previous period'!M155, 0)</f>
        <v>0</v>
      </c>
      <c r="N763" s="115">
        <f>IF(O$675=0, 'Adjustment for previous period'!N155, 0)</f>
        <v>0</v>
      </c>
      <c r="O763" s="115">
        <f>IF(P$675=0, 'Adjustment for previous period'!O155, 0)</f>
        <v>0</v>
      </c>
      <c r="P763" s="115">
        <f>IF(Q$675=0, 'Adjustment for previous period'!P155, 0)</f>
        <v>0</v>
      </c>
      <c r="Q763" s="115">
        <f>IF(R$675=0, 'Adjustment for previous period'!Q155, 0)</f>
        <v>0</v>
      </c>
      <c r="R763" s="9"/>
      <c r="S763" s="9"/>
      <c r="T763" s="9"/>
      <c r="U763" s="9"/>
      <c r="V763" s="9"/>
      <c r="W763" s="9"/>
      <c r="X763" s="9"/>
      <c r="Y763" s="9"/>
      <c r="Z763" s="9"/>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row>
    <row r="764" spans="1:64" hidden="1" outlineLevel="1">
      <c r="A764" s="9"/>
      <c r="B764" s="9"/>
      <c r="C764" s="9"/>
      <c r="D764" s="271">
        <f>Asset25</f>
        <v>0</v>
      </c>
      <c r="E764" s="9"/>
      <c r="F764" s="9"/>
      <c r="G764" s="9"/>
      <c r="H764" s="115"/>
      <c r="I764" s="115"/>
      <c r="J764" s="115"/>
      <c r="K764" s="115"/>
      <c r="L764" s="115">
        <f>IF(M$675=0, 'Adjustment for previous period'!L157, 0)</f>
        <v>0</v>
      </c>
      <c r="M764" s="115">
        <f>IF(N$675=0, 'Adjustment for previous period'!M157, 0)</f>
        <v>0</v>
      </c>
      <c r="N764" s="115">
        <f>IF(O$675=0, 'Adjustment for previous period'!N157, 0)</f>
        <v>0</v>
      </c>
      <c r="O764" s="115">
        <f>IF(P$675=0, 'Adjustment for previous period'!O157, 0)</f>
        <v>0</v>
      </c>
      <c r="P764" s="115">
        <f>IF(Q$675=0, 'Adjustment for previous period'!P157, 0)</f>
        <v>0</v>
      </c>
      <c r="Q764" s="115">
        <f>IF(R$675=0, 'Adjustment for previous period'!Q157, 0)</f>
        <v>0</v>
      </c>
      <c r="R764" s="9"/>
      <c r="S764" s="9"/>
      <c r="T764" s="9"/>
      <c r="U764" s="9"/>
      <c r="V764" s="9"/>
      <c r="W764" s="9"/>
      <c r="X764" s="9"/>
      <c r="Y764" s="9"/>
      <c r="Z764" s="9"/>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row>
    <row r="765" spans="1:64" hidden="1" outlineLevel="1">
      <c r="A765" s="9"/>
      <c r="B765" s="9"/>
      <c r="C765" s="9"/>
      <c r="D765" s="271">
        <f>Asset26</f>
        <v>0</v>
      </c>
      <c r="E765" s="9"/>
      <c r="F765" s="9"/>
      <c r="G765" s="9"/>
      <c r="H765" s="115"/>
      <c r="I765" s="115"/>
      <c r="J765" s="115"/>
      <c r="K765" s="115"/>
      <c r="L765" s="115">
        <f>IF(M$675=0, 'Adjustment for previous period'!L159, 0)</f>
        <v>0</v>
      </c>
      <c r="M765" s="115">
        <f>IF(N$675=0, 'Adjustment for previous period'!M159, 0)</f>
        <v>0</v>
      </c>
      <c r="N765" s="115">
        <f>IF(O$675=0, 'Adjustment for previous period'!N159, 0)</f>
        <v>0</v>
      </c>
      <c r="O765" s="115">
        <f>IF(P$675=0, 'Adjustment for previous period'!O159, 0)</f>
        <v>0</v>
      </c>
      <c r="P765" s="115">
        <f>IF(Q$675=0, 'Adjustment for previous period'!P159, 0)</f>
        <v>0</v>
      </c>
      <c r="Q765" s="115">
        <f>IF(R$675=0, 'Adjustment for previous period'!Q159, 0)</f>
        <v>0</v>
      </c>
      <c r="R765" s="9"/>
      <c r="S765" s="9"/>
      <c r="T765" s="9"/>
      <c r="U765" s="9"/>
      <c r="V765" s="9"/>
      <c r="W765" s="9"/>
      <c r="X765" s="9"/>
      <c r="Y765" s="9"/>
      <c r="Z765" s="9"/>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row>
    <row r="766" spans="1:64" hidden="1" outlineLevel="1">
      <c r="A766" s="9"/>
      <c r="B766" s="9"/>
      <c r="C766" s="9"/>
      <c r="D766" s="271">
        <f>Asset27</f>
        <v>0</v>
      </c>
      <c r="E766" s="9"/>
      <c r="F766" s="9"/>
      <c r="G766" s="9"/>
      <c r="H766" s="115"/>
      <c r="I766" s="115"/>
      <c r="J766" s="115"/>
      <c r="K766" s="115"/>
      <c r="L766" s="115">
        <f>IF(M$675=0, 'Adjustment for previous period'!L161, 0)</f>
        <v>0</v>
      </c>
      <c r="M766" s="115">
        <f>IF(N$675=0, 'Adjustment for previous period'!M161, 0)</f>
        <v>0</v>
      </c>
      <c r="N766" s="115">
        <f>IF(O$675=0, 'Adjustment for previous period'!N161, 0)</f>
        <v>0</v>
      </c>
      <c r="O766" s="115">
        <f>IF(P$675=0, 'Adjustment for previous period'!O161, 0)</f>
        <v>0</v>
      </c>
      <c r="P766" s="115">
        <f>IF(Q$675=0, 'Adjustment for previous period'!P161, 0)</f>
        <v>0</v>
      </c>
      <c r="Q766" s="115">
        <f>IF(R$675=0, 'Adjustment for previous period'!Q161, 0)</f>
        <v>0</v>
      </c>
      <c r="R766" s="9"/>
      <c r="S766" s="9"/>
      <c r="T766" s="9"/>
      <c r="U766" s="9"/>
      <c r="V766" s="9"/>
      <c r="W766" s="9"/>
      <c r="X766" s="9"/>
      <c r="Y766" s="9"/>
      <c r="Z766" s="9"/>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row>
    <row r="767" spans="1:64" hidden="1" outlineLevel="1">
      <c r="A767" s="9"/>
      <c r="B767" s="9"/>
      <c r="C767" s="9"/>
      <c r="D767" s="271">
        <f>Asset28</f>
        <v>0</v>
      </c>
      <c r="E767" s="9"/>
      <c r="F767" s="9"/>
      <c r="G767" s="9"/>
      <c r="H767" s="115"/>
      <c r="I767" s="115"/>
      <c r="J767" s="115"/>
      <c r="K767" s="115"/>
      <c r="L767" s="115">
        <f>IF(M$675=0, 'Adjustment for previous period'!L163, 0)</f>
        <v>0</v>
      </c>
      <c r="M767" s="115">
        <f>IF(N$675=0, 'Adjustment for previous period'!M163, 0)</f>
        <v>0</v>
      </c>
      <c r="N767" s="115">
        <f>IF(O$675=0, 'Adjustment for previous period'!N163, 0)</f>
        <v>0</v>
      </c>
      <c r="O767" s="115">
        <f>IF(P$675=0, 'Adjustment for previous period'!O163, 0)</f>
        <v>0</v>
      </c>
      <c r="P767" s="115">
        <f>IF(Q$675=0, 'Adjustment for previous period'!P163, 0)</f>
        <v>0</v>
      </c>
      <c r="Q767" s="115">
        <f>IF(R$675=0, 'Adjustment for previous period'!Q163, 0)</f>
        <v>0</v>
      </c>
      <c r="R767" s="9"/>
      <c r="S767" s="9"/>
      <c r="T767" s="9"/>
      <c r="U767" s="9"/>
      <c r="V767" s="9"/>
      <c r="W767" s="9"/>
      <c r="X767" s="9"/>
      <c r="Y767" s="9"/>
      <c r="Z767" s="9"/>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row>
    <row r="768" spans="1:64" hidden="1" outlineLevel="1">
      <c r="A768" s="9"/>
      <c r="B768" s="9"/>
      <c r="C768" s="9"/>
      <c r="D768" s="271">
        <f>Asset29</f>
        <v>0</v>
      </c>
      <c r="E768" s="9"/>
      <c r="F768" s="9"/>
      <c r="G768" s="9"/>
      <c r="H768" s="115"/>
      <c r="I768" s="115"/>
      <c r="J768" s="115"/>
      <c r="K768" s="115"/>
      <c r="L768" s="115">
        <f>IF(M$675=0, 'Adjustment for previous period'!L165, 0)</f>
        <v>0</v>
      </c>
      <c r="M768" s="115">
        <f>IF(N$675=0, 'Adjustment for previous period'!M165, 0)</f>
        <v>0</v>
      </c>
      <c r="N768" s="115">
        <f>IF(O$675=0, 'Adjustment for previous period'!N165, 0)</f>
        <v>0</v>
      </c>
      <c r="O768" s="115">
        <f>IF(P$675=0, 'Adjustment for previous period'!O165, 0)</f>
        <v>0</v>
      </c>
      <c r="P768" s="115">
        <f>IF(Q$675=0, 'Adjustment for previous period'!P165, 0)</f>
        <v>0</v>
      </c>
      <c r="Q768" s="115">
        <f>IF(R$675=0, 'Adjustment for previous period'!Q165, 0)</f>
        <v>0</v>
      </c>
      <c r="R768" s="9"/>
      <c r="S768" s="9"/>
      <c r="T768" s="9"/>
      <c r="U768" s="9"/>
      <c r="V768" s="9"/>
      <c r="W768" s="9"/>
      <c r="X768" s="9"/>
      <c r="Y768" s="9"/>
      <c r="Z768" s="9"/>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row>
    <row r="769" spans="1:64" hidden="1" outlineLevel="1">
      <c r="A769" s="9"/>
      <c r="B769" s="9"/>
      <c r="C769" s="9"/>
      <c r="D769" s="271">
        <f>Asset30</f>
        <v>0</v>
      </c>
      <c r="E769" s="9"/>
      <c r="F769" s="9"/>
      <c r="G769" s="9"/>
      <c r="H769" s="115"/>
      <c r="I769" s="115"/>
      <c r="J769" s="115"/>
      <c r="K769" s="115"/>
      <c r="L769" s="115">
        <f>IF(M$675=0, 'Adjustment for previous period'!L167, 0)</f>
        <v>0</v>
      </c>
      <c r="M769" s="115">
        <f>IF(N$675=0, 'Adjustment for previous period'!M167, 0)</f>
        <v>0</v>
      </c>
      <c r="N769" s="115">
        <f>IF(O$675=0, 'Adjustment for previous period'!N167, 0)</f>
        <v>0</v>
      </c>
      <c r="O769" s="115">
        <f>IF(P$675=0, 'Adjustment for previous period'!O167, 0)</f>
        <v>0</v>
      </c>
      <c r="P769" s="115">
        <f>IF(Q$675=0, 'Adjustment for previous period'!P167, 0)</f>
        <v>0</v>
      </c>
      <c r="Q769" s="115">
        <f>IF(R$675=0, 'Adjustment for previous period'!Q167, 0)</f>
        <v>0</v>
      </c>
      <c r="R769" s="9"/>
      <c r="S769" s="9"/>
      <c r="T769" s="9"/>
      <c r="U769" s="9"/>
      <c r="V769" s="9"/>
      <c r="W769" s="9"/>
      <c r="X769" s="9"/>
      <c r="Y769" s="9"/>
      <c r="Z769" s="9"/>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row>
    <row r="770" spans="1:64" collapsed="1">
      <c r="A770" s="9"/>
      <c r="B770" s="9"/>
      <c r="C770" s="9"/>
      <c r="D770" s="9"/>
      <c r="E770" s="9"/>
      <c r="F770" s="9"/>
      <c r="G770" s="9"/>
      <c r="H770" s="9"/>
      <c r="I770" s="9"/>
      <c r="J770" s="9"/>
      <c r="K770" s="9"/>
      <c r="L770" s="294"/>
      <c r="M770" s="294"/>
      <c r="N770" s="296"/>
      <c r="O770" s="294"/>
      <c r="P770" s="294"/>
      <c r="Q770" s="294"/>
      <c r="R770" s="9"/>
      <c r="S770" s="9"/>
      <c r="T770" s="9"/>
      <c r="U770" s="9"/>
      <c r="V770" s="9"/>
      <c r="W770" s="9"/>
      <c r="X770" s="9"/>
      <c r="Y770" s="9"/>
      <c r="Z770" s="9"/>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row>
    <row r="771" spans="1:64">
      <c r="A771" s="9"/>
      <c r="B771" s="9"/>
      <c r="C771" s="474" t="s">
        <v>104</v>
      </c>
      <c r="D771" s="474"/>
      <c r="E771" s="474"/>
      <c r="F771" s="474"/>
      <c r="G771" s="474"/>
      <c r="H771" s="474"/>
      <c r="I771" s="474"/>
      <c r="J771" s="474"/>
      <c r="K771" s="474"/>
      <c r="L771" s="479"/>
      <c r="M771" s="333">
        <f>SUM(M772:M791)</f>
        <v>0</v>
      </c>
      <c r="N771" s="296"/>
      <c r="O771" s="294"/>
      <c r="P771" s="294"/>
      <c r="Q771" s="294"/>
      <c r="R771" s="9"/>
      <c r="S771" s="9"/>
      <c r="T771" s="9"/>
      <c r="U771" s="9"/>
      <c r="V771" s="9"/>
      <c r="W771" s="9"/>
      <c r="X771" s="9"/>
      <c r="Y771" s="9"/>
      <c r="Z771" s="9"/>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row>
    <row r="772" spans="1:64" hidden="1" outlineLevel="1">
      <c r="A772" s="9"/>
      <c r="B772" s="9"/>
      <c r="C772" s="474"/>
      <c r="D772" s="473" t="str">
        <f>Asset1</f>
        <v>Subtransmission</v>
      </c>
      <c r="E772" s="474"/>
      <c r="F772" s="474"/>
      <c r="G772" s="474"/>
      <c r="H772" s="474"/>
      <c r="I772" s="474"/>
      <c r="J772" s="474"/>
      <c r="K772" s="474"/>
      <c r="L772" s="479"/>
      <c r="M772" s="458">
        <f>IF(N$675=0,'Adjustment for previous period'!G398,0)</f>
        <v>0</v>
      </c>
      <c r="N772" s="296"/>
      <c r="O772" s="294"/>
      <c r="P772" s="294"/>
      <c r="Q772" s="294"/>
      <c r="R772" s="9"/>
      <c r="S772" s="9"/>
      <c r="T772" s="9"/>
      <c r="U772" s="9"/>
      <c r="V772" s="9"/>
      <c r="W772" s="9"/>
      <c r="X772" s="9"/>
      <c r="Y772" s="9"/>
      <c r="Z772" s="9"/>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row>
    <row r="773" spans="1:64" hidden="1" outlineLevel="1">
      <c r="A773" s="9"/>
      <c r="B773" s="9"/>
      <c r="C773" s="474"/>
      <c r="D773" s="473" t="str">
        <f>Asset2</f>
        <v>Distribution system assets</v>
      </c>
      <c r="E773" s="474"/>
      <c r="F773" s="474"/>
      <c r="G773" s="474"/>
      <c r="H773" s="474"/>
      <c r="I773" s="474"/>
      <c r="J773" s="474"/>
      <c r="K773" s="474"/>
      <c r="L773" s="479"/>
      <c r="M773" s="458">
        <f>IF(N$675=0,'Adjustment for previous period'!G399,0)</f>
        <v>0</v>
      </c>
      <c r="N773" s="296"/>
      <c r="O773" s="294"/>
      <c r="P773" s="294"/>
      <c r="Q773" s="294"/>
      <c r="R773" s="9"/>
      <c r="S773" s="9"/>
      <c r="T773" s="9"/>
      <c r="U773" s="9"/>
      <c r="V773" s="9"/>
      <c r="W773" s="9"/>
      <c r="X773" s="9"/>
      <c r="Y773" s="9"/>
      <c r="Z773" s="9"/>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row>
    <row r="774" spans="1:64" hidden="1" outlineLevel="1">
      <c r="A774" s="9"/>
      <c r="B774" s="9"/>
      <c r="C774" s="474"/>
      <c r="D774" s="473" t="str">
        <f>Asset3</f>
        <v>Standard metering</v>
      </c>
      <c r="E774" s="474"/>
      <c r="F774" s="474"/>
      <c r="G774" s="474"/>
      <c r="H774" s="474"/>
      <c r="I774" s="474"/>
      <c r="J774" s="474"/>
      <c r="K774" s="474"/>
      <c r="L774" s="479"/>
      <c r="M774" s="458">
        <f>IF(N$675=0,'Adjustment for previous period'!G400,0)</f>
        <v>0</v>
      </c>
      <c r="N774" s="296"/>
      <c r="O774" s="294"/>
      <c r="P774" s="294"/>
      <c r="Q774" s="294"/>
      <c r="R774" s="9"/>
      <c r="S774" s="9"/>
      <c r="T774" s="9"/>
      <c r="U774" s="9"/>
      <c r="V774" s="9"/>
      <c r="W774" s="9"/>
      <c r="X774" s="9"/>
      <c r="Y774" s="9"/>
      <c r="Z774" s="9"/>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row>
    <row r="775" spans="1:64" hidden="1" outlineLevel="1">
      <c r="A775" s="9"/>
      <c r="B775" s="9"/>
      <c r="C775" s="474"/>
      <c r="D775" s="473" t="str">
        <f>Asset4</f>
        <v>Public lighting</v>
      </c>
      <c r="E775" s="474"/>
      <c r="F775" s="474"/>
      <c r="G775" s="474"/>
      <c r="H775" s="474"/>
      <c r="I775" s="474"/>
      <c r="J775" s="474"/>
      <c r="K775" s="474"/>
      <c r="L775" s="479"/>
      <c r="M775" s="458">
        <f>IF(N$675=0,'Adjustment for previous period'!G401,0)</f>
        <v>0</v>
      </c>
      <c r="N775" s="296"/>
      <c r="O775" s="294"/>
      <c r="P775" s="294"/>
      <c r="Q775" s="294"/>
      <c r="R775" s="9"/>
      <c r="S775" s="9"/>
      <c r="T775" s="9"/>
      <c r="U775" s="9"/>
      <c r="V775" s="9"/>
      <c r="W775" s="9"/>
      <c r="X775" s="9"/>
      <c r="Y775" s="9"/>
      <c r="Z775" s="9"/>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row>
    <row r="776" spans="1:64" hidden="1" outlineLevel="1">
      <c r="A776" s="9"/>
      <c r="B776" s="9"/>
      <c r="C776" s="474"/>
      <c r="D776" s="473" t="str">
        <f>Asset5</f>
        <v>SCADA/Network control</v>
      </c>
      <c r="E776" s="474"/>
      <c r="F776" s="474"/>
      <c r="G776" s="474"/>
      <c r="H776" s="474"/>
      <c r="I776" s="474"/>
      <c r="J776" s="474"/>
      <c r="K776" s="474"/>
      <c r="L776" s="479"/>
      <c r="M776" s="458">
        <f>IF(N$675=0,'Adjustment for previous period'!G402,0)</f>
        <v>0</v>
      </c>
      <c r="N776" s="296"/>
      <c r="O776" s="294"/>
      <c r="P776" s="294"/>
      <c r="Q776" s="294"/>
      <c r="R776" s="9"/>
      <c r="S776" s="9"/>
      <c r="T776" s="9"/>
      <c r="U776" s="9"/>
      <c r="V776" s="9"/>
      <c r="W776" s="9"/>
      <c r="X776" s="9"/>
      <c r="Y776" s="9"/>
      <c r="Z776" s="9"/>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row>
    <row r="777" spans="1:64" hidden="1" outlineLevel="1">
      <c r="A777" s="9"/>
      <c r="B777" s="9"/>
      <c r="C777" s="474"/>
      <c r="D777" s="473" t="str">
        <f>Asset6</f>
        <v>Non-network general assets - IT</v>
      </c>
      <c r="E777" s="474"/>
      <c r="F777" s="474"/>
      <c r="G777" s="474"/>
      <c r="H777" s="474"/>
      <c r="I777" s="474"/>
      <c r="J777" s="474"/>
      <c r="K777" s="474"/>
      <c r="L777" s="479"/>
      <c r="M777" s="458">
        <f>IF(N$675=0,'Adjustment for previous period'!G403,0)</f>
        <v>0</v>
      </c>
      <c r="N777" s="296"/>
      <c r="O777" s="294"/>
      <c r="P777" s="294"/>
      <c r="Q777" s="294"/>
      <c r="R777" s="9"/>
      <c r="S777" s="9"/>
      <c r="T777" s="9"/>
      <c r="U777" s="9"/>
      <c r="V777" s="9"/>
      <c r="W777" s="9"/>
      <c r="X777" s="9"/>
      <c r="Y777" s="9"/>
      <c r="Z777" s="9"/>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row>
    <row r="778" spans="1:64" hidden="1" outlineLevel="1">
      <c r="A778" s="9"/>
      <c r="B778" s="9"/>
      <c r="C778" s="474"/>
      <c r="D778" s="473" t="str">
        <f>Asset7</f>
        <v>Non-network general assets - Other</v>
      </c>
      <c r="E778" s="474"/>
      <c r="F778" s="474"/>
      <c r="G778" s="474"/>
      <c r="H778" s="474"/>
      <c r="I778" s="474"/>
      <c r="J778" s="474"/>
      <c r="K778" s="474"/>
      <c r="L778" s="479"/>
      <c r="M778" s="458">
        <f>IF(N$675=0,'Adjustment for previous period'!G404,0)</f>
        <v>0</v>
      </c>
      <c r="N778" s="296"/>
      <c r="O778" s="294"/>
      <c r="P778" s="294"/>
      <c r="Q778" s="294"/>
      <c r="R778" s="9"/>
      <c r="S778" s="9"/>
      <c r="T778" s="9"/>
      <c r="U778" s="9"/>
      <c r="V778" s="9"/>
      <c r="W778" s="9"/>
      <c r="X778" s="9"/>
      <c r="Y778" s="9"/>
      <c r="Z778" s="9"/>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row>
    <row r="779" spans="1:64" hidden="1" outlineLevel="1">
      <c r="A779" s="9"/>
      <c r="B779" s="9"/>
      <c r="C779" s="474"/>
      <c r="D779" s="473" t="str">
        <f>Asset8</f>
        <v>Equity Raising Costs</v>
      </c>
      <c r="E779" s="474"/>
      <c r="F779" s="474"/>
      <c r="G779" s="474"/>
      <c r="H779" s="474"/>
      <c r="I779" s="474"/>
      <c r="J779" s="474"/>
      <c r="K779" s="474"/>
      <c r="L779" s="479"/>
      <c r="M779" s="458">
        <f>IF(N$675=0,'Adjustment for previous period'!G405,0)</f>
        <v>0</v>
      </c>
      <c r="N779" s="296"/>
      <c r="O779" s="294"/>
      <c r="P779" s="294"/>
      <c r="Q779" s="294"/>
      <c r="R779" s="9"/>
      <c r="S779" s="9"/>
      <c r="T779" s="9"/>
      <c r="U779" s="9"/>
      <c r="V779" s="9"/>
      <c r="W779" s="9"/>
      <c r="X779" s="9"/>
      <c r="Y779" s="9"/>
      <c r="Z779" s="9"/>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row>
    <row r="780" spans="1:64" hidden="1" outlineLevel="1">
      <c r="A780" s="9"/>
      <c r="B780" s="9"/>
      <c r="C780" s="474"/>
      <c r="D780" s="473">
        <f>Asset9</f>
        <v>0</v>
      </c>
      <c r="E780" s="474"/>
      <c r="F780" s="474"/>
      <c r="G780" s="474"/>
      <c r="H780" s="474"/>
      <c r="I780" s="474"/>
      <c r="J780" s="474"/>
      <c r="K780" s="474"/>
      <c r="L780" s="479"/>
      <c r="M780" s="458">
        <f>IF(N$675=0,'Adjustment for previous period'!G406,0)</f>
        <v>0</v>
      </c>
      <c r="N780" s="296"/>
      <c r="O780" s="294"/>
      <c r="P780" s="294"/>
      <c r="Q780" s="294"/>
      <c r="R780" s="9"/>
      <c r="S780" s="9"/>
      <c r="T780" s="9"/>
      <c r="U780" s="9"/>
      <c r="V780" s="9"/>
      <c r="W780" s="9"/>
      <c r="X780" s="9"/>
      <c r="Y780" s="9"/>
      <c r="Z780" s="9"/>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row>
    <row r="781" spans="1:64" hidden="1" outlineLevel="1">
      <c r="A781" s="9"/>
      <c r="B781" s="9"/>
      <c r="C781" s="474"/>
      <c r="D781" s="473">
        <f>Asset10</f>
        <v>0</v>
      </c>
      <c r="E781" s="474"/>
      <c r="F781" s="474"/>
      <c r="G781" s="474"/>
      <c r="H781" s="474"/>
      <c r="I781" s="474"/>
      <c r="J781" s="474"/>
      <c r="K781" s="474"/>
      <c r="L781" s="479"/>
      <c r="M781" s="458">
        <f>IF(N$675=0,'Adjustment for previous period'!G407,0)</f>
        <v>0</v>
      </c>
      <c r="N781" s="296"/>
      <c r="O781" s="294"/>
      <c r="P781" s="294"/>
      <c r="Q781" s="294"/>
      <c r="R781" s="9"/>
      <c r="S781" s="9"/>
      <c r="T781" s="9"/>
      <c r="U781" s="9"/>
      <c r="V781" s="9"/>
      <c r="W781" s="9"/>
      <c r="X781" s="9"/>
      <c r="Y781" s="9"/>
      <c r="Z781" s="9"/>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row>
    <row r="782" spans="1:64" hidden="1" outlineLevel="1">
      <c r="A782" s="9"/>
      <c r="B782" s="9"/>
      <c r="C782" s="474"/>
      <c r="D782" s="473">
        <f>Asset11</f>
        <v>0</v>
      </c>
      <c r="E782" s="474"/>
      <c r="F782" s="474"/>
      <c r="G782" s="474"/>
      <c r="H782" s="474"/>
      <c r="I782" s="474"/>
      <c r="J782" s="474"/>
      <c r="K782" s="474"/>
      <c r="L782" s="479"/>
      <c r="M782" s="458">
        <f>IF(N$675=0,'Adjustment for previous period'!G408,0)</f>
        <v>0</v>
      </c>
      <c r="N782" s="296"/>
      <c r="O782" s="294"/>
      <c r="P782" s="294"/>
      <c r="Q782" s="294"/>
      <c r="R782" s="9"/>
      <c r="S782" s="9"/>
      <c r="T782" s="9"/>
      <c r="U782" s="9"/>
      <c r="V782" s="9"/>
      <c r="W782" s="9"/>
      <c r="X782" s="9"/>
      <c r="Y782" s="9"/>
      <c r="Z782" s="9"/>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row>
    <row r="783" spans="1:64" hidden="1" outlineLevel="1">
      <c r="A783" s="9"/>
      <c r="B783" s="9"/>
      <c r="C783" s="474"/>
      <c r="D783" s="473">
        <f>Asset12</f>
        <v>0</v>
      </c>
      <c r="E783" s="474"/>
      <c r="F783" s="474"/>
      <c r="G783" s="474"/>
      <c r="H783" s="474"/>
      <c r="I783" s="474"/>
      <c r="J783" s="474"/>
      <c r="K783" s="474"/>
      <c r="L783" s="479"/>
      <c r="M783" s="458">
        <f>IF(N$675=0,'Adjustment for previous period'!G409,0)</f>
        <v>0</v>
      </c>
      <c r="N783" s="296"/>
      <c r="O783" s="294"/>
      <c r="P783" s="294"/>
      <c r="Q783" s="294"/>
      <c r="R783" s="9"/>
      <c r="S783" s="9"/>
      <c r="T783" s="9"/>
      <c r="U783" s="9"/>
      <c r="V783" s="9"/>
      <c r="W783" s="9"/>
      <c r="X783" s="9"/>
      <c r="Y783" s="9"/>
      <c r="Z783" s="9"/>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row>
    <row r="784" spans="1:64" hidden="1" outlineLevel="1">
      <c r="A784" s="9"/>
      <c r="B784" s="9"/>
      <c r="C784" s="474"/>
      <c r="D784" s="473">
        <f>Asset13</f>
        <v>0</v>
      </c>
      <c r="E784" s="474"/>
      <c r="F784" s="474"/>
      <c r="G784" s="474"/>
      <c r="H784" s="474"/>
      <c r="I784" s="474"/>
      <c r="J784" s="474"/>
      <c r="K784" s="474"/>
      <c r="L784" s="479"/>
      <c r="M784" s="458">
        <f>IF(N$675=0,'Adjustment for previous period'!G410,0)</f>
        <v>0</v>
      </c>
      <c r="N784" s="296"/>
      <c r="O784" s="294"/>
      <c r="P784" s="294"/>
      <c r="Q784" s="294"/>
      <c r="R784" s="9"/>
      <c r="S784" s="9"/>
      <c r="T784" s="9"/>
      <c r="U784" s="9"/>
      <c r="V784" s="9"/>
      <c r="W784" s="9"/>
      <c r="X784" s="9"/>
      <c r="Y784" s="9"/>
      <c r="Z784" s="9"/>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row>
    <row r="785" spans="1:64" hidden="1" outlineLevel="1">
      <c r="A785" s="9"/>
      <c r="B785" s="9"/>
      <c r="C785" s="474"/>
      <c r="D785" s="473">
        <f>Asset14</f>
        <v>0</v>
      </c>
      <c r="E785" s="474"/>
      <c r="F785" s="474"/>
      <c r="G785" s="474"/>
      <c r="H785" s="474"/>
      <c r="I785" s="474"/>
      <c r="J785" s="474"/>
      <c r="K785" s="474"/>
      <c r="L785" s="479"/>
      <c r="M785" s="458">
        <f>IF(N$675=0,'Adjustment for previous period'!G411,0)</f>
        <v>0</v>
      </c>
      <c r="N785" s="296"/>
      <c r="O785" s="294"/>
      <c r="P785" s="294"/>
      <c r="Q785" s="294"/>
      <c r="R785" s="9"/>
      <c r="S785" s="9"/>
      <c r="T785" s="9"/>
      <c r="U785" s="9"/>
      <c r="V785" s="9"/>
      <c r="W785" s="9"/>
      <c r="X785" s="9"/>
      <c r="Y785" s="9"/>
      <c r="Z785" s="9"/>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row>
    <row r="786" spans="1:64" hidden="1" outlineLevel="1">
      <c r="A786" s="9"/>
      <c r="B786" s="9"/>
      <c r="C786" s="474"/>
      <c r="D786" s="473">
        <f>Asset15</f>
        <v>0</v>
      </c>
      <c r="E786" s="474"/>
      <c r="F786" s="474"/>
      <c r="G786" s="474"/>
      <c r="H786" s="474"/>
      <c r="I786" s="474"/>
      <c r="J786" s="474"/>
      <c r="K786" s="474"/>
      <c r="L786" s="479"/>
      <c r="M786" s="458">
        <f>IF(N$675=0,'Adjustment for previous period'!G412,0)</f>
        <v>0</v>
      </c>
      <c r="N786" s="296"/>
      <c r="O786" s="294"/>
      <c r="P786" s="294"/>
      <c r="Q786" s="294"/>
      <c r="R786" s="9"/>
      <c r="S786" s="9"/>
      <c r="T786" s="9"/>
      <c r="U786" s="9"/>
      <c r="V786" s="9"/>
      <c r="W786" s="9"/>
      <c r="X786" s="9"/>
      <c r="Y786" s="9"/>
      <c r="Z786" s="9"/>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row>
    <row r="787" spans="1:64" hidden="1" outlineLevel="1">
      <c r="A787" s="9"/>
      <c r="B787" s="9"/>
      <c r="C787" s="474"/>
      <c r="D787" s="473">
        <f>Asset16</f>
        <v>0</v>
      </c>
      <c r="E787" s="474"/>
      <c r="F787" s="474"/>
      <c r="G787" s="474"/>
      <c r="H787" s="474"/>
      <c r="I787" s="474"/>
      <c r="J787" s="474"/>
      <c r="K787" s="474"/>
      <c r="L787" s="479"/>
      <c r="M787" s="458">
        <f>IF(N$675=0,'Adjustment for previous period'!G413,0)</f>
        <v>0</v>
      </c>
      <c r="N787" s="296"/>
      <c r="O787" s="294"/>
      <c r="P787" s="294"/>
      <c r="Q787" s="294"/>
      <c r="R787" s="9"/>
      <c r="S787" s="9"/>
      <c r="T787" s="9"/>
      <c r="U787" s="9"/>
      <c r="V787" s="9"/>
      <c r="W787" s="9"/>
      <c r="X787" s="9"/>
      <c r="Y787" s="9"/>
      <c r="Z787" s="9"/>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row>
    <row r="788" spans="1:64" hidden="1" outlineLevel="1">
      <c r="A788" s="9"/>
      <c r="B788" s="9"/>
      <c r="C788" s="474"/>
      <c r="D788" s="473">
        <f>Asset17</f>
        <v>0</v>
      </c>
      <c r="E788" s="474"/>
      <c r="F788" s="474"/>
      <c r="G788" s="474"/>
      <c r="H788" s="474"/>
      <c r="I788" s="474"/>
      <c r="J788" s="474"/>
      <c r="K788" s="474"/>
      <c r="L788" s="479"/>
      <c r="M788" s="458">
        <f>IF(N$675=0,'Adjustment for previous period'!G414,0)</f>
        <v>0</v>
      </c>
      <c r="N788" s="296"/>
      <c r="O788" s="294"/>
      <c r="P788" s="294"/>
      <c r="Q788" s="294"/>
      <c r="R788" s="9"/>
      <c r="S788" s="9"/>
      <c r="T788" s="9"/>
      <c r="U788" s="9"/>
      <c r="V788" s="9"/>
      <c r="W788" s="9"/>
      <c r="X788" s="9"/>
      <c r="Y788" s="9"/>
      <c r="Z788" s="9"/>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row>
    <row r="789" spans="1:64" hidden="1" outlineLevel="1">
      <c r="A789" s="9"/>
      <c r="B789" s="9"/>
      <c r="C789" s="474"/>
      <c r="D789" s="473">
        <f>Asset18</f>
        <v>0</v>
      </c>
      <c r="E789" s="474"/>
      <c r="F789" s="474"/>
      <c r="G789" s="474"/>
      <c r="H789" s="474"/>
      <c r="I789" s="474"/>
      <c r="J789" s="474"/>
      <c r="K789" s="474"/>
      <c r="L789" s="479"/>
      <c r="M789" s="458">
        <f>IF(N$675=0,'Adjustment for previous period'!G415,0)</f>
        <v>0</v>
      </c>
      <c r="N789" s="296"/>
      <c r="O789" s="294"/>
      <c r="P789" s="294"/>
      <c r="Q789" s="294"/>
      <c r="R789" s="9"/>
      <c r="S789" s="9"/>
      <c r="T789" s="9"/>
      <c r="U789" s="9"/>
      <c r="V789" s="9"/>
      <c r="W789" s="9"/>
      <c r="X789" s="9"/>
      <c r="Y789" s="9"/>
      <c r="Z789" s="9"/>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row>
    <row r="790" spans="1:64" hidden="1" outlineLevel="1">
      <c r="A790" s="9"/>
      <c r="B790" s="9"/>
      <c r="C790" s="474"/>
      <c r="D790" s="473">
        <f>Asset19</f>
        <v>0</v>
      </c>
      <c r="E790" s="474"/>
      <c r="F790" s="474"/>
      <c r="G790" s="474"/>
      <c r="H790" s="474"/>
      <c r="I790" s="474"/>
      <c r="J790" s="474"/>
      <c r="K790" s="474"/>
      <c r="L790" s="479"/>
      <c r="M790" s="458">
        <f>IF(N$675=0,'Adjustment for previous period'!G416,0)</f>
        <v>0</v>
      </c>
      <c r="N790" s="296"/>
      <c r="O790" s="294"/>
      <c r="P790" s="294"/>
      <c r="Q790" s="294"/>
      <c r="R790" s="9"/>
      <c r="S790" s="9"/>
      <c r="T790" s="9"/>
      <c r="U790" s="9"/>
      <c r="V790" s="9"/>
      <c r="W790" s="9"/>
      <c r="X790" s="9"/>
      <c r="Y790" s="9"/>
      <c r="Z790" s="9"/>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row>
    <row r="791" spans="1:64" hidden="1" outlineLevel="1">
      <c r="A791" s="9"/>
      <c r="B791" s="9"/>
      <c r="C791" s="474"/>
      <c r="D791" s="473">
        <f>Asset20</f>
        <v>0</v>
      </c>
      <c r="E791" s="474"/>
      <c r="F791" s="474"/>
      <c r="G791" s="474"/>
      <c r="H791" s="474"/>
      <c r="I791" s="474"/>
      <c r="J791" s="474"/>
      <c r="K791" s="474"/>
      <c r="L791" s="479"/>
      <c r="M791" s="458">
        <f>IF(N$675=0,'Adjustment for previous period'!G417,0)</f>
        <v>0</v>
      </c>
      <c r="N791" s="296"/>
      <c r="O791" s="294"/>
      <c r="P791" s="294"/>
      <c r="Q791" s="294"/>
      <c r="R791" s="9"/>
      <c r="S791" s="9"/>
      <c r="T791" s="9"/>
      <c r="U791" s="9"/>
      <c r="V791" s="9"/>
      <c r="W791" s="9"/>
      <c r="X791" s="9"/>
      <c r="Y791" s="9"/>
      <c r="Z791" s="9"/>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row>
    <row r="792" spans="1:64" collapsed="1">
      <c r="A792" s="9"/>
      <c r="B792" s="9"/>
      <c r="C792" s="474"/>
      <c r="D792" s="474"/>
      <c r="E792" s="474"/>
      <c r="F792" s="474"/>
      <c r="G792" s="474"/>
      <c r="H792" s="474"/>
      <c r="I792" s="474"/>
      <c r="J792" s="474"/>
      <c r="K792" s="474"/>
      <c r="L792" s="479"/>
      <c r="M792" s="479"/>
      <c r="N792" s="296"/>
      <c r="O792" s="294"/>
      <c r="P792" s="294"/>
      <c r="Q792" s="294"/>
      <c r="R792" s="9"/>
      <c r="S792" s="9"/>
      <c r="T792" s="9"/>
      <c r="U792" s="9"/>
      <c r="V792" s="9"/>
      <c r="W792" s="9"/>
      <c r="X792" s="9"/>
      <c r="Y792" s="9"/>
      <c r="Z792" s="9"/>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row>
    <row r="793" spans="1:64">
      <c r="A793" s="9"/>
      <c r="B793" s="9"/>
      <c r="C793" s="478" t="s">
        <v>105</v>
      </c>
      <c r="D793" s="474"/>
      <c r="E793" s="474"/>
      <c r="F793" s="474"/>
      <c r="G793" s="474"/>
      <c r="H793" s="474"/>
      <c r="I793" s="474"/>
      <c r="J793" s="474"/>
      <c r="K793" s="474"/>
      <c r="L793" s="479"/>
      <c r="M793" s="333">
        <f>SUM(M794:M813)</f>
        <v>0</v>
      </c>
      <c r="N793" s="296"/>
      <c r="O793" s="294"/>
      <c r="P793" s="294"/>
      <c r="Q793" s="294"/>
      <c r="R793" s="9"/>
      <c r="S793" s="9"/>
      <c r="T793" s="9"/>
      <c r="U793" s="9"/>
      <c r="V793" s="9"/>
      <c r="W793" s="9"/>
      <c r="X793" s="9"/>
      <c r="Y793" s="9"/>
      <c r="Z793" s="9"/>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row>
    <row r="794" spans="1:64" hidden="1" outlineLevel="1">
      <c r="A794" s="9"/>
      <c r="B794" s="9"/>
      <c r="C794" s="9"/>
      <c r="D794" s="131" t="str">
        <f>Asset1</f>
        <v>Subtransmission</v>
      </c>
      <c r="E794" s="9"/>
      <c r="F794" s="9"/>
      <c r="G794" s="9"/>
      <c r="H794" s="9"/>
      <c r="I794" s="9"/>
      <c r="J794" s="9"/>
      <c r="K794" s="9"/>
      <c r="L794" s="294"/>
      <c r="M794" s="339">
        <f>IF(N$233=0,'Adjustment for previous period'!M431, 0)</f>
        <v>0</v>
      </c>
      <c r="N794" s="296"/>
      <c r="O794" s="294"/>
      <c r="P794" s="294"/>
      <c r="Q794" s="294"/>
      <c r="R794" s="9"/>
      <c r="S794" s="9"/>
      <c r="T794" s="9"/>
      <c r="U794" s="9"/>
      <c r="V794" s="9"/>
      <c r="W794" s="9"/>
      <c r="X794" s="9"/>
      <c r="Y794" s="9"/>
      <c r="Z794" s="9"/>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row>
    <row r="795" spans="1:64" hidden="1" outlineLevel="1">
      <c r="A795" s="9"/>
      <c r="B795" s="9"/>
      <c r="C795" s="9"/>
      <c r="D795" s="131" t="str">
        <f>Asset2</f>
        <v>Distribution system assets</v>
      </c>
      <c r="E795" s="9"/>
      <c r="F795" s="9"/>
      <c r="G795" s="9"/>
      <c r="H795" s="9"/>
      <c r="I795" s="9"/>
      <c r="J795" s="9"/>
      <c r="K795" s="9"/>
      <c r="L795" s="294"/>
      <c r="M795" s="339">
        <f>IF(N$233=0,'Adjustment for previous period'!M432, 0)</f>
        <v>0</v>
      </c>
      <c r="N795" s="296"/>
      <c r="O795" s="294"/>
      <c r="P795" s="294"/>
      <c r="Q795" s="294"/>
      <c r="R795" s="9"/>
      <c r="S795" s="9"/>
      <c r="T795" s="9"/>
      <c r="U795" s="9"/>
      <c r="V795" s="9"/>
      <c r="W795" s="9"/>
      <c r="X795" s="9"/>
      <c r="Y795" s="9"/>
      <c r="Z795" s="9"/>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row>
    <row r="796" spans="1:64" hidden="1" outlineLevel="1">
      <c r="A796" s="9"/>
      <c r="B796" s="9"/>
      <c r="C796" s="9"/>
      <c r="D796" s="131" t="str">
        <f>Asset3</f>
        <v>Standard metering</v>
      </c>
      <c r="E796" s="9"/>
      <c r="F796" s="9"/>
      <c r="G796" s="9"/>
      <c r="H796" s="9"/>
      <c r="I796" s="9"/>
      <c r="J796" s="9"/>
      <c r="K796" s="9"/>
      <c r="L796" s="294"/>
      <c r="M796" s="339">
        <f>IF(N$233=0,'Adjustment for previous period'!M433, 0)</f>
        <v>0</v>
      </c>
      <c r="N796" s="296"/>
      <c r="O796" s="294"/>
      <c r="P796" s="294"/>
      <c r="Q796" s="294"/>
      <c r="R796" s="9"/>
      <c r="S796" s="9"/>
      <c r="T796" s="9"/>
      <c r="U796" s="9"/>
      <c r="V796" s="9"/>
      <c r="W796" s="9"/>
      <c r="X796" s="9"/>
      <c r="Y796" s="9"/>
      <c r="Z796" s="9"/>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row>
    <row r="797" spans="1:64" hidden="1" outlineLevel="1">
      <c r="A797" s="9"/>
      <c r="B797" s="9"/>
      <c r="C797" s="9"/>
      <c r="D797" s="131" t="str">
        <f>Asset4</f>
        <v>Public lighting</v>
      </c>
      <c r="E797" s="9"/>
      <c r="F797" s="9"/>
      <c r="G797" s="9"/>
      <c r="H797" s="9"/>
      <c r="I797" s="9"/>
      <c r="J797" s="9"/>
      <c r="K797" s="9"/>
      <c r="L797" s="294"/>
      <c r="M797" s="339">
        <f>IF(N$233=0,'Adjustment for previous period'!M434, 0)</f>
        <v>0</v>
      </c>
      <c r="N797" s="296"/>
      <c r="O797" s="294"/>
      <c r="P797" s="294"/>
      <c r="Q797" s="294"/>
      <c r="R797" s="9"/>
      <c r="S797" s="9"/>
      <c r="T797" s="9"/>
      <c r="U797" s="9"/>
      <c r="V797" s="9"/>
      <c r="W797" s="9"/>
      <c r="X797" s="9"/>
      <c r="Y797" s="9"/>
      <c r="Z797" s="9"/>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row>
    <row r="798" spans="1:64" hidden="1" outlineLevel="1">
      <c r="A798" s="9"/>
      <c r="B798" s="9"/>
      <c r="C798" s="9"/>
      <c r="D798" s="131" t="str">
        <f>Asset5</f>
        <v>SCADA/Network control</v>
      </c>
      <c r="E798" s="9"/>
      <c r="F798" s="9"/>
      <c r="G798" s="9"/>
      <c r="H798" s="9"/>
      <c r="I798" s="9"/>
      <c r="J798" s="9"/>
      <c r="K798" s="9"/>
      <c r="L798" s="294"/>
      <c r="M798" s="339">
        <f>IF(N$233=0,'Adjustment for previous period'!M435, 0)</f>
        <v>0</v>
      </c>
      <c r="N798" s="296"/>
      <c r="O798" s="294"/>
      <c r="P798" s="294"/>
      <c r="Q798" s="294"/>
      <c r="R798" s="9"/>
      <c r="S798" s="9"/>
      <c r="T798" s="9"/>
      <c r="U798" s="9"/>
      <c r="V798" s="9"/>
      <c r="W798" s="9"/>
      <c r="X798" s="9"/>
      <c r="Y798" s="9"/>
      <c r="Z798" s="9"/>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row>
    <row r="799" spans="1:64" hidden="1" outlineLevel="1">
      <c r="A799" s="9"/>
      <c r="B799" s="9"/>
      <c r="C799" s="9"/>
      <c r="D799" s="131" t="str">
        <f>Asset6</f>
        <v>Non-network general assets - IT</v>
      </c>
      <c r="E799" s="9"/>
      <c r="F799" s="9"/>
      <c r="G799" s="9"/>
      <c r="H799" s="9"/>
      <c r="I799" s="9"/>
      <c r="J799" s="9"/>
      <c r="K799" s="9"/>
      <c r="L799" s="294"/>
      <c r="M799" s="339">
        <f>IF(N$233=0,'Adjustment for previous period'!M436, 0)</f>
        <v>0</v>
      </c>
      <c r="N799" s="296"/>
      <c r="O799" s="294"/>
      <c r="P799" s="294"/>
      <c r="Q799" s="294"/>
      <c r="R799" s="9"/>
      <c r="S799" s="9"/>
      <c r="T799" s="9"/>
      <c r="U799" s="9"/>
      <c r="V799" s="9"/>
      <c r="W799" s="9"/>
      <c r="X799" s="9"/>
      <c r="Y799" s="9"/>
      <c r="Z799" s="9"/>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row>
    <row r="800" spans="1:64" hidden="1" outlineLevel="1">
      <c r="A800" s="9"/>
      <c r="B800" s="9"/>
      <c r="C800" s="9"/>
      <c r="D800" s="131" t="str">
        <f>Asset7</f>
        <v>Non-network general assets - Other</v>
      </c>
      <c r="E800" s="9"/>
      <c r="F800" s="9"/>
      <c r="G800" s="9"/>
      <c r="H800" s="9"/>
      <c r="I800" s="9"/>
      <c r="J800" s="9"/>
      <c r="K800" s="9"/>
      <c r="L800" s="294"/>
      <c r="M800" s="339">
        <f>IF(N$233=0,'Adjustment for previous period'!M437, 0)</f>
        <v>0</v>
      </c>
      <c r="N800" s="296"/>
      <c r="O800" s="294"/>
      <c r="P800" s="294"/>
      <c r="Q800" s="294"/>
      <c r="R800" s="9"/>
      <c r="S800" s="9"/>
      <c r="T800" s="9"/>
      <c r="U800" s="9"/>
      <c r="V800" s="9"/>
      <c r="W800" s="9"/>
      <c r="X800" s="9"/>
      <c r="Y800" s="9"/>
      <c r="Z800" s="9"/>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row>
    <row r="801" spans="1:64" hidden="1" outlineLevel="1">
      <c r="A801" s="9"/>
      <c r="B801" s="9"/>
      <c r="C801" s="9"/>
      <c r="D801" s="131" t="str">
        <f>Asset8</f>
        <v>Equity Raising Costs</v>
      </c>
      <c r="E801" s="9"/>
      <c r="F801" s="9"/>
      <c r="G801" s="9"/>
      <c r="H801" s="9"/>
      <c r="I801" s="9"/>
      <c r="J801" s="9"/>
      <c r="K801" s="9"/>
      <c r="L801" s="294"/>
      <c r="M801" s="339">
        <f>IF(N$233=0,'Adjustment for previous period'!M438, 0)</f>
        <v>0</v>
      </c>
      <c r="N801" s="296"/>
      <c r="O801" s="294"/>
      <c r="P801" s="294"/>
      <c r="Q801" s="294"/>
      <c r="R801" s="9"/>
      <c r="S801" s="9"/>
      <c r="T801" s="9"/>
      <c r="U801" s="9"/>
      <c r="V801" s="9"/>
      <c r="W801" s="9"/>
      <c r="X801" s="9"/>
      <c r="Y801" s="9"/>
      <c r="Z801" s="9"/>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row>
    <row r="802" spans="1:64" hidden="1" outlineLevel="1">
      <c r="A802" s="9"/>
      <c r="B802" s="9"/>
      <c r="C802" s="9"/>
      <c r="D802" s="131">
        <f>Asset9</f>
        <v>0</v>
      </c>
      <c r="E802" s="9"/>
      <c r="F802" s="9"/>
      <c r="G802" s="9"/>
      <c r="H802" s="9"/>
      <c r="I802" s="9"/>
      <c r="J802" s="9"/>
      <c r="K802" s="9"/>
      <c r="L802" s="294"/>
      <c r="M802" s="339">
        <f>IF(N$233=0,'Adjustment for previous period'!M439, 0)</f>
        <v>0</v>
      </c>
      <c r="N802" s="296"/>
      <c r="O802" s="294"/>
      <c r="P802" s="294"/>
      <c r="Q802" s="294"/>
      <c r="R802" s="9"/>
      <c r="S802" s="9"/>
      <c r="T802" s="9"/>
      <c r="U802" s="9"/>
      <c r="V802" s="9"/>
      <c r="W802" s="9"/>
      <c r="X802" s="9"/>
      <c r="Y802" s="9"/>
      <c r="Z802" s="9"/>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row>
    <row r="803" spans="1:64" hidden="1" outlineLevel="1">
      <c r="A803" s="9"/>
      <c r="B803" s="9"/>
      <c r="C803" s="9"/>
      <c r="D803" s="131">
        <f>Asset10</f>
        <v>0</v>
      </c>
      <c r="E803" s="9"/>
      <c r="F803" s="9"/>
      <c r="G803" s="9"/>
      <c r="H803" s="9"/>
      <c r="I803" s="9"/>
      <c r="J803" s="9"/>
      <c r="K803" s="9"/>
      <c r="L803" s="294"/>
      <c r="M803" s="339">
        <f>IF(N$233=0,'Adjustment for previous period'!M440, 0)</f>
        <v>0</v>
      </c>
      <c r="N803" s="296"/>
      <c r="O803" s="294"/>
      <c r="P803" s="294"/>
      <c r="Q803" s="294"/>
      <c r="R803" s="9"/>
      <c r="S803" s="9"/>
      <c r="T803" s="9"/>
      <c r="U803" s="9"/>
      <c r="V803" s="9"/>
      <c r="W803" s="9"/>
      <c r="X803" s="9"/>
      <c r="Y803" s="9"/>
      <c r="Z803" s="9"/>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row>
    <row r="804" spans="1:64" hidden="1" outlineLevel="1">
      <c r="A804" s="9"/>
      <c r="B804" s="9"/>
      <c r="C804" s="9"/>
      <c r="D804" s="131">
        <f>Asset11</f>
        <v>0</v>
      </c>
      <c r="E804" s="9"/>
      <c r="F804" s="9"/>
      <c r="G804" s="9"/>
      <c r="H804" s="9"/>
      <c r="I804" s="9"/>
      <c r="J804" s="9"/>
      <c r="K804" s="9"/>
      <c r="L804" s="294"/>
      <c r="M804" s="339">
        <f>IF(N$233=0,'Adjustment for previous period'!M441, 0)</f>
        <v>0</v>
      </c>
      <c r="N804" s="296"/>
      <c r="O804" s="294"/>
      <c r="P804" s="294"/>
      <c r="Q804" s="294"/>
      <c r="R804" s="9"/>
      <c r="S804" s="9"/>
      <c r="T804" s="9"/>
      <c r="U804" s="9"/>
      <c r="V804" s="9"/>
      <c r="W804" s="9"/>
      <c r="X804" s="9"/>
      <c r="Y804" s="9"/>
      <c r="Z804" s="9"/>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row>
    <row r="805" spans="1:64" hidden="1" outlineLevel="1">
      <c r="A805" s="9"/>
      <c r="B805" s="9"/>
      <c r="C805" s="9"/>
      <c r="D805" s="131">
        <f>Asset12</f>
        <v>0</v>
      </c>
      <c r="E805" s="9"/>
      <c r="F805" s="9"/>
      <c r="G805" s="9"/>
      <c r="H805" s="9"/>
      <c r="I805" s="9"/>
      <c r="J805" s="9"/>
      <c r="K805" s="9"/>
      <c r="L805" s="294"/>
      <c r="M805" s="339">
        <f>IF(N$233=0,'Adjustment for previous period'!M442, 0)</f>
        <v>0</v>
      </c>
      <c r="N805" s="296"/>
      <c r="O805" s="294"/>
      <c r="P805" s="294"/>
      <c r="Q805" s="294"/>
      <c r="R805" s="9"/>
      <c r="S805" s="9"/>
      <c r="T805" s="9"/>
      <c r="U805" s="9"/>
      <c r="V805" s="9"/>
      <c r="W805" s="9"/>
      <c r="X805" s="9"/>
      <c r="Y805" s="9"/>
      <c r="Z805" s="9"/>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row>
    <row r="806" spans="1:64" hidden="1" outlineLevel="1">
      <c r="A806" s="9"/>
      <c r="B806" s="9"/>
      <c r="C806" s="9"/>
      <c r="D806" s="131">
        <f>Asset13</f>
        <v>0</v>
      </c>
      <c r="E806" s="9"/>
      <c r="F806" s="9"/>
      <c r="G806" s="9"/>
      <c r="H806" s="9"/>
      <c r="I806" s="9"/>
      <c r="J806" s="9"/>
      <c r="K806" s="9"/>
      <c r="L806" s="294"/>
      <c r="M806" s="339">
        <f>IF(N$233=0,'Adjustment for previous period'!M443, 0)</f>
        <v>0</v>
      </c>
      <c r="N806" s="296"/>
      <c r="O806" s="294"/>
      <c r="P806" s="294"/>
      <c r="Q806" s="294"/>
      <c r="R806" s="9"/>
      <c r="S806" s="9"/>
      <c r="T806" s="9"/>
      <c r="U806" s="9"/>
      <c r="V806" s="9"/>
      <c r="W806" s="9"/>
      <c r="X806" s="9"/>
      <c r="Y806" s="9"/>
      <c r="Z806" s="9"/>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row>
    <row r="807" spans="1:64" hidden="1" outlineLevel="1">
      <c r="A807" s="9"/>
      <c r="B807" s="9"/>
      <c r="C807" s="9"/>
      <c r="D807" s="131">
        <f>Asset14</f>
        <v>0</v>
      </c>
      <c r="E807" s="9"/>
      <c r="F807" s="9"/>
      <c r="G807" s="9"/>
      <c r="H807" s="9"/>
      <c r="I807" s="9"/>
      <c r="J807" s="9"/>
      <c r="K807" s="9"/>
      <c r="L807" s="294"/>
      <c r="M807" s="339">
        <f>IF(N$233=0,'Adjustment for previous period'!M444, 0)</f>
        <v>0</v>
      </c>
      <c r="N807" s="296"/>
      <c r="O807" s="294"/>
      <c r="P807" s="294"/>
      <c r="Q807" s="294"/>
      <c r="R807" s="9"/>
      <c r="S807" s="9"/>
      <c r="T807" s="9"/>
      <c r="U807" s="9"/>
      <c r="V807" s="9"/>
      <c r="W807" s="9"/>
      <c r="X807" s="9"/>
      <c r="Y807" s="9"/>
      <c r="Z807" s="9"/>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row>
    <row r="808" spans="1:64" hidden="1" outlineLevel="1">
      <c r="A808" s="9"/>
      <c r="B808" s="9"/>
      <c r="C808" s="9"/>
      <c r="D808" s="131">
        <f>Asset15</f>
        <v>0</v>
      </c>
      <c r="E808" s="9"/>
      <c r="F808" s="9"/>
      <c r="G808" s="9"/>
      <c r="H808" s="9"/>
      <c r="I808" s="9"/>
      <c r="J808" s="9"/>
      <c r="K808" s="9"/>
      <c r="L808" s="294"/>
      <c r="M808" s="339">
        <f>IF(N$233=0,'Adjustment for previous period'!M445, 0)</f>
        <v>0</v>
      </c>
      <c r="N808" s="296"/>
      <c r="O808" s="294"/>
      <c r="P808" s="294"/>
      <c r="Q808" s="294"/>
      <c r="R808" s="9"/>
      <c r="S808" s="9"/>
      <c r="T808" s="9"/>
      <c r="U808" s="9"/>
      <c r="V808" s="9"/>
      <c r="W808" s="9"/>
      <c r="X808" s="9"/>
      <c r="Y808" s="9"/>
      <c r="Z808" s="9"/>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row>
    <row r="809" spans="1:64" hidden="1" outlineLevel="1">
      <c r="A809" s="9"/>
      <c r="B809" s="9"/>
      <c r="C809" s="9"/>
      <c r="D809" s="131">
        <f>Asset16</f>
        <v>0</v>
      </c>
      <c r="E809" s="9"/>
      <c r="F809" s="9"/>
      <c r="G809" s="9"/>
      <c r="H809" s="9"/>
      <c r="I809" s="9"/>
      <c r="J809" s="9"/>
      <c r="K809" s="9"/>
      <c r="L809" s="294"/>
      <c r="M809" s="339">
        <f>IF(N$233=0,'Adjustment for previous period'!M446, 0)</f>
        <v>0</v>
      </c>
      <c r="N809" s="296"/>
      <c r="O809" s="294"/>
      <c r="P809" s="294"/>
      <c r="Q809" s="294"/>
      <c r="R809" s="9"/>
      <c r="S809" s="9"/>
      <c r="T809" s="9"/>
      <c r="U809" s="9"/>
      <c r="V809" s="9"/>
      <c r="W809" s="9"/>
      <c r="X809" s="9"/>
      <c r="Y809" s="9"/>
      <c r="Z809" s="9"/>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row>
    <row r="810" spans="1:64" hidden="1" outlineLevel="1">
      <c r="A810" s="9"/>
      <c r="B810" s="9"/>
      <c r="C810" s="9"/>
      <c r="D810" s="131">
        <f>Asset17</f>
        <v>0</v>
      </c>
      <c r="E810" s="9"/>
      <c r="F810" s="9"/>
      <c r="G810" s="9"/>
      <c r="H810" s="9"/>
      <c r="I810" s="9"/>
      <c r="J810" s="9"/>
      <c r="K810" s="9"/>
      <c r="L810" s="294"/>
      <c r="M810" s="339">
        <f>IF(N$233=0,'Adjustment for previous period'!M447, 0)</f>
        <v>0</v>
      </c>
      <c r="N810" s="296"/>
      <c r="O810" s="294"/>
      <c r="P810" s="294"/>
      <c r="Q810" s="294"/>
      <c r="R810" s="9"/>
      <c r="S810" s="9"/>
      <c r="T810" s="9"/>
      <c r="U810" s="9"/>
      <c r="V810" s="9"/>
      <c r="W810" s="9"/>
      <c r="X810" s="9"/>
      <c r="Y810" s="9"/>
      <c r="Z810" s="9"/>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row>
    <row r="811" spans="1:64" hidden="1" outlineLevel="1">
      <c r="A811" s="9"/>
      <c r="B811" s="9"/>
      <c r="C811" s="9"/>
      <c r="D811" s="131">
        <f>Asset18</f>
        <v>0</v>
      </c>
      <c r="E811" s="9"/>
      <c r="F811" s="9"/>
      <c r="G811" s="9"/>
      <c r="H811" s="9"/>
      <c r="I811" s="9"/>
      <c r="J811" s="9"/>
      <c r="K811" s="9"/>
      <c r="L811" s="294"/>
      <c r="M811" s="339">
        <f>IF(N$233=0,'Adjustment for previous period'!M448, 0)</f>
        <v>0</v>
      </c>
      <c r="N811" s="296"/>
      <c r="O811" s="294"/>
      <c r="P811" s="294"/>
      <c r="Q811" s="294"/>
      <c r="R811" s="9"/>
      <c r="S811" s="9"/>
      <c r="T811" s="9"/>
      <c r="U811" s="9"/>
      <c r="V811" s="9"/>
      <c r="W811" s="9"/>
      <c r="X811" s="9"/>
      <c r="Y811" s="9"/>
      <c r="Z811" s="9"/>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row>
    <row r="812" spans="1:64" hidden="1" outlineLevel="1">
      <c r="A812" s="9"/>
      <c r="B812" s="9"/>
      <c r="C812" s="9"/>
      <c r="D812" s="131">
        <f>Asset19</f>
        <v>0</v>
      </c>
      <c r="E812" s="9"/>
      <c r="F812" s="9"/>
      <c r="G812" s="9"/>
      <c r="H812" s="9"/>
      <c r="I812" s="9"/>
      <c r="J812" s="9"/>
      <c r="K812" s="9"/>
      <c r="L812" s="294"/>
      <c r="M812" s="339">
        <f>IF(N$233=0,'Adjustment for previous period'!M449, 0)</f>
        <v>0</v>
      </c>
      <c r="N812" s="296"/>
      <c r="O812" s="294"/>
      <c r="P812" s="294"/>
      <c r="Q812" s="294"/>
      <c r="R812" s="9"/>
      <c r="S812" s="9"/>
      <c r="T812" s="9"/>
      <c r="U812" s="9"/>
      <c r="V812" s="9"/>
      <c r="W812" s="9"/>
      <c r="X812" s="9"/>
      <c r="Y812" s="9"/>
      <c r="Z812" s="9"/>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row>
    <row r="813" spans="1:64" hidden="1" outlineLevel="1">
      <c r="A813" s="9"/>
      <c r="B813" s="9"/>
      <c r="C813" s="9"/>
      <c r="D813" s="131">
        <f>Asset20</f>
        <v>0</v>
      </c>
      <c r="E813" s="9"/>
      <c r="F813" s="9"/>
      <c r="G813" s="9"/>
      <c r="H813" s="9"/>
      <c r="I813" s="9"/>
      <c r="J813" s="9"/>
      <c r="K813" s="9"/>
      <c r="L813" s="294"/>
      <c r="M813" s="339">
        <f>IF(N$233=0,'Adjustment for previous period'!M450, 0)</f>
        <v>0</v>
      </c>
      <c r="N813" s="296"/>
      <c r="O813" s="294"/>
      <c r="P813" s="294"/>
      <c r="Q813" s="294"/>
      <c r="R813" s="9"/>
      <c r="S813" s="9"/>
      <c r="T813" s="9"/>
      <c r="U813" s="9"/>
      <c r="V813" s="9"/>
      <c r="W813" s="9"/>
      <c r="X813" s="9"/>
      <c r="Y813" s="9"/>
      <c r="Z813" s="9"/>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row>
    <row r="814" spans="1:64" collapsed="1">
      <c r="A814" s="9"/>
      <c r="B814" s="9"/>
      <c r="C814" s="9"/>
      <c r="D814" s="9"/>
      <c r="E814" s="9"/>
      <c r="F814" s="9"/>
      <c r="G814" s="9"/>
      <c r="H814" s="9"/>
      <c r="I814" s="9"/>
      <c r="J814" s="9"/>
      <c r="K814" s="9"/>
      <c r="L814" s="294"/>
      <c r="M814" s="339">
        <f>IF(N$233=0,'Adjustment for previous period'!M451, 0)</f>
        <v>0</v>
      </c>
      <c r="N814" s="296"/>
      <c r="O814" s="294"/>
      <c r="P814" s="294"/>
      <c r="Q814" s="294"/>
      <c r="R814" s="9"/>
      <c r="S814" s="9"/>
      <c r="T814" s="9"/>
      <c r="U814" s="9"/>
      <c r="V814" s="9"/>
      <c r="W814" s="9"/>
      <c r="X814" s="9"/>
      <c r="Y814" s="9"/>
      <c r="Z814" s="9"/>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row>
    <row r="815" spans="1:64">
      <c r="A815" s="9"/>
      <c r="B815" s="9"/>
      <c r="C815" s="9"/>
      <c r="D815" s="9"/>
      <c r="E815" s="9"/>
      <c r="F815" s="9"/>
      <c r="G815" s="9"/>
      <c r="H815" s="9"/>
      <c r="I815" s="9"/>
      <c r="J815" s="9"/>
      <c r="K815" s="9"/>
      <c r="L815" s="294">
        <v>5</v>
      </c>
      <c r="M815" s="294">
        <v>6</v>
      </c>
      <c r="N815" s="296">
        <v>7</v>
      </c>
      <c r="O815" s="294">
        <v>8</v>
      </c>
      <c r="P815" s="294">
        <v>9</v>
      </c>
      <c r="Q815" s="294">
        <v>10</v>
      </c>
      <c r="R815" s="9"/>
      <c r="S815" s="9"/>
      <c r="T815" s="9"/>
      <c r="U815" s="9"/>
      <c r="V815" s="9"/>
      <c r="W815" s="9"/>
      <c r="X815" s="9"/>
      <c r="Y815" s="9"/>
      <c r="Z815" s="9"/>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row>
    <row r="816" spans="1:64">
      <c r="A816" s="78"/>
      <c r="B816" s="78"/>
      <c r="C816" s="85" t="s">
        <v>68</v>
      </c>
      <c r="D816" s="78"/>
      <c r="E816" s="78"/>
      <c r="F816" s="78"/>
      <c r="G816" s="78"/>
      <c r="H816" s="78"/>
      <c r="I816" s="78"/>
      <c r="J816" s="78"/>
      <c r="K816" s="78"/>
      <c r="L816" s="158">
        <f t="shared" ref="L816:Q816" si="61">SUM(L817:L846)</f>
        <v>3444.6179016981509</v>
      </c>
      <c r="M816" s="158">
        <f t="shared" si="61"/>
        <v>0</v>
      </c>
      <c r="N816" s="158">
        <f t="shared" si="61"/>
        <v>0</v>
      </c>
      <c r="O816" s="158">
        <f t="shared" si="61"/>
        <v>0</v>
      </c>
      <c r="P816" s="158">
        <f t="shared" si="61"/>
        <v>0</v>
      </c>
      <c r="Q816" s="158">
        <f t="shared" si="61"/>
        <v>0</v>
      </c>
      <c r="R816" s="158"/>
      <c r="S816" s="9"/>
      <c r="T816" s="9"/>
      <c r="U816" s="9"/>
      <c r="V816" s="9"/>
      <c r="W816" s="9"/>
      <c r="X816" s="9"/>
      <c r="Y816" s="9"/>
      <c r="Z816" s="9"/>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row>
    <row r="817" spans="1:64" hidden="1" outlineLevel="1">
      <c r="A817" s="9"/>
      <c r="B817" s="9"/>
      <c r="C817" s="9"/>
      <c r="D817" s="271" t="str">
        <f>Asset1</f>
        <v>Subtransmission</v>
      </c>
      <c r="E817" s="9"/>
      <c r="F817" s="9"/>
      <c r="G817" s="9"/>
      <c r="H817" s="9"/>
      <c r="I817" s="9"/>
      <c r="J817" s="9"/>
      <c r="K817" s="9"/>
      <c r="L817" s="115">
        <f t="shared" ref="L817:Q826" si="62">IF(M$675=0, L676+L708+L740, 0)</f>
        <v>456.01257250635018</v>
      </c>
      <c r="M817" s="334">
        <f t="shared" ref="M817:M836" si="63">IF(N$675=0, M676+M708+M740+M772+M794, 0)</f>
        <v>0</v>
      </c>
      <c r="N817" s="115">
        <f t="shared" si="62"/>
        <v>0</v>
      </c>
      <c r="O817" s="115">
        <f t="shared" si="62"/>
        <v>0</v>
      </c>
      <c r="P817" s="115">
        <f t="shared" si="62"/>
        <v>0</v>
      </c>
      <c r="Q817" s="115">
        <f t="shared" si="62"/>
        <v>0</v>
      </c>
      <c r="R817" s="9"/>
      <c r="S817" s="9"/>
      <c r="T817" s="9"/>
      <c r="U817" s="9"/>
      <c r="V817" s="9"/>
      <c r="W817" s="9"/>
      <c r="X817" s="9"/>
      <c r="Y817" s="9"/>
      <c r="Z817" s="9"/>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row>
    <row r="818" spans="1:64" hidden="1" outlineLevel="1">
      <c r="A818" s="9"/>
      <c r="B818" s="9"/>
      <c r="C818" s="9"/>
      <c r="D818" s="271" t="str">
        <f>Asset2</f>
        <v>Distribution system assets</v>
      </c>
      <c r="E818" s="9"/>
      <c r="F818" s="9"/>
      <c r="G818" s="9"/>
      <c r="H818" s="9"/>
      <c r="I818" s="9"/>
      <c r="J818" s="9"/>
      <c r="K818" s="9"/>
      <c r="L818" s="115">
        <f t="shared" si="62"/>
        <v>2878.4125360462567</v>
      </c>
      <c r="M818" s="334">
        <f t="shared" si="63"/>
        <v>0</v>
      </c>
      <c r="N818" s="115">
        <f t="shared" si="62"/>
        <v>0</v>
      </c>
      <c r="O818" s="115">
        <f t="shared" si="62"/>
        <v>0</v>
      </c>
      <c r="P818" s="115">
        <f t="shared" si="62"/>
        <v>0</v>
      </c>
      <c r="Q818" s="115">
        <f t="shared" si="62"/>
        <v>0</v>
      </c>
      <c r="R818" s="9"/>
      <c r="S818" s="9"/>
      <c r="T818" s="9"/>
      <c r="U818" s="9"/>
      <c r="V818" s="9"/>
      <c r="W818" s="9"/>
      <c r="X818" s="9"/>
      <c r="Y818" s="9"/>
      <c r="Z818" s="9"/>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row>
    <row r="819" spans="1:64" hidden="1" outlineLevel="1">
      <c r="A819" s="9"/>
      <c r="B819" s="9"/>
      <c r="C819" s="9"/>
      <c r="D819" s="271" t="str">
        <f>Asset3</f>
        <v>Standard metering</v>
      </c>
      <c r="E819" s="9"/>
      <c r="F819" s="9"/>
      <c r="G819" s="9"/>
      <c r="H819" s="9"/>
      <c r="I819" s="9"/>
      <c r="J819" s="9"/>
      <c r="K819" s="9"/>
      <c r="L819" s="115">
        <f t="shared" si="62"/>
        <v>0</v>
      </c>
      <c r="M819" s="334">
        <f t="shared" si="63"/>
        <v>0</v>
      </c>
      <c r="N819" s="115">
        <f t="shared" si="62"/>
        <v>0</v>
      </c>
      <c r="O819" s="115">
        <f t="shared" si="62"/>
        <v>0</v>
      </c>
      <c r="P819" s="115">
        <f t="shared" si="62"/>
        <v>0</v>
      </c>
      <c r="Q819" s="115">
        <f t="shared" si="62"/>
        <v>0</v>
      </c>
      <c r="R819" s="9"/>
      <c r="S819" s="9"/>
      <c r="T819" s="9"/>
      <c r="U819" s="9"/>
      <c r="V819" s="9"/>
      <c r="W819" s="9"/>
      <c r="X819" s="9"/>
      <c r="Y819" s="9"/>
      <c r="Z819" s="9"/>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row>
    <row r="820" spans="1:64" hidden="1" outlineLevel="1">
      <c r="A820" s="9"/>
      <c r="B820" s="9"/>
      <c r="C820" s="9"/>
      <c r="D820" s="271" t="str">
        <f>Asset4</f>
        <v>Public lighting</v>
      </c>
      <c r="E820" s="9"/>
      <c r="F820" s="9"/>
      <c r="G820" s="9"/>
      <c r="H820" s="9"/>
      <c r="I820" s="9"/>
      <c r="J820" s="9"/>
      <c r="K820" s="9"/>
      <c r="L820" s="115">
        <f t="shared" si="62"/>
        <v>0</v>
      </c>
      <c r="M820" s="334">
        <f t="shared" si="63"/>
        <v>0</v>
      </c>
      <c r="N820" s="115">
        <f t="shared" si="62"/>
        <v>0</v>
      </c>
      <c r="O820" s="115">
        <f t="shared" si="62"/>
        <v>0</v>
      </c>
      <c r="P820" s="115">
        <f t="shared" si="62"/>
        <v>0</v>
      </c>
      <c r="Q820" s="115">
        <f t="shared" si="62"/>
        <v>0</v>
      </c>
      <c r="R820" s="9"/>
      <c r="S820" s="9"/>
      <c r="T820" s="9"/>
      <c r="U820" s="9"/>
      <c r="V820" s="9"/>
      <c r="W820" s="9"/>
      <c r="X820" s="9"/>
      <c r="Y820" s="9"/>
      <c r="Z820" s="9"/>
      <c r="AB820" s="201"/>
      <c r="AC820" s="201"/>
      <c r="AD820" s="201"/>
      <c r="AE820" s="201"/>
      <c r="AF820" s="201"/>
      <c r="AG820" s="201"/>
      <c r="AH820" s="201"/>
      <c r="AI820" s="201"/>
      <c r="AJ820" s="201"/>
      <c r="AK820" s="201"/>
      <c r="AL820" s="201"/>
      <c r="AM820" s="201"/>
      <c r="AN820" s="201"/>
      <c r="AO820" s="201"/>
      <c r="AP820" s="201"/>
      <c r="AQ820" s="201"/>
      <c r="AR820" s="201"/>
      <c r="AS820" s="201"/>
      <c r="AT820" s="201"/>
      <c r="AU820" s="201"/>
      <c r="AV820" s="201"/>
      <c r="AW820" s="201"/>
      <c r="AX820" s="201"/>
      <c r="AY820" s="201"/>
      <c r="AZ820" s="201"/>
      <c r="BA820" s="201"/>
      <c r="BB820" s="201"/>
      <c r="BC820" s="201"/>
      <c r="BD820" s="201"/>
      <c r="BE820" s="201"/>
      <c r="BF820" s="201"/>
      <c r="BG820" s="201"/>
      <c r="BH820" s="201"/>
      <c r="BI820" s="201"/>
      <c r="BJ820" s="201"/>
      <c r="BK820" s="201"/>
      <c r="BL820" s="201"/>
    </row>
    <row r="821" spans="1:64" hidden="1" outlineLevel="1">
      <c r="A821" s="9"/>
      <c r="B821" s="9"/>
      <c r="C821" s="9"/>
      <c r="D821" s="271" t="str">
        <f>Asset5</f>
        <v>SCADA/Network control</v>
      </c>
      <c r="E821" s="9"/>
      <c r="F821" s="9"/>
      <c r="G821" s="9"/>
      <c r="H821" s="9"/>
      <c r="I821" s="9"/>
      <c r="J821" s="9"/>
      <c r="K821" s="9"/>
      <c r="L821" s="115">
        <f t="shared" si="62"/>
        <v>9.6938470834831492</v>
      </c>
      <c r="M821" s="334">
        <f t="shared" si="63"/>
        <v>0</v>
      </c>
      <c r="N821" s="115">
        <f t="shared" si="62"/>
        <v>0</v>
      </c>
      <c r="O821" s="115">
        <f t="shared" si="62"/>
        <v>0</v>
      </c>
      <c r="P821" s="115">
        <f t="shared" si="62"/>
        <v>0</v>
      </c>
      <c r="Q821" s="115">
        <f t="shared" si="62"/>
        <v>0</v>
      </c>
      <c r="R821" s="9"/>
      <c r="S821" s="9"/>
      <c r="T821" s="9"/>
      <c r="U821" s="9"/>
      <c r="V821" s="9"/>
      <c r="W821" s="9"/>
      <c r="X821" s="9"/>
      <c r="Y821" s="9"/>
      <c r="Z821" s="9"/>
      <c r="AB821" s="201"/>
      <c r="AC821" s="201"/>
      <c r="AD821" s="201"/>
      <c r="AE821" s="201"/>
      <c r="AF821" s="201"/>
      <c r="AG821" s="201"/>
      <c r="AH821" s="201"/>
      <c r="AI821" s="201"/>
      <c r="AJ821" s="201"/>
      <c r="AK821" s="201"/>
      <c r="AL821" s="201"/>
      <c r="AM821" s="201"/>
      <c r="AN821" s="201"/>
      <c r="AO821" s="201"/>
      <c r="AP821" s="201"/>
      <c r="AQ821" s="201"/>
      <c r="AR821" s="201"/>
      <c r="AS821" s="201"/>
      <c r="AT821" s="201"/>
      <c r="AU821" s="201"/>
      <c r="AV821" s="201"/>
      <c r="AW821" s="201"/>
      <c r="AX821" s="201"/>
      <c r="AY821" s="201"/>
      <c r="AZ821" s="201"/>
      <c r="BA821" s="201"/>
      <c r="BB821" s="201"/>
      <c r="BC821" s="201"/>
      <c r="BD821" s="201"/>
      <c r="BE821" s="201"/>
      <c r="BF821" s="201"/>
      <c r="BG821" s="201"/>
      <c r="BH821" s="201"/>
      <c r="BI821" s="201"/>
      <c r="BJ821" s="201"/>
      <c r="BK821" s="201"/>
      <c r="BL821" s="201"/>
    </row>
    <row r="822" spans="1:64" hidden="1" outlineLevel="1">
      <c r="A822" s="9"/>
      <c r="B822" s="9"/>
      <c r="C822" s="9"/>
      <c r="D822" s="271" t="str">
        <f>Asset6</f>
        <v>Non-network general assets - IT</v>
      </c>
      <c r="E822" s="9"/>
      <c r="F822" s="9"/>
      <c r="G822" s="9"/>
      <c r="H822" s="9"/>
      <c r="I822" s="9"/>
      <c r="J822" s="9"/>
      <c r="K822" s="9"/>
      <c r="L822" s="115">
        <f t="shared" si="62"/>
        <v>91.016553909644472</v>
      </c>
      <c r="M822" s="334">
        <f t="shared" si="63"/>
        <v>0</v>
      </c>
      <c r="N822" s="115">
        <f t="shared" si="62"/>
        <v>0</v>
      </c>
      <c r="O822" s="115">
        <f t="shared" si="62"/>
        <v>0</v>
      </c>
      <c r="P822" s="115">
        <f t="shared" si="62"/>
        <v>0</v>
      </c>
      <c r="Q822" s="115">
        <f t="shared" si="62"/>
        <v>0</v>
      </c>
      <c r="R822" s="9"/>
      <c r="S822" s="9"/>
      <c r="T822" s="9"/>
      <c r="U822" s="9"/>
      <c r="V822" s="9"/>
      <c r="W822" s="9"/>
      <c r="X822" s="9"/>
      <c r="Y822" s="9"/>
      <c r="Z822" s="9"/>
      <c r="AB822" s="201"/>
      <c r="AC822" s="201"/>
      <c r="AD822" s="201"/>
      <c r="AE822" s="201"/>
      <c r="AF822" s="201"/>
      <c r="AG822" s="201"/>
      <c r="AH822" s="201"/>
      <c r="AI822" s="201"/>
      <c r="AJ822" s="201"/>
      <c r="AK822" s="201"/>
      <c r="AL822" s="201"/>
      <c r="AM822" s="201"/>
      <c r="AN822" s="201"/>
      <c r="AO822" s="201"/>
      <c r="AP822" s="201"/>
      <c r="AQ822" s="201"/>
      <c r="AR822" s="201"/>
      <c r="AS822" s="201"/>
      <c r="AT822" s="201"/>
      <c r="AU822" s="201"/>
      <c r="AV822" s="201"/>
      <c r="AW822" s="201"/>
      <c r="AX822" s="201"/>
      <c r="AY822" s="201"/>
      <c r="AZ822" s="201"/>
      <c r="BA822" s="201"/>
      <c r="BB822" s="201"/>
      <c r="BC822" s="201"/>
      <c r="BD822" s="201"/>
      <c r="BE822" s="201"/>
      <c r="BF822" s="201"/>
      <c r="BG822" s="201"/>
      <c r="BH822" s="201"/>
      <c r="BI822" s="201"/>
      <c r="BJ822" s="201"/>
      <c r="BK822" s="201"/>
      <c r="BL822" s="201"/>
    </row>
    <row r="823" spans="1:64" hidden="1" outlineLevel="1">
      <c r="A823" s="9"/>
      <c r="B823" s="9"/>
      <c r="C823" s="9"/>
      <c r="D823" s="271" t="str">
        <f>Asset7</f>
        <v>Non-network general assets - Other</v>
      </c>
      <c r="E823" s="9"/>
      <c r="F823" s="9"/>
      <c r="G823" s="9"/>
      <c r="H823" s="9"/>
      <c r="I823" s="9"/>
      <c r="J823" s="9"/>
      <c r="K823" s="9"/>
      <c r="L823" s="115">
        <f t="shared" si="62"/>
        <v>7.9135647445117154</v>
      </c>
      <c r="M823" s="334">
        <f t="shared" si="63"/>
        <v>0</v>
      </c>
      <c r="N823" s="115">
        <f t="shared" si="62"/>
        <v>0</v>
      </c>
      <c r="O823" s="115">
        <f t="shared" si="62"/>
        <v>0</v>
      </c>
      <c r="P823" s="115">
        <f t="shared" si="62"/>
        <v>0</v>
      </c>
      <c r="Q823" s="115">
        <f t="shared" si="62"/>
        <v>0</v>
      </c>
      <c r="R823" s="9"/>
      <c r="S823" s="9"/>
      <c r="T823" s="9"/>
      <c r="U823" s="9"/>
      <c r="V823" s="9"/>
      <c r="W823" s="9"/>
      <c r="X823" s="9"/>
      <c r="Y823" s="9"/>
      <c r="Z823" s="9"/>
      <c r="AB823" s="201"/>
      <c r="AC823" s="201"/>
      <c r="AD823" s="201"/>
      <c r="AE823" s="201"/>
      <c r="AF823" s="201"/>
      <c r="AG823" s="201"/>
      <c r="AH823" s="201"/>
      <c r="AI823" s="201"/>
      <c r="AJ823" s="201"/>
      <c r="AK823" s="201"/>
      <c r="AL823" s="201"/>
      <c r="AM823" s="201"/>
      <c r="AN823" s="201"/>
      <c r="AO823" s="201"/>
      <c r="AP823" s="201"/>
      <c r="AQ823" s="201"/>
      <c r="AR823" s="201"/>
      <c r="AS823" s="201"/>
      <c r="AT823" s="201"/>
      <c r="AU823" s="201"/>
      <c r="AV823" s="201"/>
      <c r="AW823" s="201"/>
      <c r="AX823" s="201"/>
      <c r="AY823" s="201"/>
      <c r="AZ823" s="201"/>
      <c r="BA823" s="201"/>
      <c r="BB823" s="201"/>
      <c r="BC823" s="201"/>
      <c r="BD823" s="201"/>
      <c r="BE823" s="201"/>
      <c r="BF823" s="201"/>
      <c r="BG823" s="201"/>
      <c r="BH823" s="201"/>
      <c r="BI823" s="201"/>
      <c r="BJ823" s="201"/>
      <c r="BK823" s="201"/>
      <c r="BL823" s="201"/>
    </row>
    <row r="824" spans="1:64" hidden="1" outlineLevel="1">
      <c r="A824" s="9"/>
      <c r="B824" s="9"/>
      <c r="C824" s="9"/>
      <c r="D824" s="271" t="str">
        <f>Asset8</f>
        <v>Equity Raising Costs</v>
      </c>
      <c r="E824" s="9"/>
      <c r="F824" s="9"/>
      <c r="G824" s="9"/>
      <c r="H824" s="9"/>
      <c r="I824" s="9"/>
      <c r="J824" s="9"/>
      <c r="K824" s="9"/>
      <c r="L824" s="115">
        <f t="shared" si="62"/>
        <v>1.5688274079042255</v>
      </c>
      <c r="M824" s="334">
        <f t="shared" si="63"/>
        <v>0</v>
      </c>
      <c r="N824" s="115">
        <f t="shared" si="62"/>
        <v>0</v>
      </c>
      <c r="O824" s="115">
        <f t="shared" si="62"/>
        <v>0</v>
      </c>
      <c r="P824" s="115">
        <f t="shared" si="62"/>
        <v>0</v>
      </c>
      <c r="Q824" s="115">
        <f t="shared" si="62"/>
        <v>0</v>
      </c>
      <c r="R824" s="9"/>
      <c r="S824" s="9"/>
      <c r="T824" s="9"/>
      <c r="U824" s="9"/>
      <c r="V824" s="9"/>
      <c r="W824" s="9"/>
      <c r="X824" s="9"/>
      <c r="Y824" s="9"/>
      <c r="Z824" s="9"/>
      <c r="AB824" s="201"/>
      <c r="AC824" s="201"/>
      <c r="AD824" s="201"/>
      <c r="AE824" s="201"/>
      <c r="AF824" s="201"/>
      <c r="AG824" s="201"/>
      <c r="AH824" s="201"/>
      <c r="AI824" s="201"/>
      <c r="AJ824" s="201"/>
      <c r="AK824" s="201"/>
      <c r="AL824" s="201"/>
      <c r="AM824" s="201"/>
      <c r="AN824" s="201"/>
      <c r="AO824" s="201"/>
      <c r="AP824" s="201"/>
      <c r="AQ824" s="201"/>
      <c r="AR824" s="201"/>
      <c r="AS824" s="201"/>
      <c r="AT824" s="201"/>
      <c r="AU824" s="201"/>
      <c r="AV824" s="201"/>
      <c r="AW824" s="201"/>
      <c r="AX824" s="201"/>
      <c r="AY824" s="201"/>
      <c r="AZ824" s="201"/>
      <c r="BA824" s="201"/>
      <c r="BB824" s="201"/>
      <c r="BC824" s="201"/>
      <c r="BD824" s="201"/>
      <c r="BE824" s="201"/>
      <c r="BF824" s="201"/>
      <c r="BG824" s="201"/>
      <c r="BH824" s="201"/>
      <c r="BI824" s="201"/>
      <c r="BJ824" s="201"/>
      <c r="BK824" s="201"/>
      <c r="BL824" s="201"/>
    </row>
    <row r="825" spans="1:64" hidden="1" outlineLevel="1">
      <c r="A825" s="9"/>
      <c r="B825" s="9"/>
      <c r="C825" s="9"/>
      <c r="D825" s="271">
        <f>Asset9</f>
        <v>0</v>
      </c>
      <c r="E825" s="9"/>
      <c r="F825" s="9"/>
      <c r="G825" s="9"/>
      <c r="H825" s="9"/>
      <c r="I825" s="9"/>
      <c r="J825" s="9"/>
      <c r="K825" s="9"/>
      <c r="L825" s="115">
        <f t="shared" si="62"/>
        <v>0</v>
      </c>
      <c r="M825" s="334">
        <f t="shared" si="63"/>
        <v>0</v>
      </c>
      <c r="N825" s="115">
        <f t="shared" si="62"/>
        <v>0</v>
      </c>
      <c r="O825" s="115">
        <f t="shared" si="62"/>
        <v>0</v>
      </c>
      <c r="P825" s="115">
        <f t="shared" si="62"/>
        <v>0</v>
      </c>
      <c r="Q825" s="115">
        <f t="shared" si="62"/>
        <v>0</v>
      </c>
      <c r="R825" s="9"/>
      <c r="S825" s="9"/>
      <c r="T825" s="9"/>
      <c r="U825" s="9"/>
      <c r="V825" s="9"/>
      <c r="W825" s="9"/>
      <c r="X825" s="9"/>
      <c r="Y825" s="9"/>
      <c r="Z825" s="9"/>
      <c r="AB825" s="201"/>
      <c r="AC825" s="201"/>
      <c r="AD825" s="201"/>
      <c r="AE825" s="201"/>
      <c r="AF825" s="201"/>
      <c r="AG825" s="201"/>
      <c r="AH825" s="201"/>
      <c r="AI825" s="201"/>
      <c r="AJ825" s="201"/>
      <c r="AK825" s="201"/>
      <c r="AL825" s="201"/>
      <c r="AM825" s="201"/>
      <c r="AN825" s="201"/>
      <c r="AO825" s="201"/>
      <c r="AP825" s="201"/>
      <c r="AQ825" s="201"/>
      <c r="AR825" s="201"/>
      <c r="AS825" s="201"/>
      <c r="AT825" s="201"/>
      <c r="AU825" s="201"/>
      <c r="AV825" s="201"/>
      <c r="AW825" s="201"/>
      <c r="AX825" s="201"/>
      <c r="AY825" s="201"/>
      <c r="AZ825" s="201"/>
      <c r="BA825" s="201"/>
      <c r="BB825" s="201"/>
      <c r="BC825" s="201"/>
      <c r="BD825" s="201"/>
      <c r="BE825" s="201"/>
      <c r="BF825" s="201"/>
      <c r="BG825" s="201"/>
      <c r="BH825" s="201"/>
      <c r="BI825" s="201"/>
      <c r="BJ825" s="201"/>
      <c r="BK825" s="201"/>
      <c r="BL825" s="201"/>
    </row>
    <row r="826" spans="1:64" hidden="1" outlineLevel="1">
      <c r="A826" s="9"/>
      <c r="B826" s="9"/>
      <c r="C826" s="9"/>
      <c r="D826" s="271">
        <f>Asset10</f>
        <v>0</v>
      </c>
      <c r="E826" s="9"/>
      <c r="F826" s="9"/>
      <c r="G826" s="9"/>
      <c r="H826" s="9"/>
      <c r="I826" s="9"/>
      <c r="J826" s="9"/>
      <c r="K826" s="9"/>
      <c r="L826" s="115">
        <f t="shared" si="62"/>
        <v>0</v>
      </c>
      <c r="M826" s="334">
        <f t="shared" si="63"/>
        <v>0</v>
      </c>
      <c r="N826" s="115">
        <f t="shared" si="62"/>
        <v>0</v>
      </c>
      <c r="O826" s="115">
        <f t="shared" si="62"/>
        <v>0</v>
      </c>
      <c r="P826" s="115">
        <f t="shared" si="62"/>
        <v>0</v>
      </c>
      <c r="Q826" s="115">
        <f t="shared" si="62"/>
        <v>0</v>
      </c>
      <c r="R826" s="9"/>
      <c r="S826" s="9"/>
      <c r="T826" s="9"/>
      <c r="U826" s="9"/>
      <c r="V826" s="9"/>
      <c r="W826" s="9"/>
      <c r="X826" s="9"/>
      <c r="Y826" s="9"/>
      <c r="Z826" s="9"/>
      <c r="AB826" s="201"/>
      <c r="AC826" s="201"/>
      <c r="AD826" s="201"/>
      <c r="AE826" s="201"/>
      <c r="AF826" s="201"/>
      <c r="AG826" s="201"/>
      <c r="AH826" s="201"/>
      <c r="AI826" s="201"/>
      <c r="AJ826" s="201"/>
      <c r="AK826" s="201"/>
      <c r="AL826" s="201"/>
      <c r="AM826" s="201"/>
      <c r="AN826" s="201"/>
      <c r="AO826" s="201"/>
      <c r="AP826" s="201"/>
      <c r="AQ826" s="201"/>
      <c r="AR826" s="201"/>
      <c r="AS826" s="201"/>
      <c r="AT826" s="201"/>
      <c r="AU826" s="201"/>
      <c r="AV826" s="201"/>
      <c r="AW826" s="201"/>
      <c r="AX826" s="201"/>
      <c r="AY826" s="201"/>
      <c r="AZ826" s="201"/>
      <c r="BA826" s="201"/>
      <c r="BB826" s="201"/>
      <c r="BC826" s="201"/>
      <c r="BD826" s="201"/>
      <c r="BE826" s="201"/>
      <c r="BF826" s="201"/>
      <c r="BG826" s="201"/>
      <c r="BH826" s="201"/>
      <c r="BI826" s="201"/>
      <c r="BJ826" s="201"/>
      <c r="BK826" s="201"/>
      <c r="BL826" s="201"/>
    </row>
    <row r="827" spans="1:64" hidden="1" outlineLevel="1">
      <c r="A827" s="9"/>
      <c r="B827" s="9"/>
      <c r="C827" s="9"/>
      <c r="D827" s="271">
        <f>Asset11</f>
        <v>0</v>
      </c>
      <c r="E827" s="9"/>
      <c r="F827" s="9"/>
      <c r="G827" s="9"/>
      <c r="H827" s="9"/>
      <c r="I827" s="9"/>
      <c r="J827" s="9"/>
      <c r="K827" s="9"/>
      <c r="L827" s="115">
        <f t="shared" ref="L827:Q834" si="64">IF(M$675=0, L686+L718+L750, 0)</f>
        <v>0</v>
      </c>
      <c r="M827" s="334">
        <f t="shared" si="63"/>
        <v>0</v>
      </c>
      <c r="N827" s="115">
        <f t="shared" si="64"/>
        <v>0</v>
      </c>
      <c r="O827" s="115">
        <f t="shared" si="64"/>
        <v>0</v>
      </c>
      <c r="P827" s="115">
        <f t="shared" si="64"/>
        <v>0</v>
      </c>
      <c r="Q827" s="115">
        <f t="shared" si="64"/>
        <v>0</v>
      </c>
      <c r="R827" s="9"/>
      <c r="S827" s="9"/>
      <c r="T827" s="9"/>
      <c r="U827" s="9"/>
      <c r="V827" s="9"/>
      <c r="W827" s="9"/>
      <c r="X827" s="9"/>
      <c r="Y827" s="9"/>
      <c r="Z827" s="9"/>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1"/>
      <c r="BC827" s="201"/>
      <c r="BD827" s="201"/>
      <c r="BE827" s="201"/>
      <c r="BF827" s="201"/>
      <c r="BG827" s="201"/>
      <c r="BH827" s="201"/>
      <c r="BI827" s="201"/>
      <c r="BJ827" s="201"/>
      <c r="BK827" s="201"/>
      <c r="BL827" s="201"/>
    </row>
    <row r="828" spans="1:64" hidden="1" outlineLevel="1">
      <c r="A828" s="9"/>
      <c r="B828" s="9"/>
      <c r="C828" s="9"/>
      <c r="D828" s="271">
        <f>Asset12</f>
        <v>0</v>
      </c>
      <c r="E828" s="9"/>
      <c r="F828" s="9"/>
      <c r="G828" s="9"/>
      <c r="H828" s="9"/>
      <c r="I828" s="9"/>
      <c r="J828" s="9"/>
      <c r="K828" s="9"/>
      <c r="L828" s="115">
        <f t="shared" si="64"/>
        <v>0</v>
      </c>
      <c r="M828" s="334">
        <f t="shared" si="63"/>
        <v>0</v>
      </c>
      <c r="N828" s="115">
        <f t="shared" si="64"/>
        <v>0</v>
      </c>
      <c r="O828" s="115">
        <f t="shared" si="64"/>
        <v>0</v>
      </c>
      <c r="P828" s="115">
        <f t="shared" si="64"/>
        <v>0</v>
      </c>
      <c r="Q828" s="115">
        <f t="shared" si="64"/>
        <v>0</v>
      </c>
      <c r="R828" s="9"/>
      <c r="S828" s="9"/>
      <c r="T828" s="9"/>
      <c r="U828" s="9"/>
      <c r="V828" s="9"/>
      <c r="W828" s="9"/>
      <c r="X828" s="9"/>
      <c r="Y828" s="9"/>
      <c r="Z828" s="9"/>
      <c r="AB828" s="201"/>
      <c r="AC828" s="201"/>
      <c r="AD828" s="201"/>
      <c r="AE828" s="201"/>
      <c r="AF828" s="201"/>
      <c r="AG828" s="201"/>
      <c r="AH828" s="201"/>
      <c r="AI828" s="201"/>
      <c r="AJ828" s="201"/>
      <c r="AK828" s="201"/>
      <c r="AL828" s="201"/>
      <c r="AM828" s="201"/>
      <c r="AN828" s="201"/>
      <c r="AO828" s="201"/>
      <c r="AP828" s="201"/>
      <c r="AQ828" s="201"/>
      <c r="AR828" s="201"/>
      <c r="AS828" s="201"/>
      <c r="AT828" s="201"/>
      <c r="AU828" s="201"/>
      <c r="AV828" s="201"/>
      <c r="AW828" s="201"/>
      <c r="AX828" s="201"/>
      <c r="AY828" s="201"/>
      <c r="AZ828" s="201"/>
      <c r="BA828" s="201"/>
      <c r="BB828" s="201"/>
      <c r="BC828" s="201"/>
      <c r="BD828" s="201"/>
      <c r="BE828" s="201"/>
      <c r="BF828" s="201"/>
      <c r="BG828" s="201"/>
      <c r="BH828" s="201"/>
      <c r="BI828" s="201"/>
      <c r="BJ828" s="201"/>
      <c r="BK828" s="201"/>
      <c r="BL828" s="201"/>
    </row>
    <row r="829" spans="1:64" hidden="1" outlineLevel="1">
      <c r="A829" s="9"/>
      <c r="B829" s="9"/>
      <c r="C829" s="9"/>
      <c r="D829" s="271">
        <f>Asset13</f>
        <v>0</v>
      </c>
      <c r="E829" s="9"/>
      <c r="F829" s="9"/>
      <c r="G829" s="9"/>
      <c r="H829" s="9"/>
      <c r="I829" s="9"/>
      <c r="J829" s="9"/>
      <c r="K829" s="9"/>
      <c r="L829" s="115">
        <f t="shared" si="64"/>
        <v>0</v>
      </c>
      <c r="M829" s="334">
        <f t="shared" si="63"/>
        <v>0</v>
      </c>
      <c r="N829" s="115">
        <f t="shared" si="64"/>
        <v>0</v>
      </c>
      <c r="O829" s="115">
        <f t="shared" si="64"/>
        <v>0</v>
      </c>
      <c r="P829" s="115">
        <f t="shared" si="64"/>
        <v>0</v>
      </c>
      <c r="Q829" s="115">
        <f t="shared" si="64"/>
        <v>0</v>
      </c>
      <c r="R829" s="9"/>
      <c r="S829" s="9"/>
      <c r="T829" s="9"/>
      <c r="U829" s="9"/>
      <c r="V829" s="9"/>
      <c r="W829" s="9"/>
      <c r="X829" s="9"/>
      <c r="Y829" s="9"/>
      <c r="Z829" s="9"/>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1"/>
      <c r="BE829" s="201"/>
      <c r="BF829" s="201"/>
      <c r="BG829" s="201"/>
      <c r="BH829" s="201"/>
      <c r="BI829" s="201"/>
      <c r="BJ829" s="201"/>
      <c r="BK829" s="201"/>
      <c r="BL829" s="201"/>
    </row>
    <row r="830" spans="1:64" hidden="1" outlineLevel="1">
      <c r="A830" s="9"/>
      <c r="B830" s="9"/>
      <c r="C830" s="9"/>
      <c r="D830" s="271">
        <f>Asset14</f>
        <v>0</v>
      </c>
      <c r="E830" s="9"/>
      <c r="F830" s="9"/>
      <c r="G830" s="9"/>
      <c r="H830" s="9"/>
      <c r="I830" s="9"/>
      <c r="J830" s="9"/>
      <c r="K830" s="9"/>
      <c r="L830" s="115">
        <f t="shared" si="64"/>
        <v>0</v>
      </c>
      <c r="M830" s="334">
        <f t="shared" si="63"/>
        <v>0</v>
      </c>
      <c r="N830" s="115">
        <f t="shared" si="64"/>
        <v>0</v>
      </c>
      <c r="O830" s="115">
        <f t="shared" si="64"/>
        <v>0</v>
      </c>
      <c r="P830" s="115">
        <f t="shared" si="64"/>
        <v>0</v>
      </c>
      <c r="Q830" s="115">
        <f t="shared" si="64"/>
        <v>0</v>
      </c>
      <c r="R830" s="9"/>
      <c r="S830" s="9"/>
      <c r="T830" s="9"/>
      <c r="U830" s="9"/>
      <c r="V830" s="9"/>
      <c r="W830" s="9"/>
      <c r="X830" s="9"/>
      <c r="Y830" s="9"/>
      <c r="Z830" s="9"/>
      <c r="AB830" s="201"/>
      <c r="AC830" s="201"/>
      <c r="AD830" s="201"/>
      <c r="AE830" s="201"/>
      <c r="AF830" s="201"/>
      <c r="AG830" s="201"/>
      <c r="AH830" s="201"/>
      <c r="AI830" s="201"/>
      <c r="AJ830" s="201"/>
      <c r="AK830" s="201"/>
      <c r="AL830" s="201"/>
      <c r="AM830" s="201"/>
      <c r="AN830" s="201"/>
      <c r="AO830" s="201"/>
      <c r="AP830" s="201"/>
      <c r="AQ830" s="201"/>
      <c r="AR830" s="201"/>
      <c r="AS830" s="201"/>
      <c r="AT830" s="201"/>
      <c r="AU830" s="201"/>
      <c r="AV830" s="201"/>
      <c r="AW830" s="201"/>
      <c r="AX830" s="201"/>
      <c r="AY830" s="201"/>
      <c r="AZ830" s="201"/>
      <c r="BA830" s="201"/>
      <c r="BB830" s="201"/>
      <c r="BC830" s="201"/>
      <c r="BD830" s="201"/>
      <c r="BE830" s="201"/>
      <c r="BF830" s="201"/>
      <c r="BG830" s="201"/>
      <c r="BH830" s="201"/>
      <c r="BI830" s="201"/>
      <c r="BJ830" s="201"/>
      <c r="BK830" s="201"/>
      <c r="BL830" s="201"/>
    </row>
    <row r="831" spans="1:64" hidden="1" outlineLevel="1">
      <c r="A831" s="9"/>
      <c r="B831" s="9"/>
      <c r="C831" s="9"/>
      <c r="D831" s="271">
        <f>Asset15</f>
        <v>0</v>
      </c>
      <c r="E831" s="9"/>
      <c r="F831" s="9"/>
      <c r="G831" s="9"/>
      <c r="H831" s="9"/>
      <c r="I831" s="9"/>
      <c r="J831" s="9"/>
      <c r="K831" s="9"/>
      <c r="L831" s="115">
        <f t="shared" si="64"/>
        <v>0</v>
      </c>
      <c r="M831" s="334">
        <f t="shared" si="63"/>
        <v>0</v>
      </c>
      <c r="N831" s="115">
        <f t="shared" si="64"/>
        <v>0</v>
      </c>
      <c r="O831" s="115">
        <f t="shared" si="64"/>
        <v>0</v>
      </c>
      <c r="P831" s="115">
        <f t="shared" si="64"/>
        <v>0</v>
      </c>
      <c r="Q831" s="115">
        <f t="shared" si="64"/>
        <v>0</v>
      </c>
      <c r="R831" s="9"/>
      <c r="S831" s="9"/>
      <c r="T831" s="9"/>
      <c r="U831" s="9"/>
      <c r="V831" s="9"/>
      <c r="W831" s="9"/>
      <c r="X831" s="9"/>
      <c r="Y831" s="9"/>
      <c r="Z831" s="9"/>
      <c r="AB831" s="201"/>
      <c r="AC831" s="201"/>
      <c r="AD831" s="201"/>
      <c r="AE831" s="201"/>
      <c r="AF831" s="201"/>
      <c r="AG831" s="201"/>
      <c r="AH831" s="201"/>
      <c r="AI831" s="201"/>
      <c r="AJ831" s="201"/>
      <c r="AK831" s="201"/>
      <c r="AL831" s="201"/>
      <c r="AM831" s="201"/>
      <c r="AN831" s="201"/>
      <c r="AO831" s="201"/>
      <c r="AP831" s="201"/>
      <c r="AQ831" s="201"/>
      <c r="AR831" s="201"/>
      <c r="AS831" s="201"/>
      <c r="AT831" s="201"/>
      <c r="AU831" s="201"/>
      <c r="AV831" s="201"/>
      <c r="AW831" s="201"/>
      <c r="AX831" s="201"/>
      <c r="AY831" s="201"/>
      <c r="AZ831" s="201"/>
      <c r="BA831" s="201"/>
      <c r="BB831" s="201"/>
      <c r="BC831" s="201"/>
      <c r="BD831" s="201"/>
      <c r="BE831" s="201"/>
      <c r="BF831" s="201"/>
      <c r="BG831" s="201"/>
      <c r="BH831" s="201"/>
      <c r="BI831" s="201"/>
      <c r="BJ831" s="201"/>
      <c r="BK831" s="201"/>
      <c r="BL831" s="201"/>
    </row>
    <row r="832" spans="1:64" hidden="1" outlineLevel="1">
      <c r="A832" s="9"/>
      <c r="B832" s="9"/>
      <c r="C832" s="9"/>
      <c r="D832" s="271">
        <f>Asset16</f>
        <v>0</v>
      </c>
      <c r="E832" s="9"/>
      <c r="F832" s="9"/>
      <c r="G832" s="9"/>
      <c r="H832" s="9"/>
      <c r="I832" s="9"/>
      <c r="J832" s="9"/>
      <c r="K832" s="9"/>
      <c r="L832" s="115">
        <f t="shared" si="64"/>
        <v>0</v>
      </c>
      <c r="M832" s="334">
        <f t="shared" si="63"/>
        <v>0</v>
      </c>
      <c r="N832" s="115">
        <f t="shared" si="64"/>
        <v>0</v>
      </c>
      <c r="O832" s="115">
        <f t="shared" si="64"/>
        <v>0</v>
      </c>
      <c r="P832" s="115">
        <f t="shared" si="64"/>
        <v>0</v>
      </c>
      <c r="Q832" s="115">
        <f t="shared" si="64"/>
        <v>0</v>
      </c>
      <c r="R832" s="9"/>
      <c r="S832" s="9"/>
      <c r="T832" s="9"/>
      <c r="U832" s="9"/>
      <c r="V832" s="9"/>
      <c r="W832" s="9"/>
      <c r="X832" s="9"/>
      <c r="Y832" s="9"/>
      <c r="Z832" s="9"/>
      <c r="AB832" s="201"/>
      <c r="AC832" s="201"/>
      <c r="AD832" s="201"/>
      <c r="AE832" s="201"/>
      <c r="AF832" s="201"/>
      <c r="AG832" s="201"/>
      <c r="AH832" s="201"/>
      <c r="AI832" s="201"/>
      <c r="AJ832" s="201"/>
      <c r="AK832" s="201"/>
      <c r="AL832" s="201"/>
      <c r="AM832" s="201"/>
      <c r="AN832" s="201"/>
      <c r="AO832" s="201"/>
      <c r="AP832" s="201"/>
      <c r="AQ832" s="201"/>
      <c r="AR832" s="201"/>
      <c r="AS832" s="201"/>
      <c r="AT832" s="201"/>
      <c r="AU832" s="201"/>
      <c r="AV832" s="201"/>
      <c r="AW832" s="201"/>
      <c r="AX832" s="201"/>
      <c r="AY832" s="201"/>
      <c r="AZ832" s="201"/>
      <c r="BA832" s="201"/>
      <c r="BB832" s="201"/>
      <c r="BC832" s="201"/>
      <c r="BD832" s="201"/>
      <c r="BE832" s="201"/>
      <c r="BF832" s="201"/>
      <c r="BG832" s="201"/>
      <c r="BH832" s="201"/>
      <c r="BI832" s="201"/>
      <c r="BJ832" s="201"/>
      <c r="BK832" s="201"/>
      <c r="BL832" s="201"/>
    </row>
    <row r="833" spans="1:64" hidden="1" outlineLevel="1">
      <c r="A833" s="9"/>
      <c r="B833" s="9"/>
      <c r="C833" s="9"/>
      <c r="D833" s="271">
        <f>Asset17</f>
        <v>0</v>
      </c>
      <c r="E833" s="9"/>
      <c r="F833" s="9"/>
      <c r="G833" s="9"/>
      <c r="H833" s="9"/>
      <c r="I833" s="9"/>
      <c r="J833" s="9"/>
      <c r="K833" s="9"/>
      <c r="L833" s="115">
        <f t="shared" si="64"/>
        <v>0</v>
      </c>
      <c r="M833" s="334">
        <f t="shared" si="63"/>
        <v>0</v>
      </c>
      <c r="N833" s="115">
        <f t="shared" si="64"/>
        <v>0</v>
      </c>
      <c r="O833" s="115">
        <f t="shared" si="64"/>
        <v>0</v>
      </c>
      <c r="P833" s="115">
        <f t="shared" si="64"/>
        <v>0</v>
      </c>
      <c r="Q833" s="115">
        <f t="shared" si="64"/>
        <v>0</v>
      </c>
      <c r="R833" s="9"/>
      <c r="S833" s="9"/>
      <c r="T833" s="9"/>
      <c r="U833" s="9"/>
      <c r="V833" s="9"/>
      <c r="W833" s="9"/>
      <c r="X833" s="9"/>
      <c r="Y833" s="9"/>
      <c r="Z833" s="9"/>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row>
    <row r="834" spans="1:64" hidden="1" outlineLevel="1">
      <c r="A834" s="9"/>
      <c r="B834" s="9"/>
      <c r="C834" s="9"/>
      <c r="D834" s="271">
        <f>Asset18</f>
        <v>0</v>
      </c>
      <c r="E834" s="9"/>
      <c r="F834" s="9"/>
      <c r="G834" s="9"/>
      <c r="H834" s="9"/>
      <c r="I834" s="9"/>
      <c r="J834" s="9"/>
      <c r="K834" s="9"/>
      <c r="L834" s="115">
        <f t="shared" si="64"/>
        <v>0</v>
      </c>
      <c r="M834" s="334">
        <f t="shared" si="63"/>
        <v>0</v>
      </c>
      <c r="N834" s="115">
        <f t="shared" si="64"/>
        <v>0</v>
      </c>
      <c r="O834" s="115">
        <f t="shared" si="64"/>
        <v>0</v>
      </c>
      <c r="P834" s="115">
        <f t="shared" si="64"/>
        <v>0</v>
      </c>
      <c r="Q834" s="115">
        <f t="shared" si="64"/>
        <v>0</v>
      </c>
      <c r="R834" s="9"/>
      <c r="S834" s="9"/>
      <c r="T834" s="9"/>
      <c r="U834" s="9"/>
      <c r="V834" s="9"/>
      <c r="W834" s="9"/>
      <c r="X834" s="9"/>
      <c r="Y834" s="9"/>
      <c r="Z834" s="9"/>
      <c r="AB834" s="201"/>
      <c r="AC834" s="201"/>
      <c r="AD834" s="201"/>
      <c r="AE834" s="201"/>
      <c r="AF834" s="201"/>
      <c r="AG834" s="201"/>
      <c r="AH834" s="201"/>
      <c r="AI834" s="201"/>
      <c r="AJ834" s="201"/>
      <c r="AK834" s="201"/>
      <c r="AL834" s="201"/>
      <c r="AM834" s="201"/>
      <c r="AN834" s="201"/>
      <c r="AO834" s="201"/>
      <c r="AP834" s="201"/>
      <c r="AQ834" s="201"/>
      <c r="AR834" s="201"/>
      <c r="AS834" s="201"/>
      <c r="AT834" s="201"/>
      <c r="AU834" s="201"/>
      <c r="AV834" s="201"/>
      <c r="AW834" s="201"/>
      <c r="AX834" s="201"/>
      <c r="AY834" s="201"/>
      <c r="AZ834" s="201"/>
      <c r="BA834" s="201"/>
      <c r="BB834" s="201"/>
      <c r="BC834" s="201"/>
      <c r="BD834" s="201"/>
      <c r="BE834" s="201"/>
      <c r="BF834" s="201"/>
      <c r="BG834" s="201"/>
      <c r="BH834" s="201"/>
      <c r="BI834" s="201"/>
      <c r="BJ834" s="201"/>
      <c r="BK834" s="201"/>
      <c r="BL834" s="201"/>
    </row>
    <row r="835" spans="1:64" hidden="1" outlineLevel="1">
      <c r="A835" s="9"/>
      <c r="B835" s="9"/>
      <c r="C835" s="9"/>
      <c r="D835" s="271">
        <f>Asset19</f>
        <v>0</v>
      </c>
      <c r="E835" s="9"/>
      <c r="F835" s="9"/>
      <c r="G835" s="9"/>
      <c r="H835" s="9"/>
      <c r="I835" s="9"/>
      <c r="J835" s="9"/>
      <c r="K835" s="9"/>
      <c r="L835" s="115">
        <f t="shared" ref="L835:Q835" si="65">IF(M$675=0, L694+L726+L758, 0)</f>
        <v>0</v>
      </c>
      <c r="M835" s="334">
        <f t="shared" si="63"/>
        <v>0</v>
      </c>
      <c r="N835" s="115">
        <f t="shared" si="65"/>
        <v>0</v>
      </c>
      <c r="O835" s="115">
        <f t="shared" si="65"/>
        <v>0</v>
      </c>
      <c r="P835" s="115">
        <f t="shared" si="65"/>
        <v>0</v>
      </c>
      <c r="Q835" s="115">
        <f t="shared" si="65"/>
        <v>0</v>
      </c>
      <c r="R835" s="9"/>
      <c r="S835" s="9"/>
      <c r="T835" s="9"/>
      <c r="U835" s="9"/>
      <c r="V835" s="9"/>
      <c r="W835" s="9"/>
      <c r="X835" s="9"/>
      <c r="Y835" s="9"/>
      <c r="Z835" s="9"/>
      <c r="AB835" s="201"/>
      <c r="AC835" s="201"/>
      <c r="AD835" s="201"/>
      <c r="AE835" s="201"/>
      <c r="AF835" s="201"/>
      <c r="AG835" s="201"/>
      <c r="AH835" s="201"/>
      <c r="AI835" s="201"/>
      <c r="AJ835" s="201"/>
      <c r="AK835" s="201"/>
      <c r="AL835" s="201"/>
      <c r="AM835" s="201"/>
      <c r="AN835" s="201"/>
      <c r="AO835" s="201"/>
      <c r="AP835" s="201"/>
      <c r="AQ835" s="201"/>
      <c r="AR835" s="201"/>
      <c r="AS835" s="201"/>
      <c r="AT835" s="201"/>
      <c r="AU835" s="201"/>
      <c r="AV835" s="201"/>
      <c r="AW835" s="201"/>
      <c r="AX835" s="201"/>
      <c r="AY835" s="201"/>
      <c r="AZ835" s="201"/>
      <c r="BA835" s="201"/>
      <c r="BB835" s="201"/>
      <c r="BC835" s="201"/>
      <c r="BD835" s="201"/>
      <c r="BE835" s="201"/>
      <c r="BF835" s="201"/>
      <c r="BG835" s="201"/>
      <c r="BH835" s="201"/>
      <c r="BI835" s="201"/>
      <c r="BJ835" s="201"/>
      <c r="BK835" s="201"/>
      <c r="BL835" s="201"/>
    </row>
    <row r="836" spans="1:64" hidden="1" outlineLevel="1">
      <c r="B836" s="9"/>
      <c r="C836" s="9"/>
      <c r="D836" s="271">
        <f>Asset20</f>
        <v>0</v>
      </c>
      <c r="E836" s="9"/>
      <c r="F836" s="9"/>
      <c r="G836" s="9"/>
      <c r="H836" s="9"/>
      <c r="I836" s="9"/>
      <c r="J836" s="9"/>
      <c r="K836" s="9"/>
      <c r="L836" s="115">
        <f t="shared" ref="L836:Q836" si="66">IF(M$675=0, L695+L727+L759, 0)</f>
        <v>0</v>
      </c>
      <c r="M836" s="334">
        <f t="shared" si="63"/>
        <v>0</v>
      </c>
      <c r="N836" s="115">
        <f t="shared" si="66"/>
        <v>0</v>
      </c>
      <c r="O836" s="115">
        <f t="shared" si="66"/>
        <v>0</v>
      </c>
      <c r="P836" s="115">
        <f t="shared" si="66"/>
        <v>0</v>
      </c>
      <c r="Q836" s="115">
        <f t="shared" si="66"/>
        <v>0</v>
      </c>
      <c r="R836" s="9"/>
      <c r="S836" s="9"/>
      <c r="T836" s="9"/>
      <c r="U836" s="9"/>
      <c r="V836" s="9"/>
      <c r="W836" s="9"/>
      <c r="X836" s="9"/>
      <c r="Y836" s="9"/>
      <c r="Z836" s="9"/>
      <c r="AB836" s="201"/>
      <c r="AC836" s="201"/>
      <c r="AD836" s="201"/>
      <c r="AE836" s="201"/>
      <c r="AF836" s="201"/>
      <c r="AG836" s="201"/>
      <c r="AH836" s="201"/>
      <c r="AI836" s="201"/>
      <c r="AJ836" s="201"/>
      <c r="AK836" s="201"/>
      <c r="AL836" s="201"/>
      <c r="AM836" s="201"/>
      <c r="AN836" s="201"/>
      <c r="AO836" s="201"/>
      <c r="AP836" s="201"/>
      <c r="AQ836" s="201"/>
      <c r="AR836" s="201"/>
      <c r="AS836" s="201"/>
      <c r="AT836" s="201"/>
      <c r="AU836" s="201"/>
      <c r="AV836" s="201"/>
      <c r="AW836" s="201"/>
      <c r="AX836" s="201"/>
      <c r="AY836" s="201"/>
      <c r="AZ836" s="201"/>
      <c r="BA836" s="201"/>
      <c r="BB836" s="201"/>
      <c r="BC836" s="201"/>
      <c r="BD836" s="201"/>
      <c r="BE836" s="201"/>
      <c r="BF836" s="201"/>
      <c r="BG836" s="201"/>
      <c r="BH836" s="201"/>
      <c r="BI836" s="201"/>
      <c r="BJ836" s="201"/>
      <c r="BK836" s="201"/>
      <c r="BL836" s="201"/>
    </row>
    <row r="837" spans="1:64" hidden="1" outlineLevel="1">
      <c r="B837" s="9"/>
      <c r="C837" s="9"/>
      <c r="D837" s="271">
        <f>Asset21</f>
        <v>0</v>
      </c>
      <c r="E837" s="9"/>
      <c r="F837" s="9"/>
      <c r="G837" s="9"/>
      <c r="H837" s="9"/>
      <c r="I837" s="9"/>
      <c r="J837" s="9"/>
      <c r="K837" s="9"/>
      <c r="L837" s="115">
        <f t="shared" ref="L837:Q845" si="67">IF(M$675=0, L696+L728+L760, 0)</f>
        <v>0</v>
      </c>
      <c r="M837" s="115">
        <f t="shared" si="67"/>
        <v>0</v>
      </c>
      <c r="N837" s="115">
        <f t="shared" si="67"/>
        <v>0</v>
      </c>
      <c r="O837" s="115">
        <f t="shared" si="67"/>
        <v>0</v>
      </c>
      <c r="P837" s="115">
        <f t="shared" si="67"/>
        <v>0</v>
      </c>
      <c r="Q837" s="115">
        <f t="shared" si="67"/>
        <v>0</v>
      </c>
      <c r="R837" s="9"/>
      <c r="S837" s="9"/>
      <c r="T837" s="9"/>
      <c r="U837" s="9"/>
      <c r="V837" s="9"/>
      <c r="W837" s="9"/>
      <c r="X837" s="9"/>
      <c r="Y837" s="9"/>
      <c r="Z837" s="9"/>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row>
    <row r="838" spans="1:64" hidden="1" outlineLevel="1">
      <c r="B838" s="9"/>
      <c r="C838" s="9"/>
      <c r="D838" s="271">
        <f>Asset22</f>
        <v>0</v>
      </c>
      <c r="E838" s="9"/>
      <c r="F838" s="9"/>
      <c r="G838" s="9"/>
      <c r="H838" s="9"/>
      <c r="I838" s="9"/>
      <c r="J838" s="9"/>
      <c r="K838" s="9"/>
      <c r="L838" s="115">
        <f t="shared" si="67"/>
        <v>0</v>
      </c>
      <c r="M838" s="115">
        <f t="shared" si="67"/>
        <v>0</v>
      </c>
      <c r="N838" s="115">
        <f t="shared" si="67"/>
        <v>0</v>
      </c>
      <c r="O838" s="115">
        <f t="shared" si="67"/>
        <v>0</v>
      </c>
      <c r="P838" s="115">
        <f t="shared" si="67"/>
        <v>0</v>
      </c>
      <c r="Q838" s="115">
        <f t="shared" si="67"/>
        <v>0</v>
      </c>
      <c r="R838" s="9"/>
      <c r="S838" s="9"/>
      <c r="T838" s="9"/>
      <c r="U838" s="9"/>
      <c r="V838" s="9"/>
      <c r="W838" s="9"/>
      <c r="X838" s="9"/>
      <c r="Y838" s="9"/>
      <c r="Z838" s="9"/>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row>
    <row r="839" spans="1:64" hidden="1" outlineLevel="1">
      <c r="B839" s="9"/>
      <c r="C839" s="9"/>
      <c r="D839" s="271">
        <f>Asset23</f>
        <v>0</v>
      </c>
      <c r="E839" s="9"/>
      <c r="F839" s="9"/>
      <c r="G839" s="9"/>
      <c r="H839" s="9"/>
      <c r="I839" s="9"/>
      <c r="J839" s="9"/>
      <c r="K839" s="9"/>
      <c r="L839" s="115">
        <f t="shared" si="67"/>
        <v>0</v>
      </c>
      <c r="M839" s="115">
        <f t="shared" si="67"/>
        <v>0</v>
      </c>
      <c r="N839" s="115">
        <f t="shared" si="67"/>
        <v>0</v>
      </c>
      <c r="O839" s="115">
        <f t="shared" si="67"/>
        <v>0</v>
      </c>
      <c r="P839" s="115">
        <f t="shared" si="67"/>
        <v>0</v>
      </c>
      <c r="Q839" s="115">
        <f t="shared" si="67"/>
        <v>0</v>
      </c>
      <c r="R839" s="9"/>
      <c r="S839" s="9"/>
      <c r="T839" s="9"/>
      <c r="U839" s="9"/>
      <c r="V839" s="9"/>
      <c r="W839" s="9"/>
      <c r="X839" s="9"/>
      <c r="Y839" s="9"/>
      <c r="Z839" s="9"/>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row>
    <row r="840" spans="1:64" hidden="1" outlineLevel="1">
      <c r="B840" s="9"/>
      <c r="C840" s="9"/>
      <c r="D840" s="271">
        <f>Asset24</f>
        <v>0</v>
      </c>
      <c r="E840" s="9"/>
      <c r="F840" s="9"/>
      <c r="G840" s="9"/>
      <c r="H840" s="9"/>
      <c r="I840" s="9"/>
      <c r="J840" s="9"/>
      <c r="K840" s="9"/>
      <c r="L840" s="115">
        <f t="shared" si="67"/>
        <v>0</v>
      </c>
      <c r="M840" s="115">
        <f t="shared" si="67"/>
        <v>0</v>
      </c>
      <c r="N840" s="115">
        <f t="shared" si="67"/>
        <v>0</v>
      </c>
      <c r="O840" s="115">
        <f t="shared" si="67"/>
        <v>0</v>
      </c>
      <c r="P840" s="115">
        <f t="shared" si="67"/>
        <v>0</v>
      </c>
      <c r="Q840" s="115">
        <f t="shared" si="67"/>
        <v>0</v>
      </c>
      <c r="R840" s="9"/>
      <c r="S840" s="9"/>
      <c r="T840" s="9"/>
      <c r="U840" s="9"/>
      <c r="V840" s="9"/>
      <c r="W840" s="9"/>
      <c r="X840" s="9"/>
      <c r="Y840" s="9"/>
      <c r="Z840" s="9"/>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row>
    <row r="841" spans="1:64" hidden="1" outlineLevel="1">
      <c r="B841" s="9"/>
      <c r="C841" s="9"/>
      <c r="D841" s="271">
        <f>Asset25</f>
        <v>0</v>
      </c>
      <c r="E841" s="9"/>
      <c r="F841" s="9"/>
      <c r="G841" s="9"/>
      <c r="H841" s="9"/>
      <c r="I841" s="9"/>
      <c r="J841" s="9"/>
      <c r="K841" s="9"/>
      <c r="L841" s="115">
        <f t="shared" si="67"/>
        <v>0</v>
      </c>
      <c r="M841" s="115">
        <f t="shared" si="67"/>
        <v>0</v>
      </c>
      <c r="N841" s="115">
        <f t="shared" si="67"/>
        <v>0</v>
      </c>
      <c r="O841" s="115">
        <f t="shared" si="67"/>
        <v>0</v>
      </c>
      <c r="P841" s="115">
        <f t="shared" si="67"/>
        <v>0</v>
      </c>
      <c r="Q841" s="115">
        <f t="shared" si="67"/>
        <v>0</v>
      </c>
      <c r="R841" s="9"/>
      <c r="S841" s="9"/>
      <c r="T841" s="9"/>
      <c r="U841" s="9"/>
      <c r="V841" s="9"/>
      <c r="W841" s="9"/>
      <c r="X841" s="9"/>
      <c r="Y841" s="9"/>
      <c r="Z841" s="9"/>
      <c r="AB841" s="201"/>
      <c r="AC841" s="201"/>
      <c r="AD841" s="201"/>
      <c r="AE841" s="201"/>
      <c r="AF841" s="201"/>
      <c r="AG841" s="201"/>
      <c r="AH841" s="201"/>
      <c r="AI841" s="201"/>
      <c r="AJ841" s="201"/>
      <c r="AK841" s="201"/>
      <c r="AL841" s="201"/>
      <c r="AM841" s="201"/>
      <c r="AN841" s="201"/>
      <c r="AO841" s="201"/>
      <c r="AP841" s="201"/>
      <c r="AQ841" s="201"/>
      <c r="AR841" s="201"/>
      <c r="AS841" s="201"/>
      <c r="AT841" s="201"/>
      <c r="AU841" s="201"/>
      <c r="AV841" s="201"/>
      <c r="AW841" s="201"/>
      <c r="AX841" s="201"/>
      <c r="AY841" s="201"/>
      <c r="AZ841" s="201"/>
      <c r="BA841" s="201"/>
      <c r="BB841" s="201"/>
      <c r="BC841" s="201"/>
      <c r="BD841" s="201"/>
      <c r="BE841" s="201"/>
      <c r="BF841" s="201"/>
      <c r="BG841" s="201"/>
      <c r="BH841" s="201"/>
      <c r="BI841" s="201"/>
      <c r="BJ841" s="201"/>
      <c r="BK841" s="201"/>
      <c r="BL841" s="201"/>
    </row>
    <row r="842" spans="1:64" hidden="1" outlineLevel="1">
      <c r="B842" s="9"/>
      <c r="C842" s="9"/>
      <c r="D842" s="271">
        <f>Asset26</f>
        <v>0</v>
      </c>
      <c r="E842" s="9"/>
      <c r="F842" s="9"/>
      <c r="G842" s="9"/>
      <c r="H842" s="9"/>
      <c r="I842" s="9"/>
      <c r="J842" s="9"/>
      <c r="K842" s="9"/>
      <c r="L842" s="115">
        <f t="shared" si="67"/>
        <v>0</v>
      </c>
      <c r="M842" s="115">
        <f t="shared" si="67"/>
        <v>0</v>
      </c>
      <c r="N842" s="115">
        <f t="shared" si="67"/>
        <v>0</v>
      </c>
      <c r="O842" s="115">
        <f t="shared" si="67"/>
        <v>0</v>
      </c>
      <c r="P842" s="115">
        <f t="shared" si="67"/>
        <v>0</v>
      </c>
      <c r="Q842" s="115">
        <f t="shared" si="67"/>
        <v>0</v>
      </c>
      <c r="R842" s="9"/>
      <c r="S842" s="9"/>
      <c r="T842" s="9"/>
      <c r="U842" s="9"/>
      <c r="V842" s="9"/>
      <c r="W842" s="9"/>
      <c r="X842" s="9"/>
      <c r="Y842" s="9"/>
      <c r="Z842" s="9"/>
      <c r="AB842" s="201"/>
      <c r="AC842" s="201"/>
      <c r="AD842" s="201"/>
      <c r="AE842" s="201"/>
      <c r="AF842" s="201"/>
      <c r="AG842" s="201"/>
      <c r="AH842" s="201"/>
      <c r="AI842" s="201"/>
      <c r="AJ842" s="201"/>
      <c r="AK842" s="201"/>
      <c r="AL842" s="201"/>
      <c r="AM842" s="201"/>
      <c r="AN842" s="201"/>
      <c r="AO842" s="201"/>
      <c r="AP842" s="201"/>
      <c r="AQ842" s="201"/>
      <c r="AR842" s="201"/>
      <c r="AS842" s="201"/>
      <c r="AT842" s="201"/>
      <c r="AU842" s="201"/>
      <c r="AV842" s="201"/>
      <c r="AW842" s="201"/>
      <c r="AX842" s="201"/>
      <c r="AY842" s="201"/>
      <c r="AZ842" s="201"/>
      <c r="BA842" s="201"/>
      <c r="BB842" s="201"/>
      <c r="BC842" s="201"/>
      <c r="BD842" s="201"/>
      <c r="BE842" s="201"/>
      <c r="BF842" s="201"/>
      <c r="BG842" s="201"/>
      <c r="BH842" s="201"/>
      <c r="BI842" s="201"/>
      <c r="BJ842" s="201"/>
      <c r="BK842" s="201"/>
      <c r="BL842" s="201"/>
    </row>
    <row r="843" spans="1:64" hidden="1" outlineLevel="1">
      <c r="B843" s="9"/>
      <c r="C843" s="9"/>
      <c r="D843" s="271">
        <f>Asset27</f>
        <v>0</v>
      </c>
      <c r="E843" s="9"/>
      <c r="F843" s="9"/>
      <c r="G843" s="9"/>
      <c r="H843" s="9"/>
      <c r="I843" s="9"/>
      <c r="J843" s="9"/>
      <c r="K843" s="9"/>
      <c r="L843" s="115">
        <f t="shared" si="67"/>
        <v>0</v>
      </c>
      <c r="M843" s="115">
        <f t="shared" si="67"/>
        <v>0</v>
      </c>
      <c r="N843" s="115">
        <f t="shared" si="67"/>
        <v>0</v>
      </c>
      <c r="O843" s="115">
        <f t="shared" si="67"/>
        <v>0</v>
      </c>
      <c r="P843" s="115">
        <f t="shared" si="67"/>
        <v>0</v>
      </c>
      <c r="Q843" s="115">
        <f t="shared" si="67"/>
        <v>0</v>
      </c>
      <c r="R843" s="9"/>
      <c r="S843" s="9"/>
      <c r="T843" s="9"/>
      <c r="U843" s="9"/>
      <c r="V843" s="9"/>
      <c r="W843" s="9"/>
      <c r="X843" s="9"/>
      <c r="Y843" s="9"/>
      <c r="Z843" s="9"/>
      <c r="AB843" s="201"/>
      <c r="AC843" s="201"/>
      <c r="AD843" s="201"/>
      <c r="AE843" s="201"/>
      <c r="AF843" s="201"/>
      <c r="AG843" s="201"/>
      <c r="AH843" s="201"/>
      <c r="AI843" s="201"/>
      <c r="AJ843" s="201"/>
      <c r="AK843" s="201"/>
      <c r="AL843" s="201"/>
      <c r="AM843" s="201"/>
      <c r="AN843" s="201"/>
      <c r="AO843" s="201"/>
      <c r="AP843" s="201"/>
      <c r="AQ843" s="201"/>
      <c r="AR843" s="201"/>
      <c r="AS843" s="201"/>
      <c r="AT843" s="201"/>
      <c r="AU843" s="201"/>
      <c r="AV843" s="201"/>
      <c r="AW843" s="201"/>
      <c r="AX843" s="201"/>
      <c r="AY843" s="201"/>
      <c r="AZ843" s="201"/>
      <c r="BA843" s="201"/>
      <c r="BB843" s="201"/>
      <c r="BC843" s="201"/>
      <c r="BD843" s="201"/>
      <c r="BE843" s="201"/>
      <c r="BF843" s="201"/>
      <c r="BG843" s="201"/>
      <c r="BH843" s="201"/>
      <c r="BI843" s="201"/>
      <c r="BJ843" s="201"/>
      <c r="BK843" s="201"/>
      <c r="BL843" s="201"/>
    </row>
    <row r="844" spans="1:64" hidden="1" outlineLevel="1">
      <c r="B844" s="9"/>
      <c r="C844" s="9"/>
      <c r="D844" s="271">
        <f>Asset28</f>
        <v>0</v>
      </c>
      <c r="E844" s="9"/>
      <c r="F844" s="9"/>
      <c r="G844" s="9"/>
      <c r="H844" s="9"/>
      <c r="I844" s="9"/>
      <c r="J844" s="9"/>
      <c r="K844" s="9"/>
      <c r="L844" s="115">
        <f t="shared" si="67"/>
        <v>0</v>
      </c>
      <c r="M844" s="115">
        <f t="shared" si="67"/>
        <v>0</v>
      </c>
      <c r="N844" s="115">
        <f t="shared" si="67"/>
        <v>0</v>
      </c>
      <c r="O844" s="115">
        <f t="shared" si="67"/>
        <v>0</v>
      </c>
      <c r="P844" s="115">
        <f t="shared" si="67"/>
        <v>0</v>
      </c>
      <c r="Q844" s="115">
        <f t="shared" si="67"/>
        <v>0</v>
      </c>
      <c r="R844" s="9"/>
      <c r="S844" s="9"/>
      <c r="T844" s="9"/>
      <c r="U844" s="9"/>
      <c r="V844" s="9"/>
      <c r="W844" s="9"/>
      <c r="X844" s="9"/>
      <c r="Y844" s="9"/>
      <c r="Z844" s="9"/>
      <c r="AB844" s="201"/>
      <c r="AC844" s="201"/>
      <c r="AD844" s="201"/>
      <c r="AE844" s="201"/>
      <c r="AF844" s="201"/>
      <c r="AG844" s="201"/>
      <c r="AH844" s="201"/>
      <c r="AI844" s="201"/>
      <c r="AJ844" s="201"/>
      <c r="AK844" s="201"/>
      <c r="AL844" s="201"/>
      <c r="AM844" s="201"/>
      <c r="AN844" s="201"/>
      <c r="AO844" s="201"/>
      <c r="AP844" s="201"/>
      <c r="AQ844" s="201"/>
      <c r="AR844" s="201"/>
      <c r="AS844" s="201"/>
      <c r="AT844" s="201"/>
      <c r="AU844" s="201"/>
      <c r="AV844" s="201"/>
      <c r="AW844" s="201"/>
      <c r="AX844" s="201"/>
      <c r="AY844" s="201"/>
      <c r="AZ844" s="201"/>
      <c r="BA844" s="201"/>
      <c r="BB844" s="201"/>
      <c r="BC844" s="201"/>
      <c r="BD844" s="201"/>
      <c r="BE844" s="201"/>
      <c r="BF844" s="201"/>
      <c r="BG844" s="201"/>
      <c r="BH844" s="201"/>
      <c r="BI844" s="201"/>
      <c r="BJ844" s="201"/>
      <c r="BK844" s="201"/>
      <c r="BL844" s="201"/>
    </row>
    <row r="845" spans="1:64" hidden="1" outlineLevel="1">
      <c r="B845" s="9"/>
      <c r="C845" s="9"/>
      <c r="D845" s="271">
        <f>Asset29</f>
        <v>0</v>
      </c>
      <c r="E845" s="9"/>
      <c r="F845" s="9"/>
      <c r="G845" s="9"/>
      <c r="H845" s="9"/>
      <c r="I845" s="9"/>
      <c r="J845" s="9"/>
      <c r="K845" s="9"/>
      <c r="L845" s="115">
        <f t="shared" si="67"/>
        <v>0</v>
      </c>
      <c r="M845" s="115">
        <f t="shared" si="67"/>
        <v>0</v>
      </c>
      <c r="N845" s="115">
        <f t="shared" si="67"/>
        <v>0</v>
      </c>
      <c r="O845" s="115">
        <f t="shared" si="67"/>
        <v>0</v>
      </c>
      <c r="P845" s="115">
        <f t="shared" si="67"/>
        <v>0</v>
      </c>
      <c r="Q845" s="115">
        <f t="shared" si="67"/>
        <v>0</v>
      </c>
      <c r="R845" s="9"/>
      <c r="S845" s="9"/>
      <c r="T845" s="9"/>
      <c r="U845" s="9"/>
      <c r="V845" s="9"/>
      <c r="W845" s="9"/>
      <c r="X845" s="9"/>
      <c r="Y845" s="9"/>
      <c r="Z845" s="9"/>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row>
    <row r="846" spans="1:64" hidden="1" outlineLevel="1">
      <c r="B846" s="9"/>
      <c r="C846" s="9"/>
      <c r="D846" s="271">
        <f>Asset30</f>
        <v>0</v>
      </c>
      <c r="E846" s="9"/>
      <c r="F846" s="9"/>
      <c r="G846" s="9"/>
      <c r="H846" s="9"/>
      <c r="I846" s="9"/>
      <c r="J846" s="9"/>
      <c r="K846" s="9"/>
      <c r="L846" s="115">
        <f t="shared" ref="L846:Q846" si="68">IF(M$675=0, L705+L737+L769, 0)</f>
        <v>0</v>
      </c>
      <c r="M846" s="115">
        <f t="shared" si="68"/>
        <v>0</v>
      </c>
      <c r="N846" s="115">
        <f t="shared" si="68"/>
        <v>0</v>
      </c>
      <c r="O846" s="115">
        <f t="shared" si="68"/>
        <v>0</v>
      </c>
      <c r="P846" s="115">
        <f t="shared" si="68"/>
        <v>0</v>
      </c>
      <c r="Q846" s="115">
        <f t="shared" si="68"/>
        <v>0</v>
      </c>
      <c r="R846" s="9"/>
      <c r="S846" s="9"/>
      <c r="T846" s="9"/>
      <c r="U846" s="9"/>
      <c r="V846" s="9"/>
      <c r="W846" s="9"/>
      <c r="X846" s="9"/>
      <c r="Y846" s="9"/>
      <c r="Z846" s="9"/>
      <c r="AB846" s="201"/>
      <c r="AC846" s="201"/>
      <c r="AD846" s="201"/>
      <c r="AE846" s="201"/>
      <c r="AF846" s="201"/>
      <c r="AG846" s="201"/>
      <c r="AH846" s="201"/>
      <c r="AI846" s="201"/>
      <c r="AJ846" s="201"/>
      <c r="AK846" s="201"/>
      <c r="AL846" s="201"/>
      <c r="AM846" s="201"/>
      <c r="AN846" s="201"/>
      <c r="AO846" s="201"/>
      <c r="AP846" s="201"/>
      <c r="AQ846" s="201"/>
      <c r="AR846" s="201"/>
      <c r="AS846" s="201"/>
      <c r="AT846" s="201"/>
      <c r="AU846" s="201"/>
      <c r="AV846" s="201"/>
      <c r="AW846" s="201"/>
      <c r="AX846" s="201"/>
      <c r="AY846" s="201"/>
      <c r="AZ846" s="201"/>
      <c r="BA846" s="201"/>
      <c r="BB846" s="201"/>
      <c r="BC846" s="201"/>
      <c r="BD846" s="201"/>
      <c r="BE846" s="201"/>
      <c r="BF846" s="201"/>
      <c r="BG846" s="201"/>
      <c r="BH846" s="201"/>
      <c r="BI846" s="201"/>
      <c r="BJ846" s="201"/>
      <c r="BK846" s="201"/>
      <c r="BL846" s="201"/>
    </row>
    <row r="847" spans="1:64" collapsed="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64">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847" max="1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H31" sqref="H31"/>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01"/>
      <c r="BJ1" s="201"/>
      <c r="BK1" s="201"/>
      <c r="BL1" s="201"/>
      <c r="BM1" s="201"/>
      <c r="BN1" s="201"/>
    </row>
    <row r="2" spans="1:255" ht="15.75">
      <c r="A2" s="9"/>
      <c r="B2" s="58" t="str">
        <f>"Tax Asset Value Roll Forward - RFM "&amp;Intro!L4</f>
        <v>Tax Asset Value Roll Forward - RFM Version: 2.0</v>
      </c>
      <c r="C2" s="9"/>
      <c r="D2" s="9"/>
      <c r="E2" s="9"/>
      <c r="F2" s="9"/>
      <c r="H2" s="9"/>
      <c r="I2" s="302">
        <v>1</v>
      </c>
      <c r="J2" s="302">
        <v>2</v>
      </c>
      <c r="K2" s="302">
        <v>3</v>
      </c>
      <c r="L2" s="302">
        <v>4</v>
      </c>
      <c r="M2" s="302">
        <v>5</v>
      </c>
      <c r="N2" s="302">
        <v>6</v>
      </c>
      <c r="O2" s="302">
        <v>7</v>
      </c>
      <c r="P2" s="302">
        <v>8</v>
      </c>
      <c r="Q2" s="302">
        <v>9</v>
      </c>
      <c r="R2" s="302">
        <v>10</v>
      </c>
      <c r="S2" s="9"/>
      <c r="T2" s="9"/>
      <c r="U2" s="9"/>
      <c r="V2" s="9"/>
      <c r="W2" s="9"/>
      <c r="X2" s="9"/>
      <c r="Y2" s="9"/>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5"/>
      <c r="BJ3" s="215"/>
      <c r="BK3" s="215"/>
      <c r="BL3" s="215"/>
      <c r="BM3" s="215"/>
      <c r="BN3" s="215"/>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75">
      <c r="A4" s="86"/>
      <c r="B4" s="87" t="s">
        <v>1</v>
      </c>
      <c r="C4" s="86"/>
      <c r="D4" s="86"/>
      <c r="E4" s="86"/>
      <c r="F4" s="86"/>
      <c r="G4" s="86"/>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t="str">
        <f>CONCATENATE(LEFT(Q4, 4)+1 &amp;"-" &amp;IF(Q4&gt;"2007-08",,"0") &amp;RIGHT(Q4,2)+1)</f>
        <v>2021-021</v>
      </c>
      <c r="S4" s="17"/>
      <c r="T4" s="17"/>
      <c r="U4" s="17"/>
      <c r="V4" s="17"/>
      <c r="W4" s="17"/>
      <c r="X4" s="17"/>
      <c r="Y4" s="17"/>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01"/>
      <c r="BJ4" s="201"/>
      <c r="BK4" s="201"/>
      <c r="BL4" s="201"/>
      <c r="BM4" s="201"/>
      <c r="BN4" s="201"/>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1" customFormat="1">
      <c r="A5" s="78"/>
      <c r="B5" s="85" t="s">
        <v>75</v>
      </c>
      <c r="C5" s="78"/>
      <c r="D5" s="78"/>
      <c r="E5" s="78"/>
      <c r="F5" s="88"/>
      <c r="G5" s="88"/>
      <c r="H5" s="89"/>
      <c r="I5" s="89"/>
      <c r="J5" s="89"/>
      <c r="K5" s="89"/>
      <c r="L5" s="89"/>
      <c r="M5" s="89"/>
      <c r="N5" s="89"/>
      <c r="O5" s="89"/>
      <c r="P5" s="89"/>
      <c r="Q5" s="89"/>
      <c r="R5" s="89"/>
      <c r="S5" s="110"/>
      <c r="T5" s="110"/>
      <c r="U5" s="110"/>
      <c r="V5" s="110"/>
      <c r="W5" s="110"/>
      <c r="X5" s="110"/>
      <c r="Y5" s="110"/>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row>
    <row r="6" spans="1:255" s="201" customFormat="1">
      <c r="A6" s="12"/>
      <c r="B6" s="17"/>
      <c r="C6" s="12"/>
      <c r="D6" s="12"/>
      <c r="E6" s="12"/>
      <c r="F6" s="118"/>
      <c r="G6" s="118"/>
      <c r="H6" s="110"/>
      <c r="I6" s="110"/>
      <c r="J6" s="110"/>
      <c r="K6" s="110"/>
      <c r="L6" s="110"/>
      <c r="M6" s="110"/>
      <c r="N6" s="110"/>
      <c r="O6" s="110"/>
      <c r="P6" s="110"/>
      <c r="Q6" s="110"/>
      <c r="R6" s="110"/>
      <c r="S6" s="110"/>
      <c r="T6" s="110"/>
      <c r="U6" s="110"/>
      <c r="V6" s="110"/>
      <c r="W6" s="110"/>
      <c r="X6" s="110"/>
      <c r="Y6" s="110"/>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row>
    <row r="7" spans="1:255" s="201" customFormat="1">
      <c r="A7" s="9"/>
      <c r="B7" s="44" t="s">
        <v>45</v>
      </c>
      <c r="C7" s="9"/>
      <c r="D7" s="9"/>
      <c r="E7" s="9"/>
      <c r="F7" s="9"/>
      <c r="G7" s="9"/>
      <c r="H7" s="316">
        <f>SUM(H8:H37)</f>
        <v>14.540891203485671</v>
      </c>
      <c r="I7" s="312">
        <f>SUM(I8:I37)</f>
        <v>305.26639922126191</v>
      </c>
      <c r="J7" s="312">
        <f t="shared" ref="J7:Q7" si="1">SUM(J8:J37)</f>
        <v>342.7877780980096</v>
      </c>
      <c r="K7" s="312">
        <f t="shared" si="1"/>
        <v>400.17524696723808</v>
      </c>
      <c r="L7" s="312">
        <f t="shared" si="1"/>
        <v>442.22642127265254</v>
      </c>
      <c r="M7" s="312">
        <f t="shared" si="1"/>
        <v>400.74902944819928</v>
      </c>
      <c r="N7" s="312">
        <f t="shared" si="1"/>
        <v>0</v>
      </c>
      <c r="O7" s="312">
        <f t="shared" si="1"/>
        <v>0</v>
      </c>
      <c r="P7" s="312">
        <f t="shared" si="1"/>
        <v>0</v>
      </c>
      <c r="Q7" s="312">
        <f t="shared" si="1"/>
        <v>0</v>
      </c>
      <c r="R7" s="312">
        <f>SUM(R8:R37)</f>
        <v>0</v>
      </c>
      <c r="S7" s="110"/>
      <c r="T7" s="110"/>
      <c r="U7" s="110"/>
      <c r="V7" s="110"/>
      <c r="W7" s="110"/>
      <c r="X7" s="110"/>
      <c r="Y7" s="110"/>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row>
    <row r="8" spans="1:255" s="201" customFormat="1" outlineLevel="1">
      <c r="A8" s="9"/>
      <c r="B8" s="9"/>
      <c r="C8" s="271" t="str">
        <f>Asset1</f>
        <v>Subtransmission</v>
      </c>
      <c r="D8" s="9"/>
      <c r="E8" s="9"/>
      <c r="F8" s="9"/>
      <c r="G8" s="9"/>
      <c r="H8" s="157">
        <f>A1taxvalue-Input!M7+(Input!G177-Input!G211)</f>
        <v>-1.3366217069966382</v>
      </c>
      <c r="I8" s="115">
        <f>H8+H40+H84</f>
        <v>20.88479526501273</v>
      </c>
      <c r="J8" s="115">
        <f>I8+I40+I84</f>
        <v>42.731647397740758</v>
      </c>
      <c r="K8" s="115">
        <f>J8+J40+J84</f>
        <v>62.466878245487379</v>
      </c>
      <c r="L8" s="115">
        <f>K8+K40+K84</f>
        <v>61.780198994397999</v>
      </c>
      <c r="M8" s="115">
        <f>L8+L40+L84</f>
        <v>61.575608359237798</v>
      </c>
      <c r="N8" s="115">
        <f>IF(COUNT($H8:M8)&gt;Input!$Y$7,0, M8+M40+M84)</f>
        <v>0</v>
      </c>
      <c r="O8" s="115">
        <f>IF(COUNT($H8:N8)&gt;Input!$Y$7,0, N8+N40+N84)</f>
        <v>0</v>
      </c>
      <c r="P8" s="115">
        <f>IF(COUNT($H8:O8)&gt;Input!$Y$7,0, O8+O40+O84)</f>
        <v>0</v>
      </c>
      <c r="Q8" s="115">
        <f>IF(COUNT($H8:P8)&gt;Input!$Y$7,0, P8+P40+P84)</f>
        <v>0</v>
      </c>
      <c r="R8" s="115">
        <f>IF(COUNT($H8:Q8)&gt;Input!$Y$7,0, Q8+Q40+Q84)</f>
        <v>0</v>
      </c>
      <c r="S8" s="110"/>
      <c r="T8" s="110"/>
      <c r="U8" s="110"/>
      <c r="V8" s="110"/>
      <c r="W8" s="110"/>
      <c r="X8" s="110"/>
      <c r="Y8" s="110"/>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row>
    <row r="9" spans="1:255" s="201" customFormat="1" outlineLevel="1">
      <c r="A9" s="9"/>
      <c r="B9" s="44"/>
      <c r="C9" s="271" t="str">
        <f>Asset2</f>
        <v>Distribution system assets</v>
      </c>
      <c r="D9" s="9"/>
      <c r="E9" s="9"/>
      <c r="F9" s="9"/>
      <c r="G9" s="9"/>
      <c r="H9" s="157">
        <f>A2taxvalue-Input!M8+(Input!G178-Input!G212)</f>
        <v>31.411714119168209</v>
      </c>
      <c r="I9" s="115">
        <f>H9+H41+H97</f>
        <v>245.63063493177128</v>
      </c>
      <c r="J9" s="115">
        <f>I9+I41+I97</f>
        <v>260.46773585451001</v>
      </c>
      <c r="K9" s="115">
        <f>J9+J41+J97</f>
        <v>295.6169386291848</v>
      </c>
      <c r="L9" s="115">
        <f>K9+K41+K97</f>
        <v>357.80530337082632</v>
      </c>
      <c r="M9" s="115">
        <f>L9+L41+L97</f>
        <v>329.90245965378972</v>
      </c>
      <c r="N9" s="115">
        <f>IF(COUNT($H9:M9)&gt;Input!$Y$7,0, M9+M41+M97)</f>
        <v>0</v>
      </c>
      <c r="O9" s="115">
        <f>IF(COUNT($H9:N9)&gt;Input!$Y$7,0, N9+N41+N97)</f>
        <v>0</v>
      </c>
      <c r="P9" s="115">
        <f>IF(COUNT($H9:O9)&gt;Input!$Y$7,0, O9+O41+O97)</f>
        <v>0</v>
      </c>
      <c r="Q9" s="115">
        <f>IF(COUNT($H9:P9)&gt;Input!$Y$7,0, P9+P41+P97)</f>
        <v>0</v>
      </c>
      <c r="R9" s="115">
        <f>IF(COUNT($H9:Q9)&gt;Input!$Y$7,0, Q9+Q41+Q97)</f>
        <v>0</v>
      </c>
      <c r="S9" s="110"/>
      <c r="T9" s="110"/>
      <c r="U9" s="110"/>
      <c r="V9" s="110"/>
      <c r="W9" s="110"/>
      <c r="X9" s="110"/>
      <c r="Y9" s="110"/>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row>
    <row r="10" spans="1:255" s="201" customFormat="1" outlineLevel="1">
      <c r="A10" s="9"/>
      <c r="B10" s="44"/>
      <c r="C10" s="271" t="str">
        <f>Asset3</f>
        <v>Standard metering</v>
      </c>
      <c r="D10" s="9"/>
      <c r="E10" s="9"/>
      <c r="F10" s="9"/>
      <c r="G10" s="9"/>
      <c r="H10" s="157">
        <f>A3taxvalue-Input!M9+(Input!G179-Input!G213)</f>
        <v>0</v>
      </c>
      <c r="I10" s="115">
        <f>H10+H42+H110</f>
        <v>0</v>
      </c>
      <c r="J10" s="115">
        <f>I10+I42+I110</f>
        <v>0</v>
      </c>
      <c r="K10" s="115">
        <f>J10+J42+J110</f>
        <v>0</v>
      </c>
      <c r="L10" s="115">
        <f>K10+K42+K110</f>
        <v>0</v>
      </c>
      <c r="M10" s="115">
        <f>L10+L42+L110</f>
        <v>0</v>
      </c>
      <c r="N10" s="115">
        <f>IF(COUNT($H10:M10)&gt;Input!$Y$7,0, M10+M42+M110)</f>
        <v>0</v>
      </c>
      <c r="O10" s="115">
        <f>IF(COUNT($H10:N10)&gt;Input!$Y$7,0, N10+N42+N110)</f>
        <v>0</v>
      </c>
      <c r="P10" s="115">
        <f>IF(COUNT($H10:O10)&gt;Input!$Y$7,0, O10+O42+O110)</f>
        <v>0</v>
      </c>
      <c r="Q10" s="115">
        <f>IF(COUNT($H10:P10)&gt;Input!$Y$7,0, P10+P42+P110)</f>
        <v>0</v>
      </c>
      <c r="R10" s="115">
        <f>IF(COUNT($H10:Q10)&gt;Input!$Y$7,0, Q10+Q42+Q110)</f>
        <v>0</v>
      </c>
      <c r="S10" s="110"/>
      <c r="T10" s="110"/>
      <c r="U10" s="110"/>
      <c r="V10" s="110"/>
      <c r="W10" s="110"/>
      <c r="X10" s="110"/>
      <c r="Y10" s="110"/>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row>
    <row r="11" spans="1:255" s="201" customFormat="1" outlineLevel="1">
      <c r="A11" s="9"/>
      <c r="B11" s="44"/>
      <c r="C11" s="271" t="str">
        <f>Asset4</f>
        <v>Public lighting</v>
      </c>
      <c r="D11" s="9"/>
      <c r="E11" s="9"/>
      <c r="F11" s="9"/>
      <c r="G11" s="9"/>
      <c r="H11" s="157">
        <f>A4taxvalue-Input!M10+(Input!G180-Input!G214)</f>
        <v>0</v>
      </c>
      <c r="I11" s="115">
        <f>H11+H43+H123</f>
        <v>0</v>
      </c>
      <c r="J11" s="115">
        <f>I11+I43+I123</f>
        <v>0</v>
      </c>
      <c r="K11" s="115">
        <f>J11+J43+J123</f>
        <v>0</v>
      </c>
      <c r="L11" s="115">
        <f>K11+K43+K123</f>
        <v>0</v>
      </c>
      <c r="M11" s="115">
        <f>L11+L43+L123</f>
        <v>0</v>
      </c>
      <c r="N11" s="115">
        <f>IF(COUNT($H11:M11)&gt;Input!$Y$7,0, M11+M43+M123)</f>
        <v>0</v>
      </c>
      <c r="O11" s="115">
        <f>IF(COUNT($H11:N11)&gt;Input!$Y$7,0, N11+N43+N123)</f>
        <v>0</v>
      </c>
      <c r="P11" s="115">
        <f>IF(COUNT($H11:O11)&gt;Input!$Y$7,0, O11+O43+O123)</f>
        <v>0</v>
      </c>
      <c r="Q11" s="115">
        <f>IF(COUNT($H11:P11)&gt;Input!$Y$7,0, P11+P43+P123)</f>
        <v>0</v>
      </c>
      <c r="R11" s="115">
        <f>IF(COUNT($H11:Q11)&gt;Input!$Y$7,0, Q11+Q43+Q123)</f>
        <v>0</v>
      </c>
      <c r="S11" s="110"/>
      <c r="T11" s="110"/>
      <c r="U11" s="110"/>
      <c r="V11" s="110"/>
      <c r="W11" s="110"/>
      <c r="X11" s="110"/>
      <c r="Y11" s="110"/>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row>
    <row r="12" spans="1:255" s="201" customFormat="1" outlineLevel="1">
      <c r="A12" s="9"/>
      <c r="B12" s="44"/>
      <c r="C12" s="271" t="str">
        <f>Asset5</f>
        <v>SCADA/Network control</v>
      </c>
      <c r="D12" s="9"/>
      <c r="E12" s="9"/>
      <c r="F12" s="9"/>
      <c r="G12" s="9"/>
      <c r="H12" s="157">
        <f>A5taxvalue-Input!M11+(Input!G181-Input!G215)</f>
        <v>1.1359421498995483</v>
      </c>
      <c r="I12" s="115">
        <f>H12+H44+H136</f>
        <v>2.4048872771136223</v>
      </c>
      <c r="J12" s="115">
        <f>I12+I44+I136</f>
        <v>7.0494352171216956</v>
      </c>
      <c r="K12" s="115">
        <f>J12+J44+J136</f>
        <v>3.0610153447503778</v>
      </c>
      <c r="L12" s="115">
        <f>K12+K44+K136</f>
        <v>1.8718524679553037</v>
      </c>
      <c r="M12" s="115">
        <f>L12+L44+L136</f>
        <v>4.0494033918342378</v>
      </c>
      <c r="N12" s="115">
        <f>IF(COUNT($H12:M12)&gt;Input!$Y$7,0, M12+M44+M136)</f>
        <v>0</v>
      </c>
      <c r="O12" s="115">
        <f>IF(COUNT($H12:N12)&gt;Input!$Y$7,0, N12+N44+N136)</f>
        <v>0</v>
      </c>
      <c r="P12" s="115">
        <f>IF(COUNT($H12:O12)&gt;Input!$Y$7,0, O12+O44+O136)</f>
        <v>0</v>
      </c>
      <c r="Q12" s="115">
        <f>IF(COUNT($H12:P12)&gt;Input!$Y$7,0, P12+P44+P136)</f>
        <v>0</v>
      </c>
      <c r="R12" s="115">
        <f>IF(COUNT($H12:Q12)&gt;Input!$Y$7,0, Q12+Q44+Q136)</f>
        <v>0</v>
      </c>
      <c r="S12" s="110"/>
      <c r="T12" s="110"/>
      <c r="U12" s="110"/>
      <c r="V12" s="110"/>
      <c r="W12" s="110"/>
      <c r="X12" s="110"/>
      <c r="Y12" s="110"/>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row>
    <row r="13" spans="1:255" s="201" customFormat="1" outlineLevel="1">
      <c r="A13" s="9"/>
      <c r="B13" s="44"/>
      <c r="C13" s="271" t="str">
        <f>Asset6</f>
        <v>Non-network general assets - IT</v>
      </c>
      <c r="D13" s="9"/>
      <c r="E13" s="9"/>
      <c r="F13" s="9"/>
      <c r="G13" s="9"/>
      <c r="H13" s="157">
        <f>A6taxvalue-Input!M12+(Input!G182-Input!G216)</f>
        <v>-13.664127927522692</v>
      </c>
      <c r="I13" s="115">
        <f>H13+H45+H149</f>
        <v>32.955097515152787</v>
      </c>
      <c r="J13" s="115">
        <f>I13+I45+I149</f>
        <v>31.852029000025119</v>
      </c>
      <c r="K13" s="115">
        <f>J13+J45+J149</f>
        <v>36.544522891947565</v>
      </c>
      <c r="L13" s="115">
        <f>K13+K45+K149</f>
        <v>19.36195069930465</v>
      </c>
      <c r="M13" s="115">
        <f>L13+L45+L149</f>
        <v>5.8132158360908122</v>
      </c>
      <c r="N13" s="115">
        <f>IF(COUNT($H13:M13)&gt;Input!$Y$7,0, M13+M45+M149)</f>
        <v>0</v>
      </c>
      <c r="O13" s="115">
        <f>IF(COUNT($H13:N13)&gt;Input!$Y$7,0, N13+N45+N149)</f>
        <v>0</v>
      </c>
      <c r="P13" s="115">
        <f>IF(COUNT($H13:O13)&gt;Input!$Y$7,0, O13+O45+O149)</f>
        <v>0</v>
      </c>
      <c r="Q13" s="115">
        <f>IF(COUNT($H13:P13)&gt;Input!$Y$7,0, P13+P45+P149)</f>
        <v>0</v>
      </c>
      <c r="R13" s="115">
        <f>IF(COUNT($H13:Q13)&gt;Input!$Y$7,0, Q13+Q45+Q149)</f>
        <v>0</v>
      </c>
      <c r="S13" s="110"/>
      <c r="T13" s="110"/>
      <c r="U13" s="110"/>
      <c r="V13" s="110"/>
      <c r="W13" s="110"/>
      <c r="X13" s="110"/>
      <c r="Y13" s="110"/>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row>
    <row r="14" spans="1:255" s="201" customFormat="1" outlineLevel="1">
      <c r="A14" s="9"/>
      <c r="B14" s="44"/>
      <c r="C14" s="271" t="str">
        <f>Asset7</f>
        <v>Non-network general assets - Other</v>
      </c>
      <c r="D14" s="9"/>
      <c r="E14" s="9"/>
      <c r="F14" s="9"/>
      <c r="G14" s="9"/>
      <c r="H14" s="157">
        <f>A7taxvalue-Input!M13+(Input!G183-Input!G217)</f>
        <v>-3.0060154310627576</v>
      </c>
      <c r="I14" s="115">
        <f>H14+H46+H162</f>
        <v>1.9078693138920713</v>
      </c>
      <c r="J14" s="115">
        <f>I14+I46+I162</f>
        <v>0.68693062861200982</v>
      </c>
      <c r="K14" s="115">
        <f>J14+J46+J162</f>
        <v>2.485891855868001</v>
      </c>
      <c r="L14" s="115">
        <f>K14+K46+K162</f>
        <v>1.4071157401682424</v>
      </c>
      <c r="M14" s="115">
        <f>L14+L46+L162</f>
        <v>-0.59165779275328312</v>
      </c>
      <c r="N14" s="115">
        <f>IF(COUNT($H14:M14)&gt;Input!$Y$7,0, M14+M46+M162)</f>
        <v>0</v>
      </c>
      <c r="O14" s="115">
        <f>IF(COUNT($H14:N14)&gt;Input!$Y$7,0, N14+N46+N162)</f>
        <v>0</v>
      </c>
      <c r="P14" s="115">
        <f>IF(COUNT($H14:O14)&gt;Input!$Y$7,0, O14+O46+O162)</f>
        <v>0</v>
      </c>
      <c r="Q14" s="115">
        <f>IF(COUNT($H14:P14)&gt;Input!$Y$7,0, P14+P46+P162)</f>
        <v>0</v>
      </c>
      <c r="R14" s="115">
        <f>IF(COUNT($H14:Q14)&gt;Input!$Y$7,0, Q14+Q46+Q162)</f>
        <v>0</v>
      </c>
      <c r="S14" s="110"/>
      <c r="T14" s="110"/>
      <c r="U14" s="110"/>
      <c r="V14" s="110"/>
      <c r="W14" s="110"/>
      <c r="X14" s="110"/>
      <c r="Y14" s="110"/>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row>
    <row r="15" spans="1:255" s="201" customFormat="1" outlineLevel="1">
      <c r="A15" s="9"/>
      <c r="B15" s="44"/>
      <c r="C15" s="271" t="str">
        <f>Asset8</f>
        <v>Equity Raising Costs</v>
      </c>
      <c r="D15" s="9"/>
      <c r="E15" s="9"/>
      <c r="F15" s="9"/>
      <c r="G15" s="9"/>
      <c r="H15" s="157">
        <f>A8taxvalue-Input!M14+(Input!G184-Input!G218)</f>
        <v>0</v>
      </c>
      <c r="I15" s="115">
        <f>H15+H47+H175</f>
        <v>1.4831149183194219</v>
      </c>
      <c r="J15" s="115">
        <f>I15+I47+I175</f>
        <v>0</v>
      </c>
      <c r="K15" s="115">
        <f>J15+J47+J175</f>
        <v>0</v>
      </c>
      <c r="L15" s="115">
        <f>K15+K47+K175</f>
        <v>0</v>
      </c>
      <c r="M15" s="115">
        <f>L15+L47+L175</f>
        <v>0</v>
      </c>
      <c r="N15" s="115">
        <f>IF(COUNT($H15:M15)&gt;Input!$Y$7,0, M15+M47+M175)</f>
        <v>0</v>
      </c>
      <c r="O15" s="115">
        <f>IF(COUNT($H15:N15)&gt;Input!$Y$7,0, N15+N47+N175)</f>
        <v>0</v>
      </c>
      <c r="P15" s="115">
        <f>IF(COUNT($H15:O15)&gt;Input!$Y$7,0, O15+O47+O175)</f>
        <v>0</v>
      </c>
      <c r="Q15" s="115">
        <f>IF(COUNT($H15:P15)&gt;Input!$Y$7,0, P15+P47+P175)</f>
        <v>0</v>
      </c>
      <c r="R15" s="115">
        <f>IF(COUNT($H15:Q15)&gt;Input!$Y$7,0, Q15+Q47+Q175)</f>
        <v>0</v>
      </c>
      <c r="S15" s="110"/>
      <c r="T15" s="110"/>
      <c r="U15" s="110"/>
      <c r="V15" s="110"/>
      <c r="W15" s="110"/>
      <c r="X15" s="110"/>
      <c r="Y15" s="110"/>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row>
    <row r="16" spans="1:255" s="201" customFormat="1" outlineLevel="1">
      <c r="A16" s="9"/>
      <c r="B16" s="44"/>
      <c r="C16" s="271">
        <f>Asset9</f>
        <v>0</v>
      </c>
      <c r="D16" s="9"/>
      <c r="E16" s="9"/>
      <c r="F16" s="9"/>
      <c r="G16" s="9"/>
      <c r="H16" s="157">
        <f>A9taxvalue-Input!M15+(Input!G185-Input!G219)</f>
        <v>0</v>
      </c>
      <c r="I16" s="115">
        <f>H16+H48+H188</f>
        <v>0</v>
      </c>
      <c r="J16" s="115">
        <f>I16+I48+I188</f>
        <v>0</v>
      </c>
      <c r="K16" s="115">
        <f>J16+J48+J188</f>
        <v>0</v>
      </c>
      <c r="L16" s="115">
        <f>K16+K48+K188</f>
        <v>0</v>
      </c>
      <c r="M16" s="115">
        <f>L16+L48+L188</f>
        <v>0</v>
      </c>
      <c r="N16" s="115">
        <f>IF(COUNT($H16:M16)&gt;Input!$Y$7,0, M16+M48+M188)</f>
        <v>0</v>
      </c>
      <c r="O16" s="115">
        <f>IF(COUNT($H16:N16)&gt;Input!$Y$7,0, N16+N48+N188)</f>
        <v>0</v>
      </c>
      <c r="P16" s="115">
        <f>IF(COUNT($H16:O16)&gt;Input!$Y$7,0, O16+O48+O188)</f>
        <v>0</v>
      </c>
      <c r="Q16" s="115">
        <f>IF(COUNT($H16:P16)&gt;Input!$Y$7,0, P16+P48+P188)</f>
        <v>0</v>
      </c>
      <c r="R16" s="115">
        <f>IF(COUNT($H16:Q16)&gt;Input!$Y$7,0, Q16+Q48+Q188)</f>
        <v>0</v>
      </c>
      <c r="S16" s="110"/>
      <c r="T16" s="110"/>
      <c r="U16" s="110"/>
      <c r="V16" s="110"/>
      <c r="W16" s="110"/>
      <c r="X16" s="110"/>
      <c r="Y16" s="110"/>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row>
    <row r="17" spans="1:60" s="201" customFormat="1" outlineLevel="1">
      <c r="A17" s="9"/>
      <c r="B17" s="44"/>
      <c r="C17" s="271">
        <f>Asset10</f>
        <v>0</v>
      </c>
      <c r="D17" s="9"/>
      <c r="E17" s="9"/>
      <c r="F17" s="9"/>
      <c r="G17" s="9"/>
      <c r="H17" s="157">
        <f>A10taxvalue-Input!M16+(Input!G186-Input!G220)</f>
        <v>0</v>
      </c>
      <c r="I17" s="115">
        <f>H17+H49+H201</f>
        <v>0</v>
      </c>
      <c r="J17" s="115">
        <f>I17+I49+I201</f>
        <v>0</v>
      </c>
      <c r="K17" s="115">
        <f>J17+J49+J201</f>
        <v>0</v>
      </c>
      <c r="L17" s="115">
        <f>K17+K49+K201</f>
        <v>0</v>
      </c>
      <c r="M17" s="115">
        <f>L17+L49+L201</f>
        <v>0</v>
      </c>
      <c r="N17" s="115">
        <f>IF(COUNT($H17:M17)&gt;Input!$Y$7,0, M17+M49+M201)</f>
        <v>0</v>
      </c>
      <c r="O17" s="115">
        <f>IF(COUNT($H17:N17)&gt;Input!$Y$7,0, N17+N49+N201)</f>
        <v>0</v>
      </c>
      <c r="P17" s="115">
        <f>IF(COUNT($H17:O17)&gt;Input!$Y$7,0, O17+O49+O201)</f>
        <v>0</v>
      </c>
      <c r="Q17" s="115">
        <f>IF(COUNT($H17:P17)&gt;Input!$Y$7,0, P17+P49+P201)</f>
        <v>0</v>
      </c>
      <c r="R17" s="115">
        <f>IF(COUNT($H17:Q17)&gt;Input!$Y$7,0, Q17+Q49+Q201)</f>
        <v>0</v>
      </c>
      <c r="S17" s="110"/>
      <c r="T17" s="110"/>
      <c r="U17" s="110"/>
      <c r="V17" s="110"/>
      <c r="W17" s="110"/>
      <c r="X17" s="110"/>
      <c r="Y17" s="110"/>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row>
    <row r="18" spans="1:60" s="201" customFormat="1" outlineLevel="1">
      <c r="A18" s="9"/>
      <c r="B18" s="44"/>
      <c r="C18" s="271">
        <f>Asset11</f>
        <v>0</v>
      </c>
      <c r="D18" s="9"/>
      <c r="E18" s="9"/>
      <c r="F18" s="9"/>
      <c r="G18" s="9"/>
      <c r="H18" s="157">
        <f>A11taxvalue-Input!M17+(Input!G187-Input!G221)</f>
        <v>0</v>
      </c>
      <c r="I18" s="115">
        <f>H18+H50+H214</f>
        <v>0</v>
      </c>
      <c r="J18" s="115">
        <f>I18+I50+I214</f>
        <v>0</v>
      </c>
      <c r="K18" s="115">
        <f>J18+J50+J214</f>
        <v>0</v>
      </c>
      <c r="L18" s="115">
        <f>K18+K50+K214</f>
        <v>0</v>
      </c>
      <c r="M18" s="115">
        <f>L18+L50+L214</f>
        <v>0</v>
      </c>
      <c r="N18" s="115">
        <f>IF(COUNT($H18:M18)&gt;Input!$Y$7,0, M18+M50+M214)</f>
        <v>0</v>
      </c>
      <c r="O18" s="115">
        <f>IF(COUNT($H18:N18)&gt;Input!$Y$7,0, N18+N50+N214)</f>
        <v>0</v>
      </c>
      <c r="P18" s="115">
        <f>IF(COUNT($H18:O18)&gt;Input!$Y$7,0, O18+O50+O214)</f>
        <v>0</v>
      </c>
      <c r="Q18" s="115">
        <f>IF(COUNT($H18:P18)&gt;Input!$Y$7,0, P18+P50+P214)</f>
        <v>0</v>
      </c>
      <c r="R18" s="115">
        <f>IF(COUNT($H18:Q18)&gt;Input!$Y$7,0, Q18+Q50+Q214)</f>
        <v>0</v>
      </c>
      <c r="S18" s="110"/>
      <c r="T18" s="110"/>
      <c r="U18" s="110"/>
      <c r="V18" s="110"/>
      <c r="W18" s="110"/>
      <c r="X18" s="110"/>
      <c r="Y18" s="110"/>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row>
    <row r="19" spans="1:60" s="201" customFormat="1" outlineLevel="1">
      <c r="A19" s="9"/>
      <c r="B19" s="44"/>
      <c r="C19" s="271">
        <f>Asset12</f>
        <v>0</v>
      </c>
      <c r="D19" s="9"/>
      <c r="E19" s="9"/>
      <c r="F19" s="9"/>
      <c r="G19" s="9"/>
      <c r="H19" s="157">
        <f>A12taxvalue-Input!M18+(Input!G188-Input!G222)</f>
        <v>0</v>
      </c>
      <c r="I19" s="115">
        <f>H19+H51+H227</f>
        <v>0</v>
      </c>
      <c r="J19" s="115">
        <f>I19+I51+I227</f>
        <v>0</v>
      </c>
      <c r="K19" s="115">
        <f>J19+J51+J227</f>
        <v>0</v>
      </c>
      <c r="L19" s="115">
        <f>K19+K51+K227</f>
        <v>0</v>
      </c>
      <c r="M19" s="115">
        <f>L19+L51+L227</f>
        <v>0</v>
      </c>
      <c r="N19" s="115">
        <f>IF(COUNT($H19:M19)&gt;Input!$Y$7,0, M19+M51+M227)</f>
        <v>0</v>
      </c>
      <c r="O19" s="115">
        <f>IF(COUNT($H19:N19)&gt;Input!$Y$7,0, N19+N51+N227)</f>
        <v>0</v>
      </c>
      <c r="P19" s="115">
        <f>IF(COUNT($H19:O19)&gt;Input!$Y$7,0, O19+O51+O227)</f>
        <v>0</v>
      </c>
      <c r="Q19" s="115">
        <f>IF(COUNT($H19:P19)&gt;Input!$Y$7,0, P19+P51+P227)</f>
        <v>0</v>
      </c>
      <c r="R19" s="115">
        <f>IF(COUNT($H19:Q19)&gt;Input!$Y$7,0, Q19+Q51+Q227)</f>
        <v>0</v>
      </c>
      <c r="S19" s="110"/>
      <c r="T19" s="110"/>
      <c r="U19" s="110"/>
      <c r="V19" s="110"/>
      <c r="W19" s="110"/>
      <c r="X19" s="110"/>
      <c r="Y19" s="110"/>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row>
    <row r="20" spans="1:60" s="201" customFormat="1" outlineLevel="1">
      <c r="A20" s="9"/>
      <c r="B20" s="44"/>
      <c r="C20" s="271">
        <f>Asset13</f>
        <v>0</v>
      </c>
      <c r="D20" s="9"/>
      <c r="E20" s="9"/>
      <c r="F20" s="9"/>
      <c r="G20" s="9"/>
      <c r="H20" s="157">
        <f>A13taxvalue-Input!M19+(Input!G189-Input!G223)</f>
        <v>0</v>
      </c>
      <c r="I20" s="115">
        <f>H20+H52+H240</f>
        <v>0</v>
      </c>
      <c r="J20" s="115">
        <f>I20+I52+I240</f>
        <v>0</v>
      </c>
      <c r="K20" s="115">
        <f>J20+J52+J240</f>
        <v>0</v>
      </c>
      <c r="L20" s="115">
        <f>K20+K52+K240</f>
        <v>0</v>
      </c>
      <c r="M20" s="115">
        <f>L20+L52+L240</f>
        <v>0</v>
      </c>
      <c r="N20" s="115">
        <f>IF(COUNT($H20:M20)&gt;Input!$Y$7,0, M20+M52+M240)</f>
        <v>0</v>
      </c>
      <c r="O20" s="115">
        <f>IF(COUNT($H20:N20)&gt;Input!$Y$7,0, N20+N52+N240)</f>
        <v>0</v>
      </c>
      <c r="P20" s="115">
        <f>IF(COUNT($H20:O20)&gt;Input!$Y$7,0, O20+O52+O240)</f>
        <v>0</v>
      </c>
      <c r="Q20" s="115">
        <f>IF(COUNT($H20:P20)&gt;Input!$Y$7,0, P20+P52+P240)</f>
        <v>0</v>
      </c>
      <c r="R20" s="115">
        <f>IF(COUNT($H20:Q20)&gt;Input!$Y$7,0, Q20+Q52+Q240)</f>
        <v>0</v>
      </c>
      <c r="S20" s="110"/>
      <c r="T20" s="110"/>
      <c r="U20" s="110"/>
      <c r="V20" s="110"/>
      <c r="W20" s="110"/>
      <c r="X20" s="110"/>
      <c r="Y20" s="110"/>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row>
    <row r="21" spans="1:60" s="201" customFormat="1" outlineLevel="1">
      <c r="A21" s="9"/>
      <c r="B21" s="44"/>
      <c r="C21" s="271">
        <f>Asset14</f>
        <v>0</v>
      </c>
      <c r="D21" s="9"/>
      <c r="E21" s="9"/>
      <c r="F21" s="9"/>
      <c r="G21" s="9"/>
      <c r="H21" s="157">
        <f>A14taxvalue-Input!M20+(Input!G190-Input!G224)</f>
        <v>0</v>
      </c>
      <c r="I21" s="115">
        <f>H21+H53+H253</f>
        <v>0</v>
      </c>
      <c r="J21" s="115">
        <f>I21+I53+I253</f>
        <v>0</v>
      </c>
      <c r="K21" s="115">
        <f>J21+J53+J253</f>
        <v>0</v>
      </c>
      <c r="L21" s="115">
        <f>K21+K53+K253</f>
        <v>0</v>
      </c>
      <c r="M21" s="115">
        <f>L21+L53+L253</f>
        <v>0</v>
      </c>
      <c r="N21" s="115">
        <f>IF(COUNT($H21:M21)&gt;Input!$Y$7,0, M21+M53+M253)</f>
        <v>0</v>
      </c>
      <c r="O21" s="115">
        <f>IF(COUNT($H21:N21)&gt;Input!$Y$7,0, N21+N53+N253)</f>
        <v>0</v>
      </c>
      <c r="P21" s="115">
        <f>IF(COUNT($H21:O21)&gt;Input!$Y$7,0, O21+O53+O253)</f>
        <v>0</v>
      </c>
      <c r="Q21" s="115">
        <f>IF(COUNT($H21:P21)&gt;Input!$Y$7,0, P21+P53+P253)</f>
        <v>0</v>
      </c>
      <c r="R21" s="115">
        <f>IF(COUNT($H21:Q21)&gt;Input!$Y$7,0, Q21+Q53+Q253)</f>
        <v>0</v>
      </c>
      <c r="S21" s="110"/>
      <c r="T21" s="110"/>
      <c r="U21" s="110"/>
      <c r="V21" s="110"/>
      <c r="W21" s="110"/>
      <c r="X21" s="110"/>
      <c r="Y21" s="110"/>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row>
    <row r="22" spans="1:60" s="201" customFormat="1" outlineLevel="1">
      <c r="A22" s="9"/>
      <c r="B22" s="44"/>
      <c r="C22" s="271">
        <f>Asset15</f>
        <v>0</v>
      </c>
      <c r="D22" s="9"/>
      <c r="E22" s="9"/>
      <c r="F22" s="9"/>
      <c r="G22" s="9"/>
      <c r="H22" s="157">
        <f>A15taxvalue-Input!M21+(Input!G191-Input!G225)</f>
        <v>0</v>
      </c>
      <c r="I22" s="115">
        <f>H22+H54+H266</f>
        <v>0</v>
      </c>
      <c r="J22" s="115">
        <f>I22+I54+I266</f>
        <v>0</v>
      </c>
      <c r="K22" s="115">
        <f>J22+J54+J266</f>
        <v>0</v>
      </c>
      <c r="L22" s="115">
        <f>K22+K54+K266</f>
        <v>0</v>
      </c>
      <c r="M22" s="115">
        <f>L22+L54+L266</f>
        <v>0</v>
      </c>
      <c r="N22" s="115">
        <f>IF(COUNT($H22:M22)&gt;Input!$Y$7,0, M22+M54+M266)</f>
        <v>0</v>
      </c>
      <c r="O22" s="115">
        <f>IF(COUNT($H22:N22)&gt;Input!$Y$7,0, N22+N54+N266)</f>
        <v>0</v>
      </c>
      <c r="P22" s="115">
        <f>IF(COUNT($H22:O22)&gt;Input!$Y$7,0, O22+O54+O266)</f>
        <v>0</v>
      </c>
      <c r="Q22" s="115">
        <f>IF(COUNT($H22:P22)&gt;Input!$Y$7,0, P22+P54+P266)</f>
        <v>0</v>
      </c>
      <c r="R22" s="115">
        <f>IF(COUNT($H22:Q22)&gt;Input!$Y$7,0, Q22+Q54+Q266)</f>
        <v>0</v>
      </c>
      <c r="S22" s="110"/>
      <c r="T22" s="110"/>
      <c r="U22" s="110"/>
      <c r="V22" s="110"/>
      <c r="W22" s="110"/>
      <c r="X22" s="110"/>
      <c r="Y22" s="110"/>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row>
    <row r="23" spans="1:60" s="201" customFormat="1" outlineLevel="1">
      <c r="A23" s="9"/>
      <c r="B23" s="44"/>
      <c r="C23" s="271">
        <f>Asset16</f>
        <v>0</v>
      </c>
      <c r="D23" s="9"/>
      <c r="E23" s="9"/>
      <c r="F23" s="9"/>
      <c r="G23" s="9"/>
      <c r="H23" s="157">
        <f>A16taxvalue-Input!M22+(Input!G192-Input!G226)</f>
        <v>0</v>
      </c>
      <c r="I23" s="115">
        <f>H23+H55+H279</f>
        <v>0</v>
      </c>
      <c r="J23" s="115">
        <f>I23+I55+I279</f>
        <v>0</v>
      </c>
      <c r="K23" s="115">
        <f>J23+J55+J279</f>
        <v>0</v>
      </c>
      <c r="L23" s="115">
        <f>K23+K55+K279</f>
        <v>0</v>
      </c>
      <c r="M23" s="115">
        <f>L23+L55+L279</f>
        <v>0</v>
      </c>
      <c r="N23" s="115">
        <f>IF(COUNT($H23:M23)&gt;Input!$Y$7,0, M23+M55+M279)</f>
        <v>0</v>
      </c>
      <c r="O23" s="115">
        <f>IF(COUNT($H23:N23)&gt;Input!$Y$7,0, N23+N55+N279)</f>
        <v>0</v>
      </c>
      <c r="P23" s="115">
        <f>IF(COUNT($H23:O23)&gt;Input!$Y$7,0, O23+O55+O279)</f>
        <v>0</v>
      </c>
      <c r="Q23" s="115">
        <f>IF(COUNT($H23:P23)&gt;Input!$Y$7,0, P23+P55+P279)</f>
        <v>0</v>
      </c>
      <c r="R23" s="115">
        <f>IF(COUNT($H23:Q23)&gt;Input!$Y$7,0, Q23+Q55+Q279)</f>
        <v>0</v>
      </c>
      <c r="S23" s="110"/>
      <c r="T23" s="110"/>
      <c r="U23" s="110"/>
      <c r="V23" s="110"/>
      <c r="W23" s="110"/>
      <c r="X23" s="110"/>
      <c r="Y23" s="110"/>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row>
    <row r="24" spans="1:60" s="201" customFormat="1" outlineLevel="1">
      <c r="A24" s="9"/>
      <c r="B24" s="44"/>
      <c r="C24" s="271">
        <f>Asset17</f>
        <v>0</v>
      </c>
      <c r="D24" s="9"/>
      <c r="E24" s="9"/>
      <c r="F24" s="9"/>
      <c r="G24" s="9"/>
      <c r="H24" s="157">
        <f>A17taxvalue-Input!M23+(Input!G193-Input!G227)</f>
        <v>0</v>
      </c>
      <c r="I24" s="115">
        <f>H24+H56+H292</f>
        <v>0</v>
      </c>
      <c r="J24" s="115">
        <f>I24+I56+I292</f>
        <v>0</v>
      </c>
      <c r="K24" s="115">
        <f>J24+J56+J292</f>
        <v>0</v>
      </c>
      <c r="L24" s="115">
        <f>K24+K56+K292</f>
        <v>0</v>
      </c>
      <c r="M24" s="115">
        <f>L24+L56+L292</f>
        <v>0</v>
      </c>
      <c r="N24" s="115">
        <f>IF(COUNT($H24:M24)&gt;Input!$Y$7,0, M24+M56+M292)</f>
        <v>0</v>
      </c>
      <c r="O24" s="115">
        <f>IF(COUNT($H24:N24)&gt;Input!$Y$7,0, N24+N56+N292)</f>
        <v>0</v>
      </c>
      <c r="P24" s="115">
        <f>IF(COUNT($H24:O24)&gt;Input!$Y$7,0, O24+O56+O292)</f>
        <v>0</v>
      </c>
      <c r="Q24" s="115">
        <f>IF(COUNT($H24:P24)&gt;Input!$Y$7,0, P24+P56+P292)</f>
        <v>0</v>
      </c>
      <c r="R24" s="115">
        <f>IF(COUNT($H24:Q24)&gt;Input!$Y$7,0, Q24+Q56+Q292)</f>
        <v>0</v>
      </c>
      <c r="S24" s="110"/>
      <c r="T24" s="110"/>
      <c r="U24" s="110"/>
      <c r="V24" s="110"/>
      <c r="W24" s="110"/>
      <c r="X24" s="110"/>
      <c r="Y24" s="110"/>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row>
    <row r="25" spans="1:60" s="201" customFormat="1" outlineLevel="1">
      <c r="A25" s="9"/>
      <c r="B25" s="44"/>
      <c r="C25" s="271">
        <f>Asset18</f>
        <v>0</v>
      </c>
      <c r="D25" s="9"/>
      <c r="E25" s="9"/>
      <c r="F25" s="9"/>
      <c r="G25" s="9"/>
      <c r="H25" s="157">
        <f>A18taxvalue-Input!M24+(Input!G194-Input!G228)</f>
        <v>0</v>
      </c>
      <c r="I25" s="115">
        <f>H25+H57+H305</f>
        <v>0</v>
      </c>
      <c r="J25" s="115">
        <f>I25+I57+I305</f>
        <v>0</v>
      </c>
      <c r="K25" s="115">
        <f>J25+J57+J305</f>
        <v>0</v>
      </c>
      <c r="L25" s="115">
        <f>K25+K57+K305</f>
        <v>0</v>
      </c>
      <c r="M25" s="115">
        <f>L25+L57+L305</f>
        <v>0</v>
      </c>
      <c r="N25" s="115">
        <f>IF(COUNT($H25:M25)&gt;Input!$Y$7,0, M25+M57+M305)</f>
        <v>0</v>
      </c>
      <c r="O25" s="115">
        <f>IF(COUNT($H25:N25)&gt;Input!$Y$7,0, N25+N57+N305)</f>
        <v>0</v>
      </c>
      <c r="P25" s="115">
        <f>IF(COUNT($H25:O25)&gt;Input!$Y$7,0, O25+O57+O305)</f>
        <v>0</v>
      </c>
      <c r="Q25" s="115">
        <f>IF(COUNT($H25:P25)&gt;Input!$Y$7,0, P25+P57+P305)</f>
        <v>0</v>
      </c>
      <c r="R25" s="115">
        <f>IF(COUNT($H25:Q25)&gt;Input!$Y$7,0, Q25+Q57+Q305)</f>
        <v>0</v>
      </c>
      <c r="S25" s="110"/>
      <c r="T25" s="110"/>
      <c r="U25" s="110"/>
      <c r="V25" s="110"/>
      <c r="W25" s="110"/>
      <c r="X25" s="110"/>
      <c r="Y25" s="110"/>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row>
    <row r="26" spans="1:60" s="201" customFormat="1" outlineLevel="1">
      <c r="A26" s="9"/>
      <c r="B26" s="44"/>
      <c r="C26" s="271">
        <f>Asset19</f>
        <v>0</v>
      </c>
      <c r="D26" s="9"/>
      <c r="E26" s="9"/>
      <c r="F26" s="9"/>
      <c r="G26" s="9"/>
      <c r="H26" s="157">
        <f>A19taxvalue-Input!M25+(Input!G195-Input!G229)</f>
        <v>0</v>
      </c>
      <c r="I26" s="115">
        <f>H26+H58+H318</f>
        <v>0</v>
      </c>
      <c r="J26" s="115">
        <f>I26+I58+I318</f>
        <v>0</v>
      </c>
      <c r="K26" s="115">
        <f>J26+J58+J318</f>
        <v>0</v>
      </c>
      <c r="L26" s="115">
        <f>K26+K58+K318</f>
        <v>0</v>
      </c>
      <c r="M26" s="115">
        <f>L26+L58+L318</f>
        <v>0</v>
      </c>
      <c r="N26" s="115">
        <f>IF(COUNT($H26:M26)&gt;Input!$Y$7,0, M26+M58+M318)</f>
        <v>0</v>
      </c>
      <c r="O26" s="115">
        <f>IF(COUNT($H26:N26)&gt;Input!$Y$7,0, N26+N58+N318)</f>
        <v>0</v>
      </c>
      <c r="P26" s="115">
        <f>IF(COUNT($H26:O26)&gt;Input!$Y$7,0, O26+O58+O318)</f>
        <v>0</v>
      </c>
      <c r="Q26" s="115">
        <f>IF(COUNT($H26:P26)&gt;Input!$Y$7,0, P26+P58+P318)</f>
        <v>0</v>
      </c>
      <c r="R26" s="115">
        <f>IF(COUNT($H26:Q26)&gt;Input!$Y$7,0, Q26+Q58+Q318)</f>
        <v>0</v>
      </c>
      <c r="S26" s="110"/>
      <c r="T26" s="110"/>
      <c r="U26" s="110"/>
      <c r="V26" s="110"/>
      <c r="W26" s="110"/>
      <c r="X26" s="110"/>
      <c r="Y26" s="110"/>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row>
    <row r="27" spans="1:60" s="201" customFormat="1" outlineLevel="1">
      <c r="A27" s="9"/>
      <c r="B27" s="44"/>
      <c r="C27" s="271">
        <f>Asset20</f>
        <v>0</v>
      </c>
      <c r="D27" s="9"/>
      <c r="E27" s="9"/>
      <c r="F27" s="9"/>
      <c r="G27" s="9"/>
      <c r="H27" s="157">
        <f>A20taxvalue-Input!M26+(Input!G196-Input!G230)</f>
        <v>0</v>
      </c>
      <c r="I27" s="115">
        <f>H27+H59+H331</f>
        <v>0</v>
      </c>
      <c r="J27" s="115">
        <f>I27+I59+I331</f>
        <v>0</v>
      </c>
      <c r="K27" s="115">
        <f>J27+J59+J331</f>
        <v>0</v>
      </c>
      <c r="L27" s="115">
        <f>K27+K59+K331</f>
        <v>0</v>
      </c>
      <c r="M27" s="115">
        <f>L27+L59+L331</f>
        <v>0</v>
      </c>
      <c r="N27" s="115">
        <f>IF(COUNT($H27:M27)&gt;Input!$Y$7,0, M27+M59+M331)</f>
        <v>0</v>
      </c>
      <c r="O27" s="115">
        <f>IF(COUNT($H27:N27)&gt;Input!$Y$7,0, N27+N59+N331)</f>
        <v>0</v>
      </c>
      <c r="P27" s="115">
        <f>IF(COUNT($H27:O27)&gt;Input!$Y$7,0, O27+O59+O331)</f>
        <v>0</v>
      </c>
      <c r="Q27" s="115">
        <f>IF(COUNT($H27:P27)&gt;Input!$Y$7,0, P27+P59+P331)</f>
        <v>0</v>
      </c>
      <c r="R27" s="115">
        <f>IF(COUNT($H27:Q27)&gt;Input!$Y$7,0, Q27+Q59+Q331)</f>
        <v>0</v>
      </c>
      <c r="S27" s="110"/>
      <c r="T27" s="110"/>
      <c r="U27" s="110"/>
      <c r="V27" s="110"/>
      <c r="W27" s="110"/>
      <c r="X27" s="110"/>
      <c r="Y27" s="110"/>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row>
    <row r="28" spans="1:60" s="201" customFormat="1" outlineLevel="1">
      <c r="A28" s="9"/>
      <c r="B28" s="44"/>
      <c r="C28" s="271">
        <f>Asset21</f>
        <v>0</v>
      </c>
      <c r="D28" s="9"/>
      <c r="E28" s="9"/>
      <c r="F28" s="9"/>
      <c r="G28" s="9"/>
      <c r="H28" s="157">
        <f>A21taxvalue-Input!M27+(Input!G197-Input!G231)</f>
        <v>0</v>
      </c>
      <c r="I28" s="115">
        <f>H28+H60+H344</f>
        <v>0</v>
      </c>
      <c r="J28" s="115">
        <f>I28+I60+I344</f>
        <v>0</v>
      </c>
      <c r="K28" s="115">
        <f>J28+J60+J344</f>
        <v>0</v>
      </c>
      <c r="L28" s="115">
        <f>K28+K60+K344</f>
        <v>0</v>
      </c>
      <c r="M28" s="115">
        <f>L28+L60+L344</f>
        <v>0</v>
      </c>
      <c r="N28" s="115">
        <f>IF(COUNT($H28:M28)&gt;Input!$Y$7,0, M28+M60+M344)</f>
        <v>0</v>
      </c>
      <c r="O28" s="115">
        <f>IF(COUNT($H28:N28)&gt;Input!$Y$7,0, N28+N60+N344)</f>
        <v>0</v>
      </c>
      <c r="P28" s="115">
        <f>IF(COUNT($H28:O28)&gt;Input!$Y$7,0, O28+O60+O344)</f>
        <v>0</v>
      </c>
      <c r="Q28" s="115">
        <f>IF(COUNT($H28:P28)&gt;Input!$Y$7,0, P28+P60+P344)</f>
        <v>0</v>
      </c>
      <c r="R28" s="115">
        <f>IF(COUNT($H28:Q28)&gt;Input!$Y$7,0, Q28+Q60+Q344)</f>
        <v>0</v>
      </c>
      <c r="S28" s="110"/>
      <c r="T28" s="110"/>
      <c r="U28" s="110"/>
      <c r="V28" s="110"/>
      <c r="W28" s="110"/>
      <c r="X28" s="110"/>
      <c r="Y28" s="110"/>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row>
    <row r="29" spans="1:60" s="201" customFormat="1" outlineLevel="1">
      <c r="A29" s="9"/>
      <c r="B29" s="44"/>
      <c r="C29" s="271">
        <f>Asset22</f>
        <v>0</v>
      </c>
      <c r="D29" s="9"/>
      <c r="E29" s="9"/>
      <c r="F29" s="9"/>
      <c r="G29" s="9"/>
      <c r="H29" s="157">
        <f>A22taxvalue-Input!M28+(Input!G198-Input!G232)</f>
        <v>0</v>
      </c>
      <c r="I29" s="115">
        <f>H29+H61+H357</f>
        <v>0</v>
      </c>
      <c r="J29" s="115">
        <f>I29+I61+I357</f>
        <v>0</v>
      </c>
      <c r="K29" s="115">
        <f>J29+J61+J357</f>
        <v>0</v>
      </c>
      <c r="L29" s="115">
        <f>K29+K61+K357</f>
        <v>0</v>
      </c>
      <c r="M29" s="115">
        <f>L29+L61+L357</f>
        <v>0</v>
      </c>
      <c r="N29" s="115">
        <f>IF(COUNT($H29:M29)&gt;Input!$Y$7,0, M29+M61+M357)</f>
        <v>0</v>
      </c>
      <c r="O29" s="115">
        <f>IF(COUNT($H29:N29)&gt;Input!$Y$7,0, N29+N61+N357)</f>
        <v>0</v>
      </c>
      <c r="P29" s="115">
        <f>IF(COUNT($H29:O29)&gt;Input!$Y$7,0, O29+O61+O357)</f>
        <v>0</v>
      </c>
      <c r="Q29" s="115">
        <f>IF(COUNT($H29:P29)&gt;Input!$Y$7,0, P29+P61+P357)</f>
        <v>0</v>
      </c>
      <c r="R29" s="115">
        <f>IF(COUNT($H29:Q29)&gt;Input!$Y$7,0, Q29+Q61+Q357)</f>
        <v>0</v>
      </c>
      <c r="S29" s="110"/>
      <c r="T29" s="110"/>
      <c r="U29" s="110"/>
      <c r="V29" s="110"/>
      <c r="W29" s="110"/>
      <c r="X29" s="110"/>
      <c r="Y29" s="110"/>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row>
    <row r="30" spans="1:60" s="201" customFormat="1" outlineLevel="1">
      <c r="A30" s="9"/>
      <c r="B30" s="44"/>
      <c r="C30" s="271">
        <f>Asset23</f>
        <v>0</v>
      </c>
      <c r="D30" s="9"/>
      <c r="E30" s="9"/>
      <c r="F30" s="9"/>
      <c r="G30" s="9"/>
      <c r="H30" s="157">
        <f>A23taxvalue-Input!M29+(Input!G199-Input!G233)</f>
        <v>0</v>
      </c>
      <c r="I30" s="115">
        <f>H30+H62+H370</f>
        <v>0</v>
      </c>
      <c r="J30" s="115">
        <f>I30+I62+I370</f>
        <v>0</v>
      </c>
      <c r="K30" s="115">
        <f>J30+J62+J370</f>
        <v>0</v>
      </c>
      <c r="L30" s="115">
        <f>K30+K62+K370</f>
        <v>0</v>
      </c>
      <c r="M30" s="115">
        <f>L30+L62+L370</f>
        <v>0</v>
      </c>
      <c r="N30" s="115">
        <f>IF(COUNT($H30:M30)&gt;Input!$Y$7,0, M30+M62+M370)</f>
        <v>0</v>
      </c>
      <c r="O30" s="115">
        <f>IF(COUNT($H30:N30)&gt;Input!$Y$7,0, N30+N62+N370)</f>
        <v>0</v>
      </c>
      <c r="P30" s="115">
        <f>IF(COUNT($H30:O30)&gt;Input!$Y$7,0, O30+O62+O370)</f>
        <v>0</v>
      </c>
      <c r="Q30" s="115">
        <f>IF(COUNT($H30:P30)&gt;Input!$Y$7,0, P30+P62+P370)</f>
        <v>0</v>
      </c>
      <c r="R30" s="115">
        <f>IF(COUNT($H30:Q30)&gt;Input!$Y$7,0, Q30+Q62+Q370)</f>
        <v>0</v>
      </c>
      <c r="S30" s="110"/>
      <c r="T30" s="110"/>
      <c r="U30" s="110"/>
      <c r="V30" s="110"/>
      <c r="W30" s="110"/>
      <c r="X30" s="110"/>
      <c r="Y30" s="110"/>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row>
    <row r="31" spans="1:60" s="201" customFormat="1" outlineLevel="1">
      <c r="A31" s="9"/>
      <c r="B31" s="44"/>
      <c r="C31" s="271">
        <f>Asset24</f>
        <v>0</v>
      </c>
      <c r="D31" s="9"/>
      <c r="E31" s="9"/>
      <c r="F31" s="9"/>
      <c r="G31" s="9"/>
      <c r="H31" s="157">
        <f>A24taxvalue-Input!M30+(Input!G200-Input!G234)</f>
        <v>0</v>
      </c>
      <c r="I31" s="115">
        <f>H31+H63+H383</f>
        <v>0</v>
      </c>
      <c r="J31" s="115">
        <f>I31+I63+I383</f>
        <v>0</v>
      </c>
      <c r="K31" s="115">
        <f>J31+J63+J383</f>
        <v>0</v>
      </c>
      <c r="L31" s="115">
        <f>K31+K63+K383</f>
        <v>0</v>
      </c>
      <c r="M31" s="115">
        <f>L31+L63+L383</f>
        <v>0</v>
      </c>
      <c r="N31" s="115">
        <f>IF(COUNT($H31:M31)&gt;Input!$Y$7,0, M31+M63+M383)</f>
        <v>0</v>
      </c>
      <c r="O31" s="115">
        <f>IF(COUNT($H31:N31)&gt;Input!$Y$7,0, N31+N63+N383)</f>
        <v>0</v>
      </c>
      <c r="P31" s="115">
        <f>IF(COUNT($H31:O31)&gt;Input!$Y$7,0, O31+O63+O383)</f>
        <v>0</v>
      </c>
      <c r="Q31" s="115">
        <f>IF(COUNT($H31:P31)&gt;Input!$Y$7,0, P31+P63+P383)</f>
        <v>0</v>
      </c>
      <c r="R31" s="115">
        <f>IF(COUNT($H31:Q31)&gt;Input!$Y$7,0, Q31+Q63+Q383)</f>
        <v>0</v>
      </c>
      <c r="S31" s="110"/>
      <c r="T31" s="110"/>
      <c r="U31" s="110"/>
      <c r="V31" s="110"/>
      <c r="W31" s="110"/>
      <c r="X31" s="110"/>
      <c r="Y31" s="110"/>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row>
    <row r="32" spans="1:60" s="201" customFormat="1" outlineLevel="1">
      <c r="A32" s="9"/>
      <c r="B32" s="44"/>
      <c r="C32" s="271">
        <f>Asset25</f>
        <v>0</v>
      </c>
      <c r="D32" s="9"/>
      <c r="E32" s="9"/>
      <c r="F32" s="9"/>
      <c r="G32" s="9"/>
      <c r="H32" s="157">
        <f>A25taxvalue-Input!M31+(Input!G201-Input!G235)</f>
        <v>0</v>
      </c>
      <c r="I32" s="115">
        <f>H32+H64+H396</f>
        <v>0</v>
      </c>
      <c r="J32" s="115">
        <f>I32+I64+I396</f>
        <v>0</v>
      </c>
      <c r="K32" s="115">
        <f>J32+J64+J396</f>
        <v>0</v>
      </c>
      <c r="L32" s="115">
        <f>K32+K64+K396</f>
        <v>0</v>
      </c>
      <c r="M32" s="115">
        <f>L32+L64+L396</f>
        <v>0</v>
      </c>
      <c r="N32" s="115">
        <f>IF(COUNT($H32:M32)&gt;Input!$Y$7,0, M32+M64+M396)</f>
        <v>0</v>
      </c>
      <c r="O32" s="115">
        <f>IF(COUNT($H32:N32)&gt;Input!$Y$7,0, N32+N64+N396)</f>
        <v>0</v>
      </c>
      <c r="P32" s="115">
        <f>IF(COUNT($H32:O32)&gt;Input!$Y$7,0, O32+O64+O396)</f>
        <v>0</v>
      </c>
      <c r="Q32" s="115">
        <f>IF(COUNT($H32:P32)&gt;Input!$Y$7,0, P32+P64+P396)</f>
        <v>0</v>
      </c>
      <c r="R32" s="115">
        <f>IF(COUNT($H32:Q32)&gt;Input!$Y$7,0, Q32+Q64+Q396)</f>
        <v>0</v>
      </c>
      <c r="S32" s="110"/>
      <c r="T32" s="110"/>
      <c r="U32" s="110"/>
      <c r="V32" s="110"/>
      <c r="W32" s="110"/>
      <c r="X32" s="110"/>
      <c r="Y32" s="110"/>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row>
    <row r="33" spans="1:60" s="201" customFormat="1" outlineLevel="1">
      <c r="A33" s="9"/>
      <c r="B33" s="44"/>
      <c r="C33" s="271">
        <f>Asset26</f>
        <v>0</v>
      </c>
      <c r="D33" s="9"/>
      <c r="E33" s="9"/>
      <c r="F33" s="9"/>
      <c r="G33" s="9"/>
      <c r="H33" s="157">
        <f>A26taxvalue-Input!M32+(Input!G202-Input!G236)</f>
        <v>0</v>
      </c>
      <c r="I33" s="115">
        <f>H33+H65+H409</f>
        <v>0</v>
      </c>
      <c r="J33" s="115">
        <f>I33+I65+I409</f>
        <v>0</v>
      </c>
      <c r="K33" s="115">
        <f>J33+J65+J409</f>
        <v>0</v>
      </c>
      <c r="L33" s="115">
        <f>K33+K65+K409</f>
        <v>0</v>
      </c>
      <c r="M33" s="115">
        <f>L33+L65+L409</f>
        <v>0</v>
      </c>
      <c r="N33" s="115">
        <f>IF(COUNT($H33:M33)&gt;Input!$Y$7,0, M33+M65+M409)</f>
        <v>0</v>
      </c>
      <c r="O33" s="115">
        <f>IF(COUNT($H33:N33)&gt;Input!$Y$7,0, N33+N65+N409)</f>
        <v>0</v>
      </c>
      <c r="P33" s="115">
        <f>IF(COUNT($H33:O33)&gt;Input!$Y$7,0, O33+O65+O409)</f>
        <v>0</v>
      </c>
      <c r="Q33" s="115">
        <f>IF(COUNT($H33:P33)&gt;Input!$Y$7,0, P33+P65+P409)</f>
        <v>0</v>
      </c>
      <c r="R33" s="115">
        <f>IF(COUNT($H33:Q33)&gt;Input!$Y$7,0, Q33+Q65+Q409)</f>
        <v>0</v>
      </c>
      <c r="S33" s="110"/>
      <c r="T33" s="110"/>
      <c r="U33" s="110"/>
      <c r="V33" s="110"/>
      <c r="W33" s="110"/>
      <c r="X33" s="110"/>
      <c r="Y33" s="110"/>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row>
    <row r="34" spans="1:60" s="201" customFormat="1" outlineLevel="1">
      <c r="A34" s="9"/>
      <c r="B34" s="44"/>
      <c r="C34" s="271">
        <f>Asset27</f>
        <v>0</v>
      </c>
      <c r="D34" s="9"/>
      <c r="E34" s="9"/>
      <c r="F34" s="9"/>
      <c r="G34" s="9"/>
      <c r="H34" s="157">
        <f>A27taxvalue-Input!M33+(Input!G203-Input!G237)</f>
        <v>0</v>
      </c>
      <c r="I34" s="115">
        <f>H34+H66+H422</f>
        <v>0</v>
      </c>
      <c r="J34" s="115">
        <f>I34+I66+I422</f>
        <v>0</v>
      </c>
      <c r="K34" s="115">
        <f>J34+J66+J422</f>
        <v>0</v>
      </c>
      <c r="L34" s="115">
        <f>K34+K66+K422</f>
        <v>0</v>
      </c>
      <c r="M34" s="115">
        <f>L34+L66+L422</f>
        <v>0</v>
      </c>
      <c r="N34" s="115">
        <f>IF(COUNT($H34:M34)&gt;Input!$Y$7,0, M34+M66+M422)</f>
        <v>0</v>
      </c>
      <c r="O34" s="115">
        <f>IF(COUNT($H34:N34)&gt;Input!$Y$7,0, N34+N66+N422)</f>
        <v>0</v>
      </c>
      <c r="P34" s="115">
        <f>IF(COUNT($H34:O34)&gt;Input!$Y$7,0, O34+O66+O422)</f>
        <v>0</v>
      </c>
      <c r="Q34" s="115">
        <f>IF(COUNT($H34:P34)&gt;Input!$Y$7,0, P34+P66+P422)</f>
        <v>0</v>
      </c>
      <c r="R34" s="115">
        <f>IF(COUNT($H34:Q34)&gt;Input!$Y$7,0, Q34+Q66+Q422)</f>
        <v>0</v>
      </c>
      <c r="S34" s="110"/>
      <c r="T34" s="110"/>
      <c r="U34" s="110"/>
      <c r="V34" s="110"/>
      <c r="W34" s="110"/>
      <c r="X34" s="110"/>
      <c r="Y34" s="110"/>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row>
    <row r="35" spans="1:60" s="201" customFormat="1" outlineLevel="1">
      <c r="A35" s="9"/>
      <c r="B35" s="44"/>
      <c r="C35" s="271">
        <f>Asset28</f>
        <v>0</v>
      </c>
      <c r="D35" s="9"/>
      <c r="E35" s="9"/>
      <c r="F35" s="9"/>
      <c r="G35" s="9"/>
      <c r="H35" s="157">
        <f>A28taxvalue-Input!M34+(Input!G204-Input!G238)</f>
        <v>0</v>
      </c>
      <c r="I35" s="115">
        <f>H35+H67+H435</f>
        <v>0</v>
      </c>
      <c r="J35" s="115">
        <f>I35+I67+I435</f>
        <v>0</v>
      </c>
      <c r="K35" s="115">
        <f>J35+J67+J435</f>
        <v>0</v>
      </c>
      <c r="L35" s="115">
        <f>K35+K67+K435</f>
        <v>0</v>
      </c>
      <c r="M35" s="115">
        <f>L35+L67+L435</f>
        <v>0</v>
      </c>
      <c r="N35" s="115">
        <f>IF(COUNT($H35:M35)&gt;Input!$Y$7,0, M35+M67+M435)</f>
        <v>0</v>
      </c>
      <c r="O35" s="115">
        <f>IF(COUNT($H35:N35)&gt;Input!$Y$7,0, N35+N67+N435)</f>
        <v>0</v>
      </c>
      <c r="P35" s="115">
        <f>IF(COUNT($H35:O35)&gt;Input!$Y$7,0, O35+O67+O435)</f>
        <v>0</v>
      </c>
      <c r="Q35" s="115">
        <f>IF(COUNT($H35:P35)&gt;Input!$Y$7,0, P35+P67+P435)</f>
        <v>0</v>
      </c>
      <c r="R35" s="115">
        <f>IF(COUNT($H35:Q35)&gt;Input!$Y$7,0, Q35+Q67+Q435)</f>
        <v>0</v>
      </c>
      <c r="S35" s="110"/>
      <c r="T35" s="110"/>
      <c r="U35" s="110"/>
      <c r="V35" s="110"/>
      <c r="W35" s="110"/>
      <c r="X35" s="110"/>
      <c r="Y35" s="110"/>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row>
    <row r="36" spans="1:60" s="201" customFormat="1" outlineLevel="1">
      <c r="A36" s="9"/>
      <c r="B36" s="44"/>
      <c r="C36" s="271">
        <f>Asset29</f>
        <v>0</v>
      </c>
      <c r="D36" s="9"/>
      <c r="E36" s="9"/>
      <c r="F36" s="9"/>
      <c r="G36" s="9"/>
      <c r="H36" s="157">
        <f>A29taxvalue-Input!M35+(Input!G205-Input!G239)</f>
        <v>0</v>
      </c>
      <c r="I36" s="115">
        <f>H36+H68+H448</f>
        <v>0</v>
      </c>
      <c r="J36" s="115">
        <f>I36+I68+I448</f>
        <v>0</v>
      </c>
      <c r="K36" s="115">
        <f>J36+J68+J448</f>
        <v>0</v>
      </c>
      <c r="L36" s="115">
        <f>K36+K68+K448</f>
        <v>0</v>
      </c>
      <c r="M36" s="115">
        <f>L36+L68+L448</f>
        <v>0</v>
      </c>
      <c r="N36" s="115">
        <f>IF(COUNT($H36:M36)&gt;Input!$Y$7,0, M36+M68+M448)</f>
        <v>0</v>
      </c>
      <c r="O36" s="115">
        <f>IF(COUNT($H36:N36)&gt;Input!$Y$7,0, N36+N68+N448)</f>
        <v>0</v>
      </c>
      <c r="P36" s="115">
        <f>IF(COUNT($H36:O36)&gt;Input!$Y$7,0, O36+O68+O448)</f>
        <v>0</v>
      </c>
      <c r="Q36" s="115">
        <f>IF(COUNT($H36:P36)&gt;Input!$Y$7,0, P36+P68+P448)</f>
        <v>0</v>
      </c>
      <c r="R36" s="115">
        <f>IF(COUNT($H36:Q36)&gt;Input!$Y$7,0, Q36+Q68+Q448)</f>
        <v>0</v>
      </c>
      <c r="S36" s="110"/>
      <c r="T36" s="110"/>
      <c r="U36" s="110"/>
      <c r="V36" s="110"/>
      <c r="W36" s="110"/>
      <c r="X36" s="110"/>
      <c r="Y36" s="110"/>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row>
    <row r="37" spans="1:60" s="201" customFormat="1" outlineLevel="1">
      <c r="A37" s="9"/>
      <c r="B37" s="44"/>
      <c r="C37" s="271">
        <f>Asset30</f>
        <v>0</v>
      </c>
      <c r="D37" s="9"/>
      <c r="E37" s="9"/>
      <c r="F37" s="9"/>
      <c r="G37" s="9"/>
      <c r="H37" s="157">
        <f>A30taxvalue-Input!M36+(Input!G206-Input!G240)</f>
        <v>0</v>
      </c>
      <c r="I37" s="115">
        <f>H37+H69+H461</f>
        <v>0</v>
      </c>
      <c r="J37" s="115">
        <f>I37+I69+I461</f>
        <v>0</v>
      </c>
      <c r="K37" s="115">
        <f>J37+J69+J461</f>
        <v>0</v>
      </c>
      <c r="L37" s="115">
        <f>K37+K69+K461</f>
        <v>0</v>
      </c>
      <c r="M37" s="115">
        <f>L37+L69+L461</f>
        <v>0</v>
      </c>
      <c r="N37" s="115">
        <f>IF(COUNT($H37:M37)&gt;Input!$Y$7,0, M37+M69+M461)</f>
        <v>0</v>
      </c>
      <c r="O37" s="115">
        <f>IF(COUNT($H37:N37)&gt;Input!$Y$7,0, N37+N69+N461)</f>
        <v>0</v>
      </c>
      <c r="P37" s="115">
        <f>IF(COUNT($H37:O37)&gt;Input!$Y$7,0, O37+O69+O461)</f>
        <v>0</v>
      </c>
      <c r="Q37" s="115">
        <f>IF(COUNT($H37:P37)&gt;Input!$Y$7,0, P37+P69+P461)</f>
        <v>0</v>
      </c>
      <c r="R37" s="115">
        <f>IF(COUNT($H37:Q37)&gt;Input!$Y$7,0, Q37+Q69+Q461)</f>
        <v>0</v>
      </c>
      <c r="S37" s="110"/>
      <c r="T37" s="110"/>
      <c r="U37" s="110"/>
      <c r="V37" s="110"/>
      <c r="W37" s="110"/>
      <c r="X37" s="110"/>
      <c r="Y37" s="110"/>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row>
    <row r="38" spans="1:60" s="201" customFormat="1">
      <c r="A38" s="12"/>
      <c r="B38" s="17"/>
      <c r="C38" s="12"/>
      <c r="D38" s="12"/>
      <c r="E38" s="12"/>
      <c r="F38" s="118"/>
      <c r="G38" s="118"/>
      <c r="H38" s="110"/>
      <c r="I38" s="110"/>
      <c r="J38" s="110"/>
      <c r="K38" s="110"/>
      <c r="L38" s="110"/>
      <c r="M38" s="110"/>
      <c r="N38" s="110"/>
      <c r="O38" s="110"/>
      <c r="P38" s="110"/>
      <c r="Q38" s="110"/>
      <c r="R38" s="110"/>
      <c r="S38" s="110"/>
      <c r="T38" s="110"/>
      <c r="U38" s="110"/>
      <c r="V38" s="110"/>
      <c r="W38" s="110"/>
      <c r="X38" s="110"/>
      <c r="Y38" s="110"/>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row>
    <row r="39" spans="1:60" s="201" customFormat="1">
      <c r="A39" s="12"/>
      <c r="B39" s="44" t="s">
        <v>44</v>
      </c>
      <c r="C39" s="9"/>
      <c r="D39" s="12"/>
      <c r="E39" s="12"/>
      <c r="F39" s="118"/>
      <c r="G39" s="118"/>
      <c r="H39" s="110">
        <f>SUM(H40:H69)</f>
        <v>290.72550801777624</v>
      </c>
      <c r="I39" s="110">
        <f>SUM(I40:I69)</f>
        <v>328.24688689452387</v>
      </c>
      <c r="J39" s="110">
        <f t="shared" ref="J39:Q39" si="2">SUM(J40:J69)</f>
        <v>385.63435576375247</v>
      </c>
      <c r="K39" s="110">
        <f t="shared" si="2"/>
        <v>427.68553006916687</v>
      </c>
      <c r="L39" s="110">
        <f>SUM(L40:L69)</f>
        <v>386.20813824471361</v>
      </c>
      <c r="M39" s="110">
        <f t="shared" si="2"/>
        <v>0</v>
      </c>
      <c r="N39" s="110">
        <f t="shared" si="2"/>
        <v>0</v>
      </c>
      <c r="O39" s="110">
        <f t="shared" si="2"/>
        <v>0</v>
      </c>
      <c r="P39" s="110">
        <f t="shared" si="2"/>
        <v>0</v>
      </c>
      <c r="Q39" s="110">
        <f t="shared" si="2"/>
        <v>0</v>
      </c>
      <c r="R39" s="110"/>
      <c r="S39" s="110"/>
      <c r="T39" s="110"/>
      <c r="U39" s="110"/>
      <c r="V39" s="110"/>
      <c r="W39" s="110"/>
      <c r="X39" s="110"/>
      <c r="Y39" s="110"/>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row>
    <row r="40" spans="1:60" s="201" customFormat="1" ht="12.75" hidden="1" customHeight="1" outlineLevel="1">
      <c r="A40" s="12"/>
      <c r="B40" s="9"/>
      <c r="C40" s="271" t="str">
        <f>Asset1</f>
        <v>Subtransmission</v>
      </c>
      <c r="D40" s="12"/>
      <c r="E40" s="12"/>
      <c r="F40" s="118"/>
      <c r="G40" s="118"/>
      <c r="H40" s="110">
        <f>Input!H177-Input!H211</f>
        <v>22.221416972009369</v>
      </c>
      <c r="I40" s="110">
        <f>Input!I177-Input!I211</f>
        <v>44.068269104737396</v>
      </c>
      <c r="J40" s="110">
        <f>Input!J177-Input!J211</f>
        <v>63.80349995248401</v>
      </c>
      <c r="K40" s="110">
        <f>Input!K177-Input!K211</f>
        <v>63.116820701394637</v>
      </c>
      <c r="L40" s="110">
        <f>Input!L177-Input!L211</f>
        <v>62.912230066234429</v>
      </c>
      <c r="M40" s="110">
        <f>Input!M177-Input!M211</f>
        <v>0</v>
      </c>
      <c r="N40" s="110">
        <f>Input!N177-Input!N211</f>
        <v>0</v>
      </c>
      <c r="O40" s="110">
        <f>Input!O177-Input!O211</f>
        <v>0</v>
      </c>
      <c r="P40" s="110">
        <f>Input!P177-Input!P211</f>
        <v>0</v>
      </c>
      <c r="Q40" s="110">
        <f>Input!Q177-Input!Q211</f>
        <v>0</v>
      </c>
      <c r="R40" s="110"/>
      <c r="S40" s="110"/>
      <c r="T40" s="110"/>
      <c r="U40" s="110"/>
      <c r="V40" s="110"/>
      <c r="W40" s="110"/>
      <c r="X40" s="110"/>
      <c r="Y40" s="110"/>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row>
    <row r="41" spans="1:60" s="201" customFormat="1" ht="12.75" hidden="1" customHeight="1" outlineLevel="1">
      <c r="A41" s="12"/>
      <c r="B41" s="44"/>
      <c r="C41" s="271" t="str">
        <f>Asset2</f>
        <v>Distribution system assets</v>
      </c>
      <c r="D41" s="12"/>
      <c r="E41" s="12"/>
      <c r="F41" s="118"/>
      <c r="G41" s="118"/>
      <c r="H41" s="110">
        <f>Input!H178-Input!H212</f>
        <v>214.21892081260307</v>
      </c>
      <c r="I41" s="110">
        <f>Input!I178-Input!I212</f>
        <v>229.0560217353418</v>
      </c>
      <c r="J41" s="110">
        <f>Input!J178-Input!J212</f>
        <v>264.20522451001659</v>
      </c>
      <c r="K41" s="110">
        <f>Input!K178-Input!K212</f>
        <v>326.39358925165811</v>
      </c>
      <c r="L41" s="110">
        <f>Input!L178-Input!L212</f>
        <v>298.49074553462151</v>
      </c>
      <c r="M41" s="110">
        <f>Input!M178-Input!M212</f>
        <v>0</v>
      </c>
      <c r="N41" s="110">
        <f>Input!N178-Input!N212</f>
        <v>0</v>
      </c>
      <c r="O41" s="110">
        <f>Input!O178-Input!O212</f>
        <v>0</v>
      </c>
      <c r="P41" s="110">
        <f>Input!P178-Input!P212</f>
        <v>0</v>
      </c>
      <c r="Q41" s="110">
        <f>Input!Q178-Input!Q212</f>
        <v>0</v>
      </c>
      <c r="R41" s="110"/>
      <c r="S41" s="110"/>
      <c r="T41" s="110"/>
      <c r="U41" s="110"/>
      <c r="V41" s="110"/>
      <c r="W41" s="110"/>
      <c r="X41" s="110"/>
      <c r="Y41" s="110"/>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row>
    <row r="42" spans="1:60" s="201" customFormat="1" ht="12.75" hidden="1" customHeight="1" outlineLevel="1">
      <c r="A42" s="12"/>
      <c r="B42" s="44"/>
      <c r="C42" s="271" t="str">
        <f>Asset3</f>
        <v>Standard metering</v>
      </c>
      <c r="D42" s="12"/>
      <c r="E42" s="12"/>
      <c r="F42" s="118"/>
      <c r="G42" s="118"/>
      <c r="H42" s="110">
        <f>Input!H179-Input!H213</f>
        <v>0</v>
      </c>
      <c r="I42" s="110">
        <f>Input!I179-Input!I213</f>
        <v>0</v>
      </c>
      <c r="J42" s="110">
        <f>Input!J179-Input!J213</f>
        <v>0</v>
      </c>
      <c r="K42" s="110">
        <f>Input!K179-Input!K213</f>
        <v>0</v>
      </c>
      <c r="L42" s="110">
        <f>Input!L179-Input!L213</f>
        <v>0</v>
      </c>
      <c r="M42" s="110">
        <f>Input!M179-Input!M213</f>
        <v>0</v>
      </c>
      <c r="N42" s="110">
        <f>Input!N179-Input!N213</f>
        <v>0</v>
      </c>
      <c r="O42" s="110">
        <f>Input!O179-Input!O213</f>
        <v>0</v>
      </c>
      <c r="P42" s="110">
        <f>Input!P179-Input!P213</f>
        <v>0</v>
      </c>
      <c r="Q42" s="110">
        <f>Input!Q179-Input!Q213</f>
        <v>0</v>
      </c>
      <c r="R42" s="110"/>
      <c r="S42" s="110"/>
      <c r="T42" s="110"/>
      <c r="U42" s="110"/>
      <c r="V42" s="110"/>
      <c r="W42" s="110"/>
      <c r="X42" s="110"/>
      <c r="Y42" s="110"/>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row>
    <row r="43" spans="1:60" s="201" customFormat="1" ht="12.75" hidden="1" customHeight="1" outlineLevel="1">
      <c r="A43" s="12"/>
      <c r="B43" s="44"/>
      <c r="C43" s="271" t="str">
        <f>Asset4</f>
        <v>Public lighting</v>
      </c>
      <c r="D43" s="12"/>
      <c r="E43" s="12"/>
      <c r="F43" s="118"/>
      <c r="G43" s="118"/>
      <c r="H43" s="110">
        <f>Input!H180-Input!H214</f>
        <v>0</v>
      </c>
      <c r="I43" s="110">
        <f>Input!I180-Input!I214</f>
        <v>0</v>
      </c>
      <c r="J43" s="110">
        <f>Input!J180-Input!J214</f>
        <v>0</v>
      </c>
      <c r="K43" s="110">
        <f>Input!K180-Input!K214</f>
        <v>0</v>
      </c>
      <c r="L43" s="110">
        <f>Input!L180-Input!L214</f>
        <v>0</v>
      </c>
      <c r="M43" s="110">
        <f>Input!M180-Input!M214</f>
        <v>0</v>
      </c>
      <c r="N43" s="110">
        <f>Input!N180-Input!N214</f>
        <v>0</v>
      </c>
      <c r="O43" s="110">
        <f>Input!O180-Input!O214</f>
        <v>0</v>
      </c>
      <c r="P43" s="110">
        <f>Input!P180-Input!P214</f>
        <v>0</v>
      </c>
      <c r="Q43" s="110">
        <f>Input!Q180-Input!Q214</f>
        <v>0</v>
      </c>
      <c r="R43" s="110"/>
      <c r="S43" s="110"/>
      <c r="T43" s="110"/>
      <c r="U43" s="110"/>
      <c r="V43" s="110"/>
      <c r="W43" s="110"/>
      <c r="X43" s="110"/>
      <c r="Y43" s="110"/>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row>
    <row r="44" spans="1:60" s="201" customFormat="1" ht="12.75" hidden="1" customHeight="1" outlineLevel="1">
      <c r="A44" s="12"/>
      <c r="B44" s="44"/>
      <c r="C44" s="271" t="str">
        <f>Asset5</f>
        <v>SCADA/Network control</v>
      </c>
      <c r="D44" s="12"/>
      <c r="E44" s="12"/>
      <c r="F44" s="118"/>
      <c r="G44" s="118"/>
      <c r="H44" s="110">
        <f>Input!H181-Input!H215</f>
        <v>1.2689451272140742</v>
      </c>
      <c r="I44" s="110">
        <f>Input!I181-Input!I215</f>
        <v>5.9134930672221477</v>
      </c>
      <c r="J44" s="110">
        <f>Input!J181-Input!J215</f>
        <v>1.9250731948508306</v>
      </c>
      <c r="K44" s="110">
        <f>Input!K181-Input!K215</f>
        <v>0.73591031805575635</v>
      </c>
      <c r="L44" s="110">
        <f>Input!L181-Input!L215</f>
        <v>2.9134612419346908</v>
      </c>
      <c r="M44" s="110">
        <f>Input!M181-Input!M215</f>
        <v>0</v>
      </c>
      <c r="N44" s="110">
        <f>Input!N181-Input!N215</f>
        <v>0</v>
      </c>
      <c r="O44" s="110">
        <f>Input!O181-Input!O215</f>
        <v>0</v>
      </c>
      <c r="P44" s="110">
        <f>Input!P181-Input!P215</f>
        <v>0</v>
      </c>
      <c r="Q44" s="110">
        <f>Input!Q181-Input!Q215</f>
        <v>0</v>
      </c>
      <c r="R44" s="110"/>
      <c r="S44" s="110"/>
      <c r="T44" s="110"/>
      <c r="U44" s="110"/>
      <c r="V44" s="110"/>
      <c r="W44" s="110"/>
      <c r="X44" s="110"/>
      <c r="Y44" s="110"/>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row>
    <row r="45" spans="1:60" s="201" customFormat="1" ht="12.75" hidden="1" customHeight="1" outlineLevel="1">
      <c r="A45" s="12"/>
      <c r="B45" s="44"/>
      <c r="C45" s="271" t="str">
        <f>Asset6</f>
        <v>Non-network general assets - IT</v>
      </c>
      <c r="D45" s="12"/>
      <c r="E45" s="12"/>
      <c r="F45" s="118"/>
      <c r="G45" s="118"/>
      <c r="H45" s="110">
        <f>Input!H182-Input!H216</f>
        <v>46.619225442675479</v>
      </c>
      <c r="I45" s="110">
        <f>Input!I182-Input!I216</f>
        <v>45.516156927547812</v>
      </c>
      <c r="J45" s="110">
        <f>Input!J182-Input!J216</f>
        <v>50.208650819470257</v>
      </c>
      <c r="K45" s="110">
        <f>Input!K182-Input!K216</f>
        <v>33.026078626827349</v>
      </c>
      <c r="L45" s="110">
        <f>Input!L182-Input!L216</f>
        <v>19.477343763613511</v>
      </c>
      <c r="M45" s="110">
        <f>Input!M182-Input!M216</f>
        <v>0</v>
      </c>
      <c r="N45" s="110">
        <f>Input!N182-Input!N216</f>
        <v>0</v>
      </c>
      <c r="O45" s="110">
        <f>Input!O182-Input!O216</f>
        <v>0</v>
      </c>
      <c r="P45" s="110">
        <f>Input!P182-Input!P216</f>
        <v>0</v>
      </c>
      <c r="Q45" s="110">
        <f>Input!Q182-Input!Q216</f>
        <v>0</v>
      </c>
      <c r="R45" s="110"/>
      <c r="S45" s="110"/>
      <c r="T45" s="110"/>
      <c r="U45" s="110"/>
      <c r="V45" s="110"/>
      <c r="W45" s="110"/>
      <c r="X45" s="110"/>
      <c r="Y45" s="110"/>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row>
    <row r="46" spans="1:60" s="201" customFormat="1" ht="12.75" hidden="1" customHeight="1" outlineLevel="1">
      <c r="A46" s="12"/>
      <c r="B46" s="44"/>
      <c r="C46" s="271" t="str">
        <f>Asset7</f>
        <v>Non-network general assets - Other</v>
      </c>
      <c r="D46" s="12"/>
      <c r="E46" s="12"/>
      <c r="F46" s="118"/>
      <c r="G46" s="118"/>
      <c r="H46" s="110">
        <f>Input!H183-Input!H217</f>
        <v>4.9138847449548289</v>
      </c>
      <c r="I46" s="110">
        <f>Input!I183-Input!I217</f>
        <v>3.6929460596747674</v>
      </c>
      <c r="J46" s="110">
        <f>Input!J183-Input!J217</f>
        <v>5.4919072869307586</v>
      </c>
      <c r="K46" s="110">
        <f>Input!K183-Input!K217</f>
        <v>4.413131171231</v>
      </c>
      <c r="L46" s="110">
        <f>Input!L183-Input!L217</f>
        <v>2.4143576383094745</v>
      </c>
      <c r="M46" s="110">
        <f>Input!M183-Input!M217</f>
        <v>0</v>
      </c>
      <c r="N46" s="110">
        <f>Input!N183-Input!N217</f>
        <v>0</v>
      </c>
      <c r="O46" s="110">
        <f>Input!O183-Input!O217</f>
        <v>0</v>
      </c>
      <c r="P46" s="110">
        <f>Input!P183-Input!P217</f>
        <v>0</v>
      </c>
      <c r="Q46" s="110">
        <f>Input!Q183-Input!Q217</f>
        <v>0</v>
      </c>
      <c r="R46" s="110"/>
      <c r="S46" s="110"/>
      <c r="T46" s="110"/>
      <c r="U46" s="110"/>
      <c r="V46" s="110"/>
      <c r="W46" s="110"/>
      <c r="X46" s="110"/>
      <c r="Y46" s="110"/>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row>
    <row r="47" spans="1:60" s="201" customFormat="1" ht="12.75" hidden="1" customHeight="1" outlineLevel="1">
      <c r="A47" s="12"/>
      <c r="B47" s="44"/>
      <c r="C47" s="271" t="str">
        <f>Asset8</f>
        <v>Equity Raising Costs</v>
      </c>
      <c r="D47" s="12"/>
      <c r="E47" s="12"/>
      <c r="F47" s="118"/>
      <c r="G47" s="118"/>
      <c r="H47" s="110">
        <f>Input!H184-Input!H218</f>
        <v>1.4831149183194219</v>
      </c>
      <c r="I47" s="110">
        <f>Input!I184-Input!I218</f>
        <v>0</v>
      </c>
      <c r="J47" s="110">
        <f>Input!J184-Input!J218</f>
        <v>0</v>
      </c>
      <c r="K47" s="110">
        <f>Input!K184-Input!K218</f>
        <v>0</v>
      </c>
      <c r="L47" s="110">
        <f>Input!L184-Input!L218</f>
        <v>0</v>
      </c>
      <c r="M47" s="110">
        <f>Input!M184-Input!M218</f>
        <v>0</v>
      </c>
      <c r="N47" s="110">
        <f>Input!N184-Input!N218</f>
        <v>0</v>
      </c>
      <c r="O47" s="110">
        <f>Input!O184-Input!O218</f>
        <v>0</v>
      </c>
      <c r="P47" s="110">
        <f>Input!P184-Input!P218</f>
        <v>0</v>
      </c>
      <c r="Q47" s="110">
        <f>Input!Q184-Input!Q218</f>
        <v>0</v>
      </c>
      <c r="R47" s="110"/>
      <c r="S47" s="110"/>
      <c r="T47" s="110"/>
      <c r="U47" s="110"/>
      <c r="V47" s="110"/>
      <c r="W47" s="110"/>
      <c r="X47" s="110"/>
      <c r="Y47" s="110"/>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row>
    <row r="48" spans="1:60" s="201" customFormat="1" ht="12.75" hidden="1" customHeight="1" outlineLevel="1">
      <c r="A48" s="12"/>
      <c r="B48" s="44"/>
      <c r="C48" s="271">
        <f>Asset9</f>
        <v>0</v>
      </c>
      <c r="D48" s="12"/>
      <c r="E48" s="12"/>
      <c r="F48" s="118"/>
      <c r="G48" s="118"/>
      <c r="H48" s="110">
        <f>Input!H185-Input!H219</f>
        <v>0</v>
      </c>
      <c r="I48" s="110">
        <f>Input!I185-Input!I219</f>
        <v>0</v>
      </c>
      <c r="J48" s="110">
        <f>Input!J185-Input!J219</f>
        <v>0</v>
      </c>
      <c r="K48" s="110">
        <f>Input!K185-Input!K219</f>
        <v>0</v>
      </c>
      <c r="L48" s="110">
        <f>Input!L185-Input!L219</f>
        <v>0</v>
      </c>
      <c r="M48" s="110">
        <f>Input!M185-Input!M219</f>
        <v>0</v>
      </c>
      <c r="N48" s="110">
        <f>Input!N185-Input!N219</f>
        <v>0</v>
      </c>
      <c r="O48" s="110">
        <f>Input!O185-Input!O219</f>
        <v>0</v>
      </c>
      <c r="P48" s="110">
        <f>Input!P185-Input!P219</f>
        <v>0</v>
      </c>
      <c r="Q48" s="110">
        <f>Input!Q185-Input!Q219</f>
        <v>0</v>
      </c>
      <c r="R48" s="110"/>
      <c r="S48" s="110"/>
      <c r="T48" s="110"/>
      <c r="U48" s="110"/>
      <c r="V48" s="110"/>
      <c r="W48" s="110"/>
      <c r="X48" s="110"/>
      <c r="Y48" s="110"/>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row>
    <row r="49" spans="1:60" s="201" customFormat="1" ht="12.75" hidden="1" customHeight="1" outlineLevel="1">
      <c r="A49" s="12"/>
      <c r="B49" s="44"/>
      <c r="C49" s="271">
        <f>Asset10</f>
        <v>0</v>
      </c>
      <c r="D49" s="12"/>
      <c r="E49" s="12"/>
      <c r="F49" s="118"/>
      <c r="G49" s="118"/>
      <c r="H49" s="110">
        <f>Input!H186-Input!H220</f>
        <v>0</v>
      </c>
      <c r="I49" s="110">
        <f>Input!I186-Input!I220</f>
        <v>0</v>
      </c>
      <c r="J49" s="110">
        <f>Input!J186-Input!J220</f>
        <v>0</v>
      </c>
      <c r="K49" s="110">
        <f>Input!K186-Input!K220</f>
        <v>0</v>
      </c>
      <c r="L49" s="110">
        <f>Input!L186-Input!L220</f>
        <v>0</v>
      </c>
      <c r="M49" s="110">
        <f>Input!M186-Input!M220</f>
        <v>0</v>
      </c>
      <c r="N49" s="110">
        <f>Input!N186-Input!N220</f>
        <v>0</v>
      </c>
      <c r="O49" s="110">
        <f>Input!O186-Input!O220</f>
        <v>0</v>
      </c>
      <c r="P49" s="110">
        <f>Input!P186-Input!P220</f>
        <v>0</v>
      </c>
      <c r="Q49" s="110">
        <f>Input!Q186-Input!Q220</f>
        <v>0</v>
      </c>
      <c r="R49" s="110"/>
      <c r="S49" s="110"/>
      <c r="T49" s="110"/>
      <c r="U49" s="110"/>
      <c r="V49" s="110"/>
      <c r="W49" s="110"/>
      <c r="X49" s="110"/>
      <c r="Y49" s="110"/>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row>
    <row r="50" spans="1:60" s="201" customFormat="1" ht="12.75" hidden="1" customHeight="1" outlineLevel="1">
      <c r="A50" s="12"/>
      <c r="B50" s="44"/>
      <c r="C50" s="271">
        <f>Asset11</f>
        <v>0</v>
      </c>
      <c r="D50" s="12"/>
      <c r="E50" s="12"/>
      <c r="F50" s="118"/>
      <c r="G50" s="118"/>
      <c r="H50" s="110">
        <f>Input!H187-Input!H221</f>
        <v>0</v>
      </c>
      <c r="I50" s="110">
        <f>Input!I187-Input!I221</f>
        <v>0</v>
      </c>
      <c r="J50" s="110">
        <f>Input!J187-Input!J221</f>
        <v>0</v>
      </c>
      <c r="K50" s="110">
        <f>Input!K187-Input!K221</f>
        <v>0</v>
      </c>
      <c r="L50" s="110">
        <f>Input!L187-Input!L221</f>
        <v>0</v>
      </c>
      <c r="M50" s="110">
        <f>Input!M187-Input!M221</f>
        <v>0</v>
      </c>
      <c r="N50" s="110">
        <f>Input!N187-Input!N221</f>
        <v>0</v>
      </c>
      <c r="O50" s="110">
        <f>Input!O187-Input!O221</f>
        <v>0</v>
      </c>
      <c r="P50" s="110">
        <f>Input!P187-Input!P221</f>
        <v>0</v>
      </c>
      <c r="Q50" s="110">
        <f>Input!Q187-Input!Q221</f>
        <v>0</v>
      </c>
      <c r="R50" s="110"/>
      <c r="S50" s="110"/>
      <c r="T50" s="110"/>
      <c r="U50" s="110"/>
      <c r="V50" s="110"/>
      <c r="W50" s="110"/>
      <c r="X50" s="110"/>
      <c r="Y50" s="110"/>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row>
    <row r="51" spans="1:60" s="201" customFormat="1" ht="12.75" hidden="1" customHeight="1" outlineLevel="1">
      <c r="A51" s="12"/>
      <c r="B51" s="44"/>
      <c r="C51" s="271">
        <f>Asset12</f>
        <v>0</v>
      </c>
      <c r="D51" s="12"/>
      <c r="E51" s="12"/>
      <c r="F51" s="118"/>
      <c r="G51" s="118"/>
      <c r="H51" s="110">
        <f>Input!H188-Input!H222</f>
        <v>0</v>
      </c>
      <c r="I51" s="110">
        <f>Input!I188-Input!I222</f>
        <v>0</v>
      </c>
      <c r="J51" s="110">
        <f>Input!J188-Input!J222</f>
        <v>0</v>
      </c>
      <c r="K51" s="110">
        <f>Input!K188-Input!K222</f>
        <v>0</v>
      </c>
      <c r="L51" s="110">
        <f>Input!L188-Input!L222</f>
        <v>0</v>
      </c>
      <c r="M51" s="110">
        <f>Input!M188-Input!M222</f>
        <v>0</v>
      </c>
      <c r="N51" s="110">
        <f>Input!N188-Input!N222</f>
        <v>0</v>
      </c>
      <c r="O51" s="110">
        <f>Input!O188-Input!O222</f>
        <v>0</v>
      </c>
      <c r="P51" s="110">
        <f>Input!P188-Input!P222</f>
        <v>0</v>
      </c>
      <c r="Q51" s="110">
        <f>Input!Q188-Input!Q222</f>
        <v>0</v>
      </c>
      <c r="R51" s="110"/>
      <c r="S51" s="110"/>
      <c r="T51" s="110"/>
      <c r="U51" s="110"/>
      <c r="V51" s="110"/>
      <c r="W51" s="110"/>
      <c r="X51" s="110"/>
      <c r="Y51" s="110"/>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row>
    <row r="52" spans="1:60" s="201" customFormat="1" ht="12.75" hidden="1" customHeight="1" outlineLevel="1">
      <c r="A52" s="12"/>
      <c r="B52" s="44"/>
      <c r="C52" s="271">
        <f>Asset13</f>
        <v>0</v>
      </c>
      <c r="D52" s="12"/>
      <c r="E52" s="12"/>
      <c r="F52" s="118"/>
      <c r="G52" s="118"/>
      <c r="H52" s="110">
        <f>Input!H189-Input!H223</f>
        <v>0</v>
      </c>
      <c r="I52" s="110">
        <f>Input!I189-Input!I223</f>
        <v>0</v>
      </c>
      <c r="J52" s="110">
        <f>Input!J189-Input!J223</f>
        <v>0</v>
      </c>
      <c r="K52" s="110">
        <f>Input!K189-Input!K223</f>
        <v>0</v>
      </c>
      <c r="L52" s="110">
        <f>Input!L189-Input!L223</f>
        <v>0</v>
      </c>
      <c r="M52" s="110">
        <f>Input!M189-Input!M223</f>
        <v>0</v>
      </c>
      <c r="N52" s="110">
        <f>Input!N189-Input!N223</f>
        <v>0</v>
      </c>
      <c r="O52" s="110">
        <f>Input!O189-Input!O223</f>
        <v>0</v>
      </c>
      <c r="P52" s="110">
        <f>Input!P189-Input!P223</f>
        <v>0</v>
      </c>
      <c r="Q52" s="110">
        <f>Input!Q189-Input!Q223</f>
        <v>0</v>
      </c>
      <c r="R52" s="110"/>
      <c r="S52" s="110"/>
      <c r="T52" s="110"/>
      <c r="U52" s="110"/>
      <c r="V52" s="110"/>
      <c r="W52" s="110"/>
      <c r="X52" s="110"/>
      <c r="Y52" s="110"/>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row>
    <row r="53" spans="1:60" s="201" customFormat="1" ht="12.75" hidden="1" customHeight="1" outlineLevel="1">
      <c r="A53" s="12"/>
      <c r="B53" s="44"/>
      <c r="C53" s="271">
        <f>Asset14</f>
        <v>0</v>
      </c>
      <c r="D53" s="12"/>
      <c r="E53" s="12"/>
      <c r="F53" s="118"/>
      <c r="G53" s="118"/>
      <c r="H53" s="110">
        <f>Input!H190-Input!H224</f>
        <v>0</v>
      </c>
      <c r="I53" s="110">
        <f>Input!I190-Input!I224</f>
        <v>0</v>
      </c>
      <c r="J53" s="110">
        <f>Input!J190-Input!J224</f>
        <v>0</v>
      </c>
      <c r="K53" s="110">
        <f>Input!K190-Input!K224</f>
        <v>0</v>
      </c>
      <c r="L53" s="110">
        <f>Input!L190-Input!L224</f>
        <v>0</v>
      </c>
      <c r="M53" s="110">
        <f>Input!M190-Input!M224</f>
        <v>0</v>
      </c>
      <c r="N53" s="110">
        <f>Input!N190-Input!N224</f>
        <v>0</v>
      </c>
      <c r="O53" s="110">
        <f>Input!O190-Input!O224</f>
        <v>0</v>
      </c>
      <c r="P53" s="110">
        <f>Input!P190-Input!P224</f>
        <v>0</v>
      </c>
      <c r="Q53" s="110">
        <f>Input!Q190-Input!Q224</f>
        <v>0</v>
      </c>
      <c r="R53" s="110"/>
      <c r="S53" s="110"/>
      <c r="T53" s="110"/>
      <c r="U53" s="110"/>
      <c r="V53" s="110"/>
      <c r="W53" s="110"/>
      <c r="X53" s="110"/>
      <c r="Y53" s="110"/>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row>
    <row r="54" spans="1:60" s="201" customFormat="1" ht="12.75" hidden="1" customHeight="1" outlineLevel="1">
      <c r="A54" s="12"/>
      <c r="B54" s="44"/>
      <c r="C54" s="271">
        <f>Asset15</f>
        <v>0</v>
      </c>
      <c r="D54" s="12"/>
      <c r="E54" s="12"/>
      <c r="F54" s="118"/>
      <c r="G54" s="118"/>
      <c r="H54" s="110">
        <f>Input!H191-Input!H225</f>
        <v>0</v>
      </c>
      <c r="I54" s="110">
        <f>Input!I191-Input!I225</f>
        <v>0</v>
      </c>
      <c r="J54" s="110">
        <f>Input!J191-Input!J225</f>
        <v>0</v>
      </c>
      <c r="K54" s="110">
        <f>Input!K191-Input!K225</f>
        <v>0</v>
      </c>
      <c r="L54" s="110">
        <f>Input!L191-Input!L225</f>
        <v>0</v>
      </c>
      <c r="M54" s="110">
        <f>Input!M191-Input!M225</f>
        <v>0</v>
      </c>
      <c r="N54" s="110">
        <f>Input!N191-Input!N225</f>
        <v>0</v>
      </c>
      <c r="O54" s="110">
        <f>Input!O191-Input!O225</f>
        <v>0</v>
      </c>
      <c r="P54" s="110">
        <f>Input!P191-Input!P225</f>
        <v>0</v>
      </c>
      <c r="Q54" s="110">
        <f>Input!Q191-Input!Q225</f>
        <v>0</v>
      </c>
      <c r="R54" s="110"/>
      <c r="S54" s="110"/>
      <c r="T54" s="110"/>
      <c r="U54" s="110"/>
      <c r="V54" s="110"/>
      <c r="W54" s="110"/>
      <c r="X54" s="110"/>
      <c r="Y54" s="110"/>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row>
    <row r="55" spans="1:60" s="201" customFormat="1" ht="12.75" hidden="1" customHeight="1" outlineLevel="1">
      <c r="A55" s="12"/>
      <c r="B55" s="44"/>
      <c r="C55" s="271">
        <f>Asset16</f>
        <v>0</v>
      </c>
      <c r="D55" s="12"/>
      <c r="E55" s="12"/>
      <c r="F55" s="118"/>
      <c r="G55" s="118"/>
      <c r="H55" s="110">
        <f>Input!H192-Input!H226</f>
        <v>0</v>
      </c>
      <c r="I55" s="110">
        <f>Input!I192-Input!I226</f>
        <v>0</v>
      </c>
      <c r="J55" s="110">
        <f>Input!J192-Input!J226</f>
        <v>0</v>
      </c>
      <c r="K55" s="110">
        <f>Input!K192-Input!K226</f>
        <v>0</v>
      </c>
      <c r="L55" s="110">
        <f>Input!L192-Input!L226</f>
        <v>0</v>
      </c>
      <c r="M55" s="110">
        <f>Input!M192-Input!M226</f>
        <v>0</v>
      </c>
      <c r="N55" s="110">
        <f>Input!N192-Input!N226</f>
        <v>0</v>
      </c>
      <c r="O55" s="110">
        <f>Input!O192-Input!O226</f>
        <v>0</v>
      </c>
      <c r="P55" s="110">
        <f>Input!P192-Input!P226</f>
        <v>0</v>
      </c>
      <c r="Q55" s="110">
        <f>Input!Q192-Input!Q226</f>
        <v>0</v>
      </c>
      <c r="R55" s="110"/>
      <c r="S55" s="110"/>
      <c r="T55" s="110"/>
      <c r="U55" s="110"/>
      <c r="V55" s="110"/>
      <c r="W55" s="110"/>
      <c r="X55" s="110"/>
      <c r="Y55" s="110"/>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row>
    <row r="56" spans="1:60" s="201" customFormat="1" ht="12.75" hidden="1" customHeight="1" outlineLevel="1">
      <c r="A56" s="12"/>
      <c r="B56" s="44"/>
      <c r="C56" s="271">
        <f>Asset17</f>
        <v>0</v>
      </c>
      <c r="D56" s="12"/>
      <c r="E56" s="12"/>
      <c r="F56" s="118"/>
      <c r="G56" s="118"/>
      <c r="H56" s="110">
        <f>Input!H193-Input!H227</f>
        <v>0</v>
      </c>
      <c r="I56" s="110">
        <f>Input!I193-Input!I227</f>
        <v>0</v>
      </c>
      <c r="J56" s="110">
        <f>Input!J193-Input!J227</f>
        <v>0</v>
      </c>
      <c r="K56" s="110">
        <f>Input!K193-Input!K227</f>
        <v>0</v>
      </c>
      <c r="L56" s="110">
        <f>Input!L193-Input!L227</f>
        <v>0</v>
      </c>
      <c r="M56" s="110">
        <f>Input!M193-Input!M227</f>
        <v>0</v>
      </c>
      <c r="N56" s="110">
        <f>Input!N193-Input!N227</f>
        <v>0</v>
      </c>
      <c r="O56" s="110">
        <f>Input!O193-Input!O227</f>
        <v>0</v>
      </c>
      <c r="P56" s="110">
        <f>Input!P193-Input!P227</f>
        <v>0</v>
      </c>
      <c r="Q56" s="110">
        <f>Input!Q193-Input!Q227</f>
        <v>0</v>
      </c>
      <c r="R56" s="110"/>
      <c r="S56" s="110"/>
      <c r="T56" s="110"/>
      <c r="U56" s="110"/>
      <c r="V56" s="110"/>
      <c r="W56" s="110"/>
      <c r="X56" s="110"/>
      <c r="Y56" s="110"/>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row>
    <row r="57" spans="1:60" s="201" customFormat="1" ht="12.75" hidden="1" customHeight="1" outlineLevel="1">
      <c r="A57" s="12"/>
      <c r="B57" s="44"/>
      <c r="C57" s="271">
        <f>Asset18</f>
        <v>0</v>
      </c>
      <c r="D57" s="12"/>
      <c r="E57" s="12"/>
      <c r="F57" s="118"/>
      <c r="G57" s="118"/>
      <c r="H57" s="110">
        <f>Input!H194-Input!H228</f>
        <v>0</v>
      </c>
      <c r="I57" s="110">
        <f>Input!I194-Input!I228</f>
        <v>0</v>
      </c>
      <c r="J57" s="110">
        <f>Input!J194-Input!J228</f>
        <v>0</v>
      </c>
      <c r="K57" s="110">
        <f>Input!K194-Input!K228</f>
        <v>0</v>
      </c>
      <c r="L57" s="110">
        <f>Input!L194-Input!L228</f>
        <v>0</v>
      </c>
      <c r="M57" s="110">
        <f>Input!M194-Input!M228</f>
        <v>0</v>
      </c>
      <c r="N57" s="110">
        <f>Input!N194-Input!N228</f>
        <v>0</v>
      </c>
      <c r="O57" s="110">
        <f>Input!O194-Input!O228</f>
        <v>0</v>
      </c>
      <c r="P57" s="110">
        <f>Input!P194-Input!P228</f>
        <v>0</v>
      </c>
      <c r="Q57" s="110">
        <f>Input!Q194-Input!Q228</f>
        <v>0</v>
      </c>
      <c r="R57" s="110"/>
      <c r="S57" s="110"/>
      <c r="T57" s="110"/>
      <c r="U57" s="110"/>
      <c r="V57" s="110"/>
      <c r="W57" s="110"/>
      <c r="X57" s="110"/>
      <c r="Y57" s="110"/>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row>
    <row r="58" spans="1:60" s="201" customFormat="1" ht="12.75" hidden="1" customHeight="1" outlineLevel="1">
      <c r="A58" s="12"/>
      <c r="B58" s="44"/>
      <c r="C58" s="271">
        <f>Asset19</f>
        <v>0</v>
      </c>
      <c r="D58" s="12"/>
      <c r="E58" s="12"/>
      <c r="F58" s="118"/>
      <c r="G58" s="118"/>
      <c r="H58" s="110">
        <f>Input!H195-Input!H229</f>
        <v>0</v>
      </c>
      <c r="I58" s="110">
        <f>Input!I195-Input!I229</f>
        <v>0</v>
      </c>
      <c r="J58" s="110">
        <f>Input!J195-Input!J229</f>
        <v>0</v>
      </c>
      <c r="K58" s="110">
        <f>Input!K195-Input!K229</f>
        <v>0</v>
      </c>
      <c r="L58" s="110">
        <f>Input!L195-Input!L229</f>
        <v>0</v>
      </c>
      <c r="M58" s="110">
        <f>Input!M195-Input!M229</f>
        <v>0</v>
      </c>
      <c r="N58" s="110">
        <f>Input!N195-Input!N229</f>
        <v>0</v>
      </c>
      <c r="O58" s="110">
        <f>Input!O195-Input!O229</f>
        <v>0</v>
      </c>
      <c r="P58" s="110">
        <f>Input!P195-Input!P229</f>
        <v>0</v>
      </c>
      <c r="Q58" s="110">
        <f>Input!Q195-Input!Q229</f>
        <v>0</v>
      </c>
      <c r="R58" s="110"/>
      <c r="S58" s="110"/>
      <c r="T58" s="110"/>
      <c r="U58" s="110"/>
      <c r="V58" s="110"/>
      <c r="W58" s="110"/>
      <c r="X58" s="110"/>
      <c r="Y58" s="110"/>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row>
    <row r="59" spans="1:60" s="201" customFormat="1" ht="12.75" hidden="1" customHeight="1" outlineLevel="1">
      <c r="A59" s="12"/>
      <c r="B59" s="44"/>
      <c r="C59" s="271">
        <f>Asset20</f>
        <v>0</v>
      </c>
      <c r="D59" s="12"/>
      <c r="E59" s="12"/>
      <c r="F59" s="118"/>
      <c r="G59" s="118"/>
      <c r="H59" s="110">
        <f>Input!H196-Input!H230</f>
        <v>0</v>
      </c>
      <c r="I59" s="110">
        <f>Input!I196-Input!I230</f>
        <v>0</v>
      </c>
      <c r="J59" s="110">
        <f>Input!J196-Input!J230</f>
        <v>0</v>
      </c>
      <c r="K59" s="110">
        <f>Input!K196-Input!K230</f>
        <v>0</v>
      </c>
      <c r="L59" s="110">
        <f>Input!L196-Input!L230</f>
        <v>0</v>
      </c>
      <c r="M59" s="110">
        <f>Input!M196-Input!M230</f>
        <v>0</v>
      </c>
      <c r="N59" s="110">
        <f>Input!N196-Input!N230</f>
        <v>0</v>
      </c>
      <c r="O59" s="110">
        <f>Input!O196-Input!O230</f>
        <v>0</v>
      </c>
      <c r="P59" s="110">
        <f>Input!P196-Input!P230</f>
        <v>0</v>
      </c>
      <c r="Q59" s="110">
        <f>Input!Q196-Input!Q230</f>
        <v>0</v>
      </c>
      <c r="R59" s="110"/>
      <c r="S59" s="110"/>
      <c r="T59" s="110"/>
      <c r="U59" s="110"/>
      <c r="V59" s="110"/>
      <c r="W59" s="110"/>
      <c r="X59" s="110"/>
      <c r="Y59" s="110"/>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row>
    <row r="60" spans="1:60" s="201" customFormat="1" ht="12.75" hidden="1" customHeight="1" outlineLevel="1">
      <c r="A60" s="12"/>
      <c r="B60" s="44"/>
      <c r="C60" s="271">
        <f>Asset21</f>
        <v>0</v>
      </c>
      <c r="D60" s="12"/>
      <c r="E60" s="12"/>
      <c r="F60" s="118"/>
      <c r="G60" s="118"/>
      <c r="H60" s="110">
        <f>Input!H197-Input!H231</f>
        <v>0</v>
      </c>
      <c r="I60" s="110">
        <f>Input!I197-Input!I231</f>
        <v>0</v>
      </c>
      <c r="J60" s="110">
        <f>Input!J197-Input!J231</f>
        <v>0</v>
      </c>
      <c r="K60" s="110">
        <f>Input!K197-Input!K231</f>
        <v>0</v>
      </c>
      <c r="L60" s="110">
        <f>Input!L197-Input!L231</f>
        <v>0</v>
      </c>
      <c r="M60" s="110">
        <f>Input!M197-Input!M231</f>
        <v>0</v>
      </c>
      <c r="N60" s="110">
        <f>Input!N197-Input!N231</f>
        <v>0</v>
      </c>
      <c r="O60" s="110">
        <f>Input!O197-Input!O231</f>
        <v>0</v>
      </c>
      <c r="P60" s="110">
        <f>Input!P197-Input!P231</f>
        <v>0</v>
      </c>
      <c r="Q60" s="110">
        <f>Input!Q197-Input!Q231</f>
        <v>0</v>
      </c>
      <c r="R60" s="110"/>
      <c r="S60" s="110"/>
      <c r="T60" s="110"/>
      <c r="U60" s="110"/>
      <c r="V60" s="110"/>
      <c r="W60" s="110"/>
      <c r="X60" s="110"/>
      <c r="Y60" s="110"/>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row>
    <row r="61" spans="1:60" s="201" customFormat="1" ht="12.75" hidden="1" customHeight="1" outlineLevel="1">
      <c r="A61" s="12"/>
      <c r="B61" s="44"/>
      <c r="C61" s="271">
        <f>Asset22</f>
        <v>0</v>
      </c>
      <c r="D61" s="12"/>
      <c r="E61" s="12"/>
      <c r="F61" s="118"/>
      <c r="G61" s="118"/>
      <c r="H61" s="110">
        <f>Input!H198-Input!H232</f>
        <v>0</v>
      </c>
      <c r="I61" s="110">
        <f>Input!I198-Input!I232</f>
        <v>0</v>
      </c>
      <c r="J61" s="110">
        <f>Input!J198-Input!J232</f>
        <v>0</v>
      </c>
      <c r="K61" s="110">
        <f>Input!K198-Input!K232</f>
        <v>0</v>
      </c>
      <c r="L61" s="110">
        <f>Input!L198-Input!L232</f>
        <v>0</v>
      </c>
      <c r="M61" s="110">
        <f>Input!M198-Input!M232</f>
        <v>0</v>
      </c>
      <c r="N61" s="110">
        <f>Input!N198-Input!N232</f>
        <v>0</v>
      </c>
      <c r="O61" s="110">
        <f>Input!O198-Input!O232</f>
        <v>0</v>
      </c>
      <c r="P61" s="110">
        <f>Input!P198-Input!P232</f>
        <v>0</v>
      </c>
      <c r="Q61" s="110">
        <f>Input!Q198-Input!Q232</f>
        <v>0</v>
      </c>
      <c r="R61" s="110"/>
      <c r="S61" s="110"/>
      <c r="T61" s="110"/>
      <c r="U61" s="110"/>
      <c r="V61" s="110"/>
      <c r="W61" s="110"/>
      <c r="X61" s="110"/>
      <c r="Y61" s="110"/>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row>
    <row r="62" spans="1:60" s="201" customFormat="1" ht="12.75" hidden="1" customHeight="1" outlineLevel="1">
      <c r="A62" s="12"/>
      <c r="B62" s="44"/>
      <c r="C62" s="271">
        <f>Asset23</f>
        <v>0</v>
      </c>
      <c r="D62" s="12"/>
      <c r="E62" s="12"/>
      <c r="F62" s="118"/>
      <c r="G62" s="118"/>
      <c r="H62" s="110">
        <f>Input!H199-Input!H233</f>
        <v>0</v>
      </c>
      <c r="I62" s="110">
        <f>Input!I199-Input!I233</f>
        <v>0</v>
      </c>
      <c r="J62" s="110">
        <f>Input!J199-Input!J233</f>
        <v>0</v>
      </c>
      <c r="K62" s="110">
        <f>Input!K199-Input!K233</f>
        <v>0</v>
      </c>
      <c r="L62" s="110">
        <f>Input!L199-Input!L233</f>
        <v>0</v>
      </c>
      <c r="M62" s="110">
        <f>Input!M199-Input!M233</f>
        <v>0</v>
      </c>
      <c r="N62" s="110">
        <f>Input!N199-Input!N233</f>
        <v>0</v>
      </c>
      <c r="O62" s="110">
        <f>Input!O199-Input!O233</f>
        <v>0</v>
      </c>
      <c r="P62" s="110">
        <f>Input!P199-Input!P233</f>
        <v>0</v>
      </c>
      <c r="Q62" s="110">
        <f>Input!Q199-Input!Q233</f>
        <v>0</v>
      </c>
      <c r="R62" s="110"/>
      <c r="S62" s="110"/>
      <c r="T62" s="110"/>
      <c r="U62" s="110"/>
      <c r="V62" s="110"/>
      <c r="W62" s="110"/>
      <c r="X62" s="110"/>
      <c r="Y62" s="110"/>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row>
    <row r="63" spans="1:60" s="201" customFormat="1" ht="12.75" hidden="1" customHeight="1" outlineLevel="1">
      <c r="A63" s="12"/>
      <c r="B63" s="44"/>
      <c r="C63" s="271">
        <f>Asset24</f>
        <v>0</v>
      </c>
      <c r="D63" s="12"/>
      <c r="E63" s="12"/>
      <c r="F63" s="118"/>
      <c r="G63" s="118"/>
      <c r="H63" s="110">
        <f>Input!H200-Input!H234</f>
        <v>0</v>
      </c>
      <c r="I63" s="110">
        <f>Input!I200-Input!I234</f>
        <v>0</v>
      </c>
      <c r="J63" s="110">
        <f>Input!J200-Input!J234</f>
        <v>0</v>
      </c>
      <c r="K63" s="110">
        <f>Input!K200-Input!K234</f>
        <v>0</v>
      </c>
      <c r="L63" s="110">
        <f>Input!L200-Input!L234</f>
        <v>0</v>
      </c>
      <c r="M63" s="110">
        <f>Input!M200-Input!M234</f>
        <v>0</v>
      </c>
      <c r="N63" s="110">
        <f>Input!N200-Input!N234</f>
        <v>0</v>
      </c>
      <c r="O63" s="110">
        <f>Input!O200-Input!O234</f>
        <v>0</v>
      </c>
      <c r="P63" s="110">
        <f>Input!P200-Input!P234</f>
        <v>0</v>
      </c>
      <c r="Q63" s="110">
        <f>Input!Q200-Input!Q234</f>
        <v>0</v>
      </c>
      <c r="R63" s="110"/>
      <c r="S63" s="110"/>
      <c r="T63" s="110"/>
      <c r="U63" s="110"/>
      <c r="V63" s="110"/>
      <c r="W63" s="110"/>
      <c r="X63" s="110"/>
      <c r="Y63" s="110"/>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row>
    <row r="64" spans="1:60" s="201" customFormat="1" ht="12.75" hidden="1" customHeight="1" outlineLevel="1">
      <c r="A64" s="12"/>
      <c r="B64" s="44"/>
      <c r="C64" s="271">
        <f>Asset25</f>
        <v>0</v>
      </c>
      <c r="D64" s="12"/>
      <c r="E64" s="12"/>
      <c r="F64" s="118"/>
      <c r="G64" s="118"/>
      <c r="H64" s="110">
        <f>Input!H201-Input!H235</f>
        <v>0</v>
      </c>
      <c r="I64" s="110">
        <f>Input!I201-Input!I235</f>
        <v>0</v>
      </c>
      <c r="J64" s="110">
        <f>Input!J201-Input!J235</f>
        <v>0</v>
      </c>
      <c r="K64" s="110">
        <f>Input!K201-Input!K235</f>
        <v>0</v>
      </c>
      <c r="L64" s="110">
        <f>Input!L201-Input!L235</f>
        <v>0</v>
      </c>
      <c r="M64" s="110">
        <f>Input!M201-Input!M235</f>
        <v>0</v>
      </c>
      <c r="N64" s="110">
        <f>Input!N201-Input!N235</f>
        <v>0</v>
      </c>
      <c r="O64" s="110">
        <f>Input!O201-Input!O235</f>
        <v>0</v>
      </c>
      <c r="P64" s="110">
        <f>Input!P201-Input!P235</f>
        <v>0</v>
      </c>
      <c r="Q64" s="110">
        <f>Input!Q201-Input!Q235</f>
        <v>0</v>
      </c>
      <c r="R64" s="110"/>
      <c r="S64" s="110"/>
      <c r="T64" s="110"/>
      <c r="U64" s="110"/>
      <c r="V64" s="110"/>
      <c r="W64" s="110"/>
      <c r="X64" s="110"/>
      <c r="Y64" s="110"/>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row>
    <row r="65" spans="1:60" s="201" customFormat="1" ht="12.75" hidden="1" customHeight="1" outlineLevel="1">
      <c r="A65" s="12"/>
      <c r="B65" s="44"/>
      <c r="C65" s="271">
        <f>Asset26</f>
        <v>0</v>
      </c>
      <c r="D65" s="12"/>
      <c r="E65" s="12"/>
      <c r="F65" s="118"/>
      <c r="G65" s="118"/>
      <c r="H65" s="110">
        <f>Input!H202-Input!H236</f>
        <v>0</v>
      </c>
      <c r="I65" s="110">
        <f>Input!I202-Input!I236</f>
        <v>0</v>
      </c>
      <c r="J65" s="110">
        <f>Input!J202-Input!J236</f>
        <v>0</v>
      </c>
      <c r="K65" s="110">
        <f>Input!K202-Input!K236</f>
        <v>0</v>
      </c>
      <c r="L65" s="110">
        <f>Input!L202-Input!L236</f>
        <v>0</v>
      </c>
      <c r="M65" s="110">
        <f>Input!M202-Input!M236</f>
        <v>0</v>
      </c>
      <c r="N65" s="110">
        <f>Input!N202-Input!N236</f>
        <v>0</v>
      </c>
      <c r="O65" s="110">
        <f>Input!O202-Input!O236</f>
        <v>0</v>
      </c>
      <c r="P65" s="110">
        <f>Input!P202-Input!P236</f>
        <v>0</v>
      </c>
      <c r="Q65" s="110">
        <f>Input!Q202-Input!Q236</f>
        <v>0</v>
      </c>
      <c r="R65" s="110"/>
      <c r="S65" s="110"/>
      <c r="T65" s="110"/>
      <c r="U65" s="110"/>
      <c r="V65" s="110"/>
      <c r="W65" s="110"/>
      <c r="X65" s="110"/>
      <c r="Y65" s="110"/>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row>
    <row r="66" spans="1:60" s="201" customFormat="1" ht="12.75" hidden="1" customHeight="1" outlineLevel="1">
      <c r="A66" s="12"/>
      <c r="B66" s="44"/>
      <c r="C66" s="271">
        <f>Asset27</f>
        <v>0</v>
      </c>
      <c r="D66" s="12"/>
      <c r="E66" s="12"/>
      <c r="F66" s="118"/>
      <c r="G66" s="118"/>
      <c r="H66" s="110">
        <f>Input!H203-Input!H237</f>
        <v>0</v>
      </c>
      <c r="I66" s="110">
        <f>Input!I203-Input!I237</f>
        <v>0</v>
      </c>
      <c r="J66" s="110">
        <f>Input!J203-Input!J237</f>
        <v>0</v>
      </c>
      <c r="K66" s="110">
        <f>Input!K203-Input!K237</f>
        <v>0</v>
      </c>
      <c r="L66" s="110">
        <f>Input!L203-Input!L237</f>
        <v>0</v>
      </c>
      <c r="M66" s="110">
        <f>Input!M203-Input!M237</f>
        <v>0</v>
      </c>
      <c r="N66" s="110">
        <f>Input!N203-Input!N237</f>
        <v>0</v>
      </c>
      <c r="O66" s="110">
        <f>Input!O203-Input!O237</f>
        <v>0</v>
      </c>
      <c r="P66" s="110">
        <f>Input!P203-Input!P237</f>
        <v>0</v>
      </c>
      <c r="Q66" s="110">
        <f>Input!Q203-Input!Q237</f>
        <v>0</v>
      </c>
      <c r="R66" s="110"/>
      <c r="S66" s="110"/>
      <c r="T66" s="110"/>
      <c r="U66" s="110"/>
      <c r="V66" s="110"/>
      <c r="W66" s="110"/>
      <c r="X66" s="110"/>
      <c r="Y66" s="110"/>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row>
    <row r="67" spans="1:60" s="201" customFormat="1" ht="12.75" hidden="1" customHeight="1" outlineLevel="1">
      <c r="A67" s="12"/>
      <c r="B67" s="44"/>
      <c r="C67" s="271">
        <f>Asset28</f>
        <v>0</v>
      </c>
      <c r="D67" s="12"/>
      <c r="E67" s="12"/>
      <c r="F67" s="118"/>
      <c r="G67" s="118"/>
      <c r="H67" s="110">
        <f>Input!H204-Input!H238</f>
        <v>0</v>
      </c>
      <c r="I67" s="110">
        <f>Input!I204-Input!I238</f>
        <v>0</v>
      </c>
      <c r="J67" s="110">
        <f>Input!J204-Input!J238</f>
        <v>0</v>
      </c>
      <c r="K67" s="110">
        <f>Input!K204-Input!K238</f>
        <v>0</v>
      </c>
      <c r="L67" s="110">
        <f>Input!L204-Input!L238</f>
        <v>0</v>
      </c>
      <c r="M67" s="110">
        <f>Input!M204-Input!M238</f>
        <v>0</v>
      </c>
      <c r="N67" s="110">
        <f>Input!N204-Input!N238</f>
        <v>0</v>
      </c>
      <c r="O67" s="110">
        <f>Input!O204-Input!O238</f>
        <v>0</v>
      </c>
      <c r="P67" s="110">
        <f>Input!P204-Input!P238</f>
        <v>0</v>
      </c>
      <c r="Q67" s="110">
        <f>Input!Q204-Input!Q238</f>
        <v>0</v>
      </c>
      <c r="R67" s="110"/>
      <c r="S67" s="110"/>
      <c r="T67" s="110"/>
      <c r="U67" s="110"/>
      <c r="V67" s="110"/>
      <c r="W67" s="110"/>
      <c r="X67" s="110"/>
      <c r="Y67" s="110"/>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row>
    <row r="68" spans="1:60" s="201" customFormat="1" ht="12.75" hidden="1" customHeight="1" outlineLevel="1">
      <c r="A68" s="12"/>
      <c r="B68" s="44"/>
      <c r="C68" s="271">
        <f>Asset29</f>
        <v>0</v>
      </c>
      <c r="D68" s="12"/>
      <c r="E68" s="12"/>
      <c r="F68" s="118"/>
      <c r="G68" s="118"/>
      <c r="H68" s="110">
        <f>Input!H205-Input!H239</f>
        <v>0</v>
      </c>
      <c r="I68" s="110">
        <f>Input!I205-Input!I239</f>
        <v>0</v>
      </c>
      <c r="J68" s="110">
        <f>Input!J205-Input!J239</f>
        <v>0</v>
      </c>
      <c r="K68" s="110">
        <f>Input!K205-Input!K239</f>
        <v>0</v>
      </c>
      <c r="L68" s="110">
        <f>Input!L205-Input!L239</f>
        <v>0</v>
      </c>
      <c r="M68" s="110">
        <f>Input!M205-Input!M239</f>
        <v>0</v>
      </c>
      <c r="N68" s="110">
        <f>Input!N205-Input!N239</f>
        <v>0</v>
      </c>
      <c r="O68" s="110">
        <f>Input!O205-Input!O239</f>
        <v>0</v>
      </c>
      <c r="P68" s="110">
        <f>Input!P205-Input!P239</f>
        <v>0</v>
      </c>
      <c r="Q68" s="110">
        <f>Input!Q205-Input!Q239</f>
        <v>0</v>
      </c>
      <c r="R68" s="110"/>
      <c r="S68" s="110"/>
      <c r="T68" s="110"/>
      <c r="U68" s="110"/>
      <c r="V68" s="110"/>
      <c r="W68" s="110"/>
      <c r="X68" s="110"/>
      <c r="Y68" s="110"/>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row>
    <row r="69" spans="1:60" s="201" customFormat="1" ht="12.75" hidden="1" customHeight="1" outlineLevel="1">
      <c r="A69" s="12"/>
      <c r="B69" s="44"/>
      <c r="C69" s="271">
        <f>Asset30</f>
        <v>0</v>
      </c>
      <c r="D69" s="12"/>
      <c r="E69" s="12"/>
      <c r="F69" s="118"/>
      <c r="G69" s="118"/>
      <c r="H69" s="110">
        <f>Input!H206-Input!H240</f>
        <v>0</v>
      </c>
      <c r="I69" s="110">
        <f>Input!I206-Input!I240</f>
        <v>0</v>
      </c>
      <c r="J69" s="110">
        <f>Input!J206-Input!J240</f>
        <v>0</v>
      </c>
      <c r="K69" s="110">
        <f>Input!K206-Input!K240</f>
        <v>0</v>
      </c>
      <c r="L69" s="110">
        <f>Input!L206-Input!L240</f>
        <v>0</v>
      </c>
      <c r="M69" s="110">
        <f>Input!M206-Input!M240</f>
        <v>0</v>
      </c>
      <c r="N69" s="110">
        <f>Input!N206-Input!N240</f>
        <v>0</v>
      </c>
      <c r="O69" s="110">
        <f>Input!O206-Input!O240</f>
        <v>0</v>
      </c>
      <c r="P69" s="110">
        <f>Input!P206-Input!P240</f>
        <v>0</v>
      </c>
      <c r="Q69" s="110">
        <f>Input!Q206-Input!Q240</f>
        <v>0</v>
      </c>
      <c r="R69" s="110"/>
      <c r="S69" s="110"/>
      <c r="T69" s="110"/>
      <c r="U69" s="110"/>
      <c r="V69" s="110"/>
      <c r="W69" s="110"/>
      <c r="X69" s="110"/>
      <c r="Y69" s="110"/>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row>
    <row r="70" spans="1:60" s="201" customFormat="1" collapsed="1">
      <c r="A70" s="12"/>
      <c r="B70" s="17"/>
      <c r="C70" s="12"/>
      <c r="D70" s="12"/>
      <c r="E70" s="12"/>
      <c r="F70" s="118"/>
      <c r="G70" s="118"/>
      <c r="H70" s="110"/>
      <c r="I70" s="110"/>
      <c r="J70" s="110"/>
      <c r="K70" s="110"/>
      <c r="L70" s="110"/>
      <c r="M70" s="110"/>
      <c r="N70" s="110"/>
      <c r="O70" s="110"/>
      <c r="P70" s="110"/>
      <c r="Q70" s="110"/>
      <c r="R70" s="110"/>
      <c r="S70" s="110"/>
      <c r="T70" s="110"/>
      <c r="U70" s="110"/>
      <c r="V70" s="110"/>
      <c r="W70" s="110"/>
      <c r="X70" s="110"/>
      <c r="Y70" s="110"/>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row>
    <row r="71" spans="1:60" s="201" customFormat="1">
      <c r="A71" s="9"/>
      <c r="B71" s="9" t="s">
        <v>46</v>
      </c>
      <c r="C71" s="9"/>
      <c r="D71" s="9"/>
      <c r="E71" s="9"/>
      <c r="F71" s="23"/>
      <c r="G71" s="23"/>
      <c r="H71" s="122">
        <f t="shared" ref="H71:Q71" si="3">H84+H97+H110+H123+H136+H149+H162+H175+H188+H201+H214+H227+H240+H253+H266+H279+H292+H305+H318+H331+H344+H357+H370+H383+H396+H409+H422+H435+H448+H461</f>
        <v>0</v>
      </c>
      <c r="I71" s="122">
        <f t="shared" si="3"/>
        <v>-290.72550801777624</v>
      </c>
      <c r="J71" s="122">
        <f t="shared" si="3"/>
        <v>-328.24688689452387</v>
      </c>
      <c r="K71" s="122">
        <f t="shared" si="3"/>
        <v>-385.63435576375247</v>
      </c>
      <c r="L71" s="122">
        <f t="shared" si="3"/>
        <v>-427.68553006916687</v>
      </c>
      <c r="M71" s="122">
        <f t="shared" si="3"/>
        <v>0</v>
      </c>
      <c r="N71" s="122">
        <f t="shared" si="3"/>
        <v>0</v>
      </c>
      <c r="O71" s="122">
        <f t="shared" si="3"/>
        <v>0</v>
      </c>
      <c r="P71" s="122">
        <f t="shared" si="3"/>
        <v>0</v>
      </c>
      <c r="Q71" s="122">
        <f t="shared" si="3"/>
        <v>0</v>
      </c>
      <c r="R71" s="317"/>
      <c r="S71" s="202"/>
      <c r="T71" s="202"/>
      <c r="U71" s="202"/>
      <c r="V71" s="202"/>
      <c r="W71" s="202"/>
      <c r="X71" s="202"/>
      <c r="Y71" s="202"/>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row>
    <row r="72" spans="1:60" s="201" customFormat="1" hidden="1" outlineLevel="2">
      <c r="A72" s="9"/>
      <c r="B72" s="273" t="str">
        <f>Asset1</f>
        <v>Subtransmission</v>
      </c>
      <c r="C72" s="31"/>
      <c r="D72" s="32" t="s">
        <v>43</v>
      </c>
      <c r="E72" s="31"/>
      <c r="F72" s="31"/>
      <c r="G72" s="31"/>
      <c r="H72" s="72">
        <f>IF(H$3&gt;A1taxremlife,A1taxvalue-SUM($F72:F72),IF(A1taxremlife="N/A","n/a",A1taxvalue/A1taxremlife))</f>
        <v>0</v>
      </c>
      <c r="I72" s="72">
        <f>IF(I$3&gt;A1taxremlife,A1taxvalue-SUM($F72:H72),IF(A1taxremlife="N/A","n/a",A1taxvalue/A1taxremlife))</f>
        <v>0</v>
      </c>
      <c r="J72" s="72">
        <f>IF(J$3&gt;A1taxremlife,A1taxvalue-SUM($F72:I72),IF(A1taxremlife="N/A","n/a",A1taxvalue/A1taxremlife))</f>
        <v>0</v>
      </c>
      <c r="K72" s="72">
        <f>IF(K$3&gt;A1taxremlife,A1taxvalue-SUM($F72:J72),IF(A1taxremlife="N/A","n/a",A1taxvalue/A1taxremlife))</f>
        <v>0</v>
      </c>
      <c r="L72" s="72">
        <f>IF(L$3&gt;A1taxremlife,A1taxvalue-SUM($F72:K72),IF(A1taxremlife="N/A","n/a",A1taxvalue/A1taxremlife))</f>
        <v>0</v>
      </c>
      <c r="M72" s="72">
        <f>IF(M$3&gt;A1taxremlife,A1taxvalue-SUM($F72:L72),IF(A1taxremlife="N/A","n/a",A1taxvalue/A1taxremlife))</f>
        <v>0</v>
      </c>
      <c r="N72" s="72">
        <f>IF(N$3&gt;A1taxremlife,A1taxvalue-SUM($F72:M72),IF(A1taxremlife="N/A","n/a",A1taxvalue/A1taxremlife))</f>
        <v>0</v>
      </c>
      <c r="O72" s="72">
        <f>IF(O$3&gt;A1taxremlife,A1taxvalue-SUM($F72:N72),IF(A1taxremlife="N/A","n/a",A1taxvalue/A1taxremlife))</f>
        <v>0</v>
      </c>
      <c r="P72" s="72">
        <f>IF(P$3&gt;A1taxremlife,A1taxvalue-SUM($F72:O72),IF(A1taxremlife="N/A","n/a",A1taxvalue/A1taxremlife))</f>
        <v>0</v>
      </c>
      <c r="Q72" s="72">
        <f>IF(Q$3&gt;A1taxremlife,A1taxvalue-SUM($F72:P72),IF(A1taxremlife="N/A","n/a",A1taxvalue/A1taxremlife))</f>
        <v>0</v>
      </c>
      <c r="R72" s="72"/>
      <c r="S72" s="107"/>
      <c r="T72" s="107"/>
      <c r="U72" s="107"/>
      <c r="V72" s="107"/>
      <c r="W72" s="107"/>
      <c r="X72" s="107"/>
      <c r="Y72" s="107"/>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row>
    <row r="73" spans="1:60" s="201" customFormat="1" ht="12.75" hidden="1" customHeight="1" outlineLevel="2">
      <c r="A73" s="9"/>
      <c r="B73" s="26"/>
      <c r="C73" s="25"/>
      <c r="D73" s="536" t="s">
        <v>59</v>
      </c>
      <c r="E73" s="91"/>
      <c r="F73" s="27"/>
      <c r="G73" s="27"/>
      <c r="H73" s="107"/>
      <c r="I73" s="73"/>
      <c r="J73" s="73"/>
      <c r="K73" s="73"/>
      <c r="L73" s="73"/>
      <c r="M73" s="73"/>
      <c r="N73" s="73"/>
      <c r="O73" s="73"/>
      <c r="P73" s="73"/>
      <c r="Q73" s="73"/>
      <c r="R73" s="73"/>
      <c r="S73" s="107"/>
      <c r="T73" s="107"/>
      <c r="U73" s="107"/>
      <c r="V73" s="107"/>
      <c r="W73" s="107"/>
      <c r="X73" s="107"/>
      <c r="Y73" s="107"/>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row>
    <row r="74" spans="1:60" s="201" customFormat="1" hidden="1" outlineLevel="2">
      <c r="A74" s="9"/>
      <c r="B74" s="26"/>
      <c r="C74" s="25"/>
      <c r="D74" s="537"/>
      <c r="E74" s="91">
        <v>1</v>
      </c>
      <c r="F74" s="27"/>
      <c r="G74" s="27"/>
      <c r="H74" s="149"/>
      <c r="I74" s="73">
        <f>IF(A1taxstdlife="n/a","n/a",IF(I$3&gt;(A1taxstdlife+$E74),(Input!$H$177-Input!$H$211)-SUM($H74:H74),(Input!$H$177-Input!$H$211)/A1taxstdlife))</f>
        <v>22.221416972009369</v>
      </c>
      <c r="J74" s="73">
        <f>IF(A1taxstdlife="n/a","n/a",IF(J$3&gt;(A1taxstdlife+$E74),(Input!$H$177-Input!$H$211)-SUM($H74:I74),(Input!$H$177-Input!$H$211)/A1taxstdlife))</f>
        <v>0</v>
      </c>
      <c r="K74" s="73">
        <f>IF(A1taxstdlife="n/a","n/a",IF(K$3&gt;(A1taxstdlife+$E74),(Input!$H$177-Input!$H$211)-SUM($H74:J74),(Input!$H$177-Input!$H$211)/A1taxstdlife))</f>
        <v>0</v>
      </c>
      <c r="L74" s="73">
        <f>IF(A1taxstdlife="n/a","n/a",IF(L$3&gt;(A1taxstdlife+$E74),(Input!$H$177-Input!$H$211)-SUM($H74:K74),(Input!$H$177-Input!$H$211)/A1taxstdlife))</f>
        <v>0</v>
      </c>
      <c r="M74" s="73">
        <f>IF(A1taxstdlife="n/a","n/a",IF(M$3&gt;(A1taxstdlife+$E74),(Input!$H$177-Input!$H$211)-SUM($H74:L74),(Input!$H$177-Input!$H$211)/A1taxstdlife))</f>
        <v>0</v>
      </c>
      <c r="N74" s="73">
        <f>IF(A1taxstdlife="n/a","n/a",IF(N$3&gt;(A1taxstdlife+$E74),(Input!$H$177-Input!$H$211)-SUM($H74:M74),(Input!$H$177-Input!$H$211)/A1taxstdlife))</f>
        <v>0</v>
      </c>
      <c r="O74" s="73">
        <f>IF(A1taxstdlife="n/a","n/a",IF(O$3&gt;(A1taxstdlife+$E74),(Input!$H$177-Input!$H$211)-SUM($H74:N74),(Input!$H$177-Input!$H$211)/A1taxstdlife))</f>
        <v>0</v>
      </c>
      <c r="P74" s="73">
        <f>IF(A1taxstdlife="n/a","n/a",IF(P$3&gt;(A1taxstdlife+$E74),(Input!$H$177-Input!$H$211)-SUM($H74:O74),(Input!$H$177-Input!$H$211)/A1taxstdlife))</f>
        <v>0</v>
      </c>
      <c r="Q74" s="73">
        <f>IF(A1taxstdlife="n/a","n/a",IF(Q$3&gt;(A1taxstdlife+$E74),(Input!$H$177-Input!$H$211)-SUM($H74:P74),(Input!$H$177-Input!$H$211)/A1taxstdlife))</f>
        <v>0</v>
      </c>
      <c r="R74" s="73"/>
      <c r="S74" s="107"/>
      <c r="T74" s="107"/>
      <c r="U74" s="107"/>
      <c r="V74" s="107"/>
      <c r="W74" s="107"/>
      <c r="X74" s="107"/>
      <c r="Y74" s="107"/>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row>
    <row r="75" spans="1:60" s="201" customFormat="1" hidden="1" outlineLevel="2">
      <c r="A75" s="9"/>
      <c r="B75" s="26"/>
      <c r="C75" s="25"/>
      <c r="D75" s="537"/>
      <c r="E75" s="91">
        <v>2</v>
      </c>
      <c r="F75" s="27"/>
      <c r="G75" s="27"/>
      <c r="H75" s="150"/>
      <c r="I75" s="151"/>
      <c r="J75" s="73">
        <f>IF(A1taxstdlife="n/a","n/a",IF(J$3&gt;(A1taxstdlife+$E75),(Input!$I$177-Input!$I$211)-SUM($I75:I75),(Input!$I$177-Input!$I$211)/A1taxstdlife))</f>
        <v>44.068269104737396</v>
      </c>
      <c r="K75" s="73">
        <f>IF(A1taxstdlife="n/a","n/a",IF(K$3&gt;(A1taxstdlife+$E75),(Input!$I$177-Input!$I$211)-SUM($I75:J75),(Input!$I$177-Input!$I$211)/A1taxstdlife))</f>
        <v>0</v>
      </c>
      <c r="L75" s="73">
        <f>IF(A1taxstdlife="n/a","n/a",IF(L$3&gt;(A1taxstdlife+$E75),(Input!$I$177-Input!$I$211)-SUM($I75:K75),(Input!$I$177-Input!$I$211)/A1taxstdlife))</f>
        <v>0</v>
      </c>
      <c r="M75" s="73">
        <f>IF(A1taxstdlife="n/a","n/a",IF(M$3&gt;(A1taxstdlife+$E75),(Input!$I$177-Input!$I$211)-SUM($I75:L75),(Input!$I$177-Input!$I$211)/A1taxstdlife))</f>
        <v>0</v>
      </c>
      <c r="N75" s="73">
        <f>IF(A1taxstdlife="n/a","n/a",IF(N$3&gt;(A1taxstdlife+$E75),(Input!$I$177-Input!$I$211)-SUM($I75:M75),(Input!$I$177-Input!$I$211)/A1taxstdlife))</f>
        <v>0</v>
      </c>
      <c r="O75" s="73">
        <f>IF(A1taxstdlife="n/a","n/a",IF(O$3&gt;(A1taxstdlife+$E75),(Input!$I$177-Input!$I$211)-SUM($I75:N75),(Input!$I$177-Input!$I$211)/A1taxstdlife))</f>
        <v>0</v>
      </c>
      <c r="P75" s="73">
        <f>IF(A1taxstdlife="n/a","n/a",IF(P$3&gt;(A1taxstdlife+$E75),(Input!$I$177-Input!$I$211)-SUM($I75:O75),(Input!$I$177-Input!$I$211)/A1taxstdlife))</f>
        <v>0</v>
      </c>
      <c r="Q75" s="73">
        <f>IF(A1taxstdlife="n/a","n/a",IF(Q$3&gt;(A1taxstdlife+$E75),(Input!$I$177-Input!$I$211)-SUM($I75:P75),(Input!$I$177-Input!$I$211)/A1taxstdlife))</f>
        <v>0</v>
      </c>
      <c r="R75" s="73"/>
      <c r="S75" s="107"/>
      <c r="T75" s="107"/>
      <c r="U75" s="107"/>
      <c r="V75" s="107"/>
      <c r="W75" s="107"/>
      <c r="X75" s="107"/>
      <c r="Y75" s="107"/>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row>
    <row r="76" spans="1:60" s="201" customFormat="1" hidden="1" outlineLevel="2">
      <c r="A76" s="9"/>
      <c r="B76" s="26"/>
      <c r="C76" s="25"/>
      <c r="D76" s="537"/>
      <c r="E76" s="91">
        <v>3</v>
      </c>
      <c r="F76" s="27"/>
      <c r="G76" s="27"/>
      <c r="H76" s="150"/>
      <c r="I76" s="152"/>
      <c r="J76" s="151"/>
      <c r="K76" s="73">
        <f>IF(A1taxstdlife="n/a","n/a",IF(K$3&gt;(A1taxstdlife+$E76),(Input!$J$177-Input!$J$211)-SUM($J76:J76),(Input!$J$177-Input!$J$211)/A1taxstdlife))</f>
        <v>63.80349995248401</v>
      </c>
      <c r="L76" s="73">
        <f>IF(A1taxstdlife="n/a","n/a",IF(L$3&gt;(A1taxstdlife+$E76),(Input!$J$177-Input!$J$211)-SUM($J76:K76),(Input!$J$177-Input!$J$211)/A1taxstdlife))</f>
        <v>0</v>
      </c>
      <c r="M76" s="73">
        <f>IF(A1taxstdlife="n/a","n/a",IF(M$3&gt;(A1taxstdlife+$E76),(Input!$J$177-Input!$J$211)-SUM($J76:L76),(Input!$J$177-Input!$J$211)/A1taxstdlife))</f>
        <v>0</v>
      </c>
      <c r="N76" s="73">
        <f>IF(A1taxstdlife="n/a","n/a",IF(N$3&gt;(A1taxstdlife+$E76),(Input!$J$177-Input!$J$211)-SUM($J76:M76),(Input!$J$177-Input!$J$211)/A1taxstdlife))</f>
        <v>0</v>
      </c>
      <c r="O76" s="73">
        <f>IF(A1taxstdlife="n/a","n/a",IF(O$3&gt;(A1taxstdlife+$E76),(Input!$J$177-Input!$J$211)-SUM($J76:N76),(Input!$J$177-Input!$J$211)/A1taxstdlife))</f>
        <v>0</v>
      </c>
      <c r="P76" s="73">
        <f>IF(A1taxstdlife="n/a","n/a",IF(P$3&gt;(A1taxstdlife+$E76),(Input!$J$177-Input!$J$211)-SUM($J76:O76),(Input!$J$177-Input!$J$211)/A1taxstdlife))</f>
        <v>0</v>
      </c>
      <c r="Q76" s="73">
        <f>IF(A1taxstdlife="n/a","n/a",IF(Q$3&gt;(A1taxstdlife+$E76),(Input!$J$177-Input!$J$211)-SUM($J76:P76),(Input!$J$177-Input!$J$211)/A1taxstdlife))</f>
        <v>0</v>
      </c>
      <c r="R76" s="73"/>
      <c r="S76" s="107"/>
      <c r="T76" s="107"/>
      <c r="U76" s="107"/>
      <c r="V76" s="107"/>
      <c r="W76" s="107"/>
      <c r="X76" s="107"/>
      <c r="Y76" s="107"/>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row>
    <row r="77" spans="1:60" s="201" customFormat="1" hidden="1" outlineLevel="2">
      <c r="A77" s="9"/>
      <c r="B77" s="26"/>
      <c r="C77" s="25"/>
      <c r="D77" s="537"/>
      <c r="E77" s="91">
        <v>4</v>
      </c>
      <c r="F77" s="27"/>
      <c r="G77" s="27"/>
      <c r="H77" s="150"/>
      <c r="I77" s="152"/>
      <c r="J77" s="152"/>
      <c r="K77" s="151"/>
      <c r="L77" s="73">
        <f>IF(A1taxstdlife="n/a","n/a",IF(L$3&gt;(A1taxstdlife+$E77),(Input!$K$177-Input!$K$211)-SUM($K77:K77),(Input!$K$177-Input!$K$211)/A1taxstdlife))</f>
        <v>63.116820701394637</v>
      </c>
      <c r="M77" s="73">
        <f>IF(A1taxstdlife="n/a","n/a",IF(M$3&gt;(A1taxstdlife+$E77),(Input!$K$177-Input!$K$211)-SUM($K77:L77),(Input!$K$177-Input!$K$211)/A1taxstdlife))</f>
        <v>0</v>
      </c>
      <c r="N77" s="73">
        <f>IF(A1taxstdlife="n/a","n/a",IF(N$3&gt;(A1taxstdlife+$E77),(Input!$K$177-Input!$K$211)-SUM($K77:M77),(Input!$K$177-Input!$K$211)/A1taxstdlife))</f>
        <v>0</v>
      </c>
      <c r="O77" s="73">
        <f>IF(A1taxstdlife="n/a","n/a",IF(O$3&gt;(A1taxstdlife+$E77),(Input!$K$177-Input!$K$211)-SUM($K77:N77),(Input!$K$177-Input!$K$211)/A1taxstdlife))</f>
        <v>0</v>
      </c>
      <c r="P77" s="73">
        <f>IF(A1taxstdlife="n/a","n/a",IF(P$3&gt;(A1taxstdlife+$E77),(Input!$K$177-Input!$K$211)-SUM($K77:O77),(Input!$K$177-Input!$K$211)/A1taxstdlife))</f>
        <v>0</v>
      </c>
      <c r="Q77" s="73">
        <f>IF(A1taxstdlife="n/a","n/a",IF(Q$3&gt;(A1taxstdlife+$E77),(Input!$K$177-Input!$K$211)-SUM($K77:P77),(Input!$K$177-Input!$K$211)/A1taxstdlife))</f>
        <v>0</v>
      </c>
      <c r="R77" s="73"/>
      <c r="S77" s="107"/>
      <c r="T77" s="107"/>
      <c r="U77" s="107"/>
      <c r="V77" s="107"/>
      <c r="W77" s="107"/>
      <c r="X77" s="107"/>
      <c r="Y77" s="107"/>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row>
    <row r="78" spans="1:60" s="201" customFormat="1" hidden="1" outlineLevel="2">
      <c r="A78" s="9"/>
      <c r="B78" s="26"/>
      <c r="C78" s="25"/>
      <c r="D78" s="537"/>
      <c r="E78" s="91">
        <v>5</v>
      </c>
      <c r="F78" s="27"/>
      <c r="G78" s="27"/>
      <c r="H78" s="150"/>
      <c r="I78" s="152"/>
      <c r="J78" s="152"/>
      <c r="K78" s="152"/>
      <c r="L78" s="151"/>
      <c r="M78" s="73">
        <f>IF(A1taxstdlife="n/a","n/a",IF(M$3&gt;(A1taxstdlife+$E78),(Input!$L$177-Input!$L$211)-SUM($L78:L78),(Input!$L$177-Input!$L$211)/A1taxstdlife))</f>
        <v>62.912230066234429</v>
      </c>
      <c r="N78" s="73">
        <f>IF(A1taxstdlife="n/a","n/a",IF(N$3&gt;(A1taxstdlife+$E78),(Input!$L$177-Input!$L$211)-SUM($L78:M78),(Input!$L$177-Input!$L$211)/A1taxstdlife))</f>
        <v>0</v>
      </c>
      <c r="O78" s="73">
        <f>IF(A1taxstdlife="n/a","n/a",IF(O$3&gt;(A1taxstdlife+$E78),(Input!$L$177-Input!$L$211)-SUM($L78:N78),(Input!$L$177-Input!$L$211)/A1taxstdlife))</f>
        <v>0</v>
      </c>
      <c r="P78" s="73">
        <f>IF(A1taxstdlife="n/a","n/a",IF(P$3&gt;(A1taxstdlife+$E78),(Input!$L$177-Input!$L$211)-SUM($L78:O78),(Input!$L$177-Input!$L$211)/A1taxstdlife))</f>
        <v>0</v>
      </c>
      <c r="Q78" s="73">
        <f>IF(A1taxstdlife="n/a","n/a",IF(Q$3&gt;(A1taxstdlife+$E78),(Input!$L$177-Input!$L$211)-SUM($L78:P78),(Input!$L$177-Input!$L$211)/A1taxstdlife))</f>
        <v>0</v>
      </c>
      <c r="R78" s="73"/>
      <c r="S78" s="107"/>
      <c r="T78" s="107"/>
      <c r="U78" s="107"/>
      <c r="V78" s="107"/>
      <c r="W78" s="107"/>
      <c r="X78" s="107"/>
      <c r="Y78" s="107"/>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row>
    <row r="79" spans="1:60" s="201" customFormat="1" hidden="1" outlineLevel="2">
      <c r="A79" s="9"/>
      <c r="B79" s="26"/>
      <c r="C79" s="25"/>
      <c r="D79" s="537"/>
      <c r="E79" s="91">
        <v>6</v>
      </c>
      <c r="F79" s="27"/>
      <c r="G79" s="27"/>
      <c r="H79" s="150"/>
      <c r="I79" s="152"/>
      <c r="J79" s="152"/>
      <c r="K79" s="152"/>
      <c r="L79" s="152"/>
      <c r="M79" s="151"/>
      <c r="N79" s="73">
        <f>IF(A1taxstdlife="n/a","n/a",IF(N$3&gt;(A1taxstdlife+$E79),(Input!$M$177-Input!$M$211)-SUM($M79:M79),(Input!$M$177-Input!$M$211)/A1taxstdlife))</f>
        <v>0</v>
      </c>
      <c r="O79" s="73">
        <f>IF(A1taxstdlife="n/a","n/a",IF(O$3&gt;(A1taxstdlife+$E79),(Input!$M$177-Input!$M$211)-SUM($M79:N79),(Input!$M$177-Input!$M$211)/A1taxstdlife))</f>
        <v>0</v>
      </c>
      <c r="P79" s="73">
        <f>IF(A1taxstdlife="n/a","n/a",IF(P$3&gt;(A1taxstdlife+$E79),(Input!$M$177-Input!$M$211)-SUM($M79:O79),(Input!$M$177-Input!$M$211)/A1taxstdlife))</f>
        <v>0</v>
      </c>
      <c r="Q79" s="73">
        <f>IF(A1taxstdlife="n/a","n/a",IF(Q$3&gt;(A1taxstdlife+$E79),(Input!$M$177-Input!$M$211)-SUM($M79:P79),(Input!$M$177-Input!$M$211)/A1taxstdlife))</f>
        <v>0</v>
      </c>
      <c r="R79" s="73"/>
      <c r="S79" s="107"/>
      <c r="T79" s="107"/>
      <c r="U79" s="107"/>
      <c r="V79" s="107"/>
      <c r="W79" s="107"/>
      <c r="X79" s="107"/>
      <c r="Y79" s="107"/>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row>
    <row r="80" spans="1:60" s="201" customFormat="1" hidden="1" outlineLevel="2">
      <c r="A80" s="9"/>
      <c r="B80" s="26"/>
      <c r="C80" s="25"/>
      <c r="D80" s="537"/>
      <c r="E80" s="91">
        <v>7</v>
      </c>
      <c r="F80" s="27"/>
      <c r="G80" s="27"/>
      <c r="H80" s="150"/>
      <c r="I80" s="152"/>
      <c r="J80" s="152"/>
      <c r="K80" s="152"/>
      <c r="L80" s="152"/>
      <c r="M80" s="152"/>
      <c r="N80" s="151"/>
      <c r="O80" s="73">
        <f>IF(A1taxstdlife="n/a","n/a",IF(O$3&gt;(A1taxstdlife+$E80),(Input!$N$177-Input!$N$211)-SUM($N80:N80),(Input!$N$177-Input!$N$211)/A1taxstdlife))</f>
        <v>0</v>
      </c>
      <c r="P80" s="73">
        <f>IF(A1taxstdlife="n/a","n/a",IF(P$3&gt;(A1taxstdlife+$E80),(Input!$N$177-Input!$N$211)-SUM($N80:O80),(Input!$N$177-Input!$N$211)/A1taxstdlife))</f>
        <v>0</v>
      </c>
      <c r="Q80" s="73">
        <f>IF(A1taxstdlife="n/a","n/a",IF(Q$3&gt;(A1taxstdlife+$E80),(Input!$N$177-Input!$N$211)-SUM($N80:P80),(Input!$N$177-Input!$N$211)/A1taxstdlife))</f>
        <v>0</v>
      </c>
      <c r="R80" s="73"/>
      <c r="S80" s="107"/>
      <c r="T80" s="107"/>
      <c r="U80" s="107"/>
      <c r="V80" s="107"/>
      <c r="W80" s="107"/>
      <c r="X80" s="107"/>
      <c r="Y80" s="107"/>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row>
    <row r="81" spans="1:61" s="201" customFormat="1" hidden="1" outlineLevel="2">
      <c r="A81" s="9"/>
      <c r="B81" s="26"/>
      <c r="C81" s="25"/>
      <c r="D81" s="537"/>
      <c r="E81" s="91">
        <v>8</v>
      </c>
      <c r="F81" s="27"/>
      <c r="G81" s="27"/>
      <c r="H81" s="150"/>
      <c r="I81" s="152"/>
      <c r="J81" s="152"/>
      <c r="K81" s="152"/>
      <c r="L81" s="152"/>
      <c r="M81" s="152"/>
      <c r="N81" s="152"/>
      <c r="O81" s="151"/>
      <c r="P81" s="73">
        <f>IF(A1taxstdlife="n/a","n/a",IF(P$3&gt;(A1taxstdlife+$E81),(Input!$O$177-Input!$O$211)-SUM($O81:O81),(Input!$O$177-Input!$O$211)/A1taxstdlife))</f>
        <v>0</v>
      </c>
      <c r="Q81" s="73">
        <f>IF(A1taxstdlife="n/a","n/a",IF(Q$3&gt;(A1taxstdlife+$E81),(Input!$O$177-Input!$O$211)-SUM($O81:P81),(Input!$O$177-Input!$O$211)/A1taxstdlife))</f>
        <v>0</v>
      </c>
      <c r="R81" s="73"/>
      <c r="S81" s="107"/>
      <c r="T81" s="107"/>
      <c r="U81" s="107"/>
      <c r="V81" s="107"/>
      <c r="W81" s="107"/>
      <c r="X81" s="107"/>
      <c r="Y81" s="107"/>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row>
    <row r="82" spans="1:61" s="201" customFormat="1" hidden="1" outlineLevel="2">
      <c r="A82" s="9"/>
      <c r="B82" s="26"/>
      <c r="C82" s="25"/>
      <c r="D82" s="537"/>
      <c r="E82" s="91">
        <v>9</v>
      </c>
      <c r="F82" s="27"/>
      <c r="G82" s="27"/>
      <c r="H82" s="150"/>
      <c r="I82" s="152"/>
      <c r="J82" s="152"/>
      <c r="K82" s="152"/>
      <c r="L82" s="152"/>
      <c r="M82" s="152"/>
      <c r="N82" s="152"/>
      <c r="O82" s="152"/>
      <c r="P82" s="151"/>
      <c r="Q82" s="73">
        <f>IF(A1taxstdlife="n/a","n/a",IF(Q$3&gt;(A1taxstdlife+$E82),(Input!$P$177-Input!$P$211)-SUM($P82:P82),(Input!$P$177-Input!$P$211)/A1taxstdlife))</f>
        <v>0</v>
      </c>
      <c r="R82" s="73"/>
      <c r="S82" s="107"/>
      <c r="T82" s="107"/>
      <c r="U82" s="107"/>
      <c r="V82" s="107"/>
      <c r="W82" s="107"/>
      <c r="X82" s="107"/>
      <c r="Y82" s="107"/>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row>
    <row r="83" spans="1:61" s="201" customFormat="1" hidden="1" outlineLevel="2">
      <c r="A83" s="9"/>
      <c r="B83" s="26"/>
      <c r="C83" s="25"/>
      <c r="D83" s="537"/>
      <c r="E83" s="92">
        <v>10</v>
      </c>
      <c r="F83" s="27"/>
      <c r="G83" s="27"/>
      <c r="H83" s="150"/>
      <c r="I83" s="152"/>
      <c r="J83" s="152"/>
      <c r="K83" s="152"/>
      <c r="L83" s="152"/>
      <c r="M83" s="152"/>
      <c r="N83" s="152"/>
      <c r="O83" s="152"/>
      <c r="P83" s="152"/>
      <c r="Q83" s="151"/>
      <c r="R83" s="73"/>
      <c r="S83" s="107"/>
      <c r="T83" s="107"/>
      <c r="U83" s="107"/>
      <c r="V83" s="107"/>
      <c r="W83" s="107"/>
      <c r="X83" s="107"/>
      <c r="Y83" s="107"/>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row>
    <row r="84" spans="1:61" s="201" customFormat="1" hidden="1" outlineLevel="1" collapsed="1">
      <c r="A84" s="9"/>
      <c r="B84" s="9"/>
      <c r="C84" s="272" t="str">
        <f>Asset1</f>
        <v>Subtransmission</v>
      </c>
      <c r="D84" s="9"/>
      <c r="E84" s="9"/>
      <c r="F84" s="23"/>
      <c r="G84" s="23"/>
      <c r="H84" s="298">
        <f>-SUM(H72:H83)</f>
        <v>0</v>
      </c>
      <c r="I84" s="165">
        <f>-SUM(I72:I83)</f>
        <v>-22.221416972009369</v>
      </c>
      <c r="J84" s="165">
        <f>-SUM(J72:J83)</f>
        <v>-44.068269104737396</v>
      </c>
      <c r="K84" s="165">
        <f>-SUM(K72:K83)</f>
        <v>-63.80349995248401</v>
      </c>
      <c r="L84" s="165">
        <f>-SUM(L72:L83)</f>
        <v>-63.116820701394637</v>
      </c>
      <c r="M84" s="165">
        <f>IF(COUNT($H84:L84)&gt;=Input!$Y$7,0, -SUM(M72:M83))</f>
        <v>0</v>
      </c>
      <c r="N84" s="165">
        <f>IF(COUNT($H84:M84)&gt;=Input!$Y$7,0, -SUM(N72:N83))</f>
        <v>0</v>
      </c>
      <c r="O84" s="165">
        <f>IF(COUNT($H84:N84)&gt;=Input!$Y$7,0, -SUM(O72:O83))</f>
        <v>0</v>
      </c>
      <c r="P84" s="165">
        <f>IF(COUNT($H84:O84)&gt;=Input!$Y$7,0, -SUM(P72:P83))</f>
        <v>0</v>
      </c>
      <c r="Q84" s="165">
        <f>IF(COUNT($H84:P84)&gt;=Input!$Y$7,0, -SUM(Q72:Q83))</f>
        <v>0</v>
      </c>
      <c r="R84" s="165"/>
      <c r="S84" s="106"/>
      <c r="T84" s="106"/>
      <c r="U84" s="106"/>
      <c r="V84" s="106"/>
      <c r="W84" s="106"/>
      <c r="X84" s="106"/>
      <c r="Y84" s="106"/>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row>
    <row r="85" spans="1:61" s="201" customFormat="1" hidden="1" outlineLevel="2">
      <c r="A85" s="9"/>
      <c r="B85" s="273" t="str">
        <f>Asset2</f>
        <v>Distribution system assets</v>
      </c>
      <c r="C85" s="31"/>
      <c r="D85" s="32" t="s">
        <v>43</v>
      </c>
      <c r="E85" s="31"/>
      <c r="F85" s="301"/>
      <c r="G85" s="301"/>
      <c r="H85" s="72">
        <f>IF(H$3&gt;A2taxremlife,A2taxvalue-SUM($F85:F85),IF(A2taxremlife="N/A","n/a",A2taxvalue/A2taxremlife))</f>
        <v>0</v>
      </c>
      <c r="I85" s="72">
        <f>IF(I$3&gt;A2taxremlife,A2taxvalue-SUM($F85:H85),IF(A2taxremlife="N/A","n/a",A2taxvalue/A2taxremlife))</f>
        <v>0</v>
      </c>
      <c r="J85" s="72">
        <f>IF(J$3&gt;A2taxremlife,A2taxvalue-SUM($F85:I85),IF(A2taxremlife="N/A","n/a",A2taxvalue/A2taxremlife))</f>
        <v>0</v>
      </c>
      <c r="K85" s="72">
        <f>IF(K$3&gt;A2taxremlife,A2taxvalue-SUM($F85:J85),IF(A2taxremlife="N/A","n/a",A2taxvalue/A2taxremlife))</f>
        <v>0</v>
      </c>
      <c r="L85" s="72">
        <f>IF(L$3&gt;A2taxremlife,A2taxvalue-SUM($F85:K85),IF(A2taxremlife="N/A","n/a",A2taxvalue/A2taxremlife))</f>
        <v>0</v>
      </c>
      <c r="M85" s="72">
        <f>IF(M$3&gt;A2taxremlife,A2taxvalue-SUM($F85:L85),IF(A2taxremlife="N/A","n/a",A2taxvalue/A2taxremlife))</f>
        <v>0</v>
      </c>
      <c r="N85" s="72">
        <f>IF(N$3&gt;A2taxremlife,A2taxvalue-SUM($F85:M85),IF(A2taxremlife="N/A","n/a",A2taxvalue/A2taxremlife))</f>
        <v>0</v>
      </c>
      <c r="O85" s="72">
        <f>IF(O$3&gt;A2taxremlife,A2taxvalue-SUM($F85:N85),IF(A2taxremlife="N/A","n/a",A2taxvalue/A2taxremlife))</f>
        <v>0</v>
      </c>
      <c r="P85" s="72">
        <f>IF(P$3&gt;A2taxremlife,A2taxvalue-SUM($F85:O85),IF(A2taxremlife="N/A","n/a",A2taxvalue/A2taxremlife))</f>
        <v>0</v>
      </c>
      <c r="Q85" s="72">
        <f>IF(Q$3&gt;A2taxremlife,A2taxvalue-SUM($F85:P85),IF(A2taxremlife="N/A","n/a",A2taxvalue/A2taxremlife))</f>
        <v>0</v>
      </c>
      <c r="R85" s="72"/>
      <c r="S85" s="107"/>
      <c r="T85" s="107"/>
      <c r="U85" s="107"/>
      <c r="V85" s="107"/>
      <c r="W85" s="107"/>
      <c r="X85" s="107"/>
      <c r="Y85" s="107"/>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row>
    <row r="86" spans="1:61" s="201" customFormat="1" ht="12.75" hidden="1" customHeight="1" outlineLevel="2">
      <c r="A86" s="9"/>
      <c r="B86" s="9"/>
      <c r="C86" s="26"/>
      <c r="D86" s="536" t="s">
        <v>59</v>
      </c>
      <c r="E86" s="91"/>
      <c r="F86" s="27"/>
      <c r="G86" s="27"/>
      <c r="H86" s="107"/>
      <c r="I86" s="73"/>
      <c r="J86" s="73"/>
      <c r="K86" s="73"/>
      <c r="L86" s="73"/>
      <c r="M86" s="73"/>
      <c r="N86" s="73"/>
      <c r="O86" s="73"/>
      <c r="P86" s="73"/>
      <c r="Q86" s="73"/>
      <c r="R86" s="73"/>
      <c r="S86" s="107"/>
      <c r="T86" s="107"/>
      <c r="U86" s="107"/>
      <c r="V86" s="107"/>
      <c r="W86" s="107"/>
      <c r="X86" s="107"/>
      <c r="Y86" s="107"/>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row>
    <row r="87" spans="1:61" s="201" customFormat="1" hidden="1" outlineLevel="2">
      <c r="A87" s="9"/>
      <c r="B87" s="9"/>
      <c r="C87" s="26"/>
      <c r="D87" s="537"/>
      <c r="E87" s="91">
        <v>1</v>
      </c>
      <c r="F87" s="27"/>
      <c r="G87" s="27"/>
      <c r="H87" s="149"/>
      <c r="I87" s="73">
        <f>IF(A2taxstdlife="n/a","n/a",IF(I$3&gt;(A2taxstdlife+$E87),(Input!$H$178-Input!$H$212)-SUM($H87:H87),(Input!$H$178-Input!$H$212)/A2taxstdlife))</f>
        <v>214.21892081260307</v>
      </c>
      <c r="J87" s="73">
        <f>IF(A2taxstdlife="n/a","n/a",IF(J$3&gt;(A2taxstdlife+$E87),(Input!$H$178-Input!$H$212)-SUM($H87:I87),(Input!$H$178-Input!$H$212)/A2taxstdlife))</f>
        <v>0</v>
      </c>
      <c r="K87" s="73">
        <f>IF(A2taxstdlife="n/a","n/a",IF(K$3&gt;(A2taxstdlife+$E87),(Input!$H$178-Input!$H$212)-SUM($H87:J87),(Input!$H$178-Input!$H$212)/A2taxstdlife))</f>
        <v>0</v>
      </c>
      <c r="L87" s="73">
        <f>IF(A2taxstdlife="n/a","n/a",IF(L$3&gt;(A2taxstdlife+$E87),(Input!$H$178-Input!$H$212)-SUM($H87:K87),(Input!$H$178-Input!$H$212)/A2taxstdlife))</f>
        <v>0</v>
      </c>
      <c r="M87" s="73">
        <f>IF(A2taxstdlife="n/a","n/a",IF(M$3&gt;(A2taxstdlife+$E87),(Input!$H$178-Input!$H$212)-SUM($H87:L87),(Input!$H$178-Input!$H$212)/A2taxstdlife))</f>
        <v>0</v>
      </c>
      <c r="N87" s="73">
        <f>IF(A2taxstdlife="n/a","n/a",IF(N$3&gt;(A2taxstdlife+$E87),(Input!$H$178-Input!$H$212)-SUM($H87:M87),(Input!$H$178-Input!$H$212)/A2taxstdlife))</f>
        <v>0</v>
      </c>
      <c r="O87" s="73">
        <f>IF(A2taxstdlife="n/a","n/a",IF(O$3&gt;(A2taxstdlife+$E87),(Input!$H$178-Input!$H$212)-SUM($H87:N87),(Input!$H$178-Input!$H$212)/A2taxstdlife))</f>
        <v>0</v>
      </c>
      <c r="P87" s="73">
        <f>IF(A2taxstdlife="n/a","n/a",IF(P$3&gt;(A2taxstdlife+$E87),(Input!$H$178-Input!$H$212)-SUM($H87:O87),(Input!$H$178-Input!$H$212)/A2taxstdlife))</f>
        <v>0</v>
      </c>
      <c r="Q87" s="73">
        <f>IF(A2taxstdlife="n/a","n/a",IF(Q$3&gt;(A2taxstdlife+$E87),(Input!$H$178-Input!$H$212)-SUM($H87:P87),(Input!$H$178-Input!$H$212)/A2taxstdlife))</f>
        <v>0</v>
      </c>
      <c r="R87" s="73"/>
      <c r="S87" s="107"/>
      <c r="T87" s="107"/>
      <c r="U87" s="107"/>
      <c r="V87" s="107"/>
      <c r="W87" s="107"/>
      <c r="X87" s="107"/>
      <c r="Y87" s="107"/>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row>
    <row r="88" spans="1:61" s="201" customFormat="1" hidden="1" outlineLevel="2">
      <c r="A88" s="9"/>
      <c r="B88" s="9"/>
      <c r="C88" s="26"/>
      <c r="D88" s="537"/>
      <c r="E88" s="91">
        <v>2</v>
      </c>
      <c r="F88" s="27"/>
      <c r="G88" s="27"/>
      <c r="H88" s="150"/>
      <c r="I88" s="151"/>
      <c r="J88" s="73">
        <f>IF(A2taxstdlife="n/a","n/a",IF(J$3&gt;(A2taxstdlife+$E88),(Input!$I$178-Input!$I$212)-SUM($I88:I88),(Input!$I$178-Input!$I$212)/A2taxstdlife))</f>
        <v>229.0560217353418</v>
      </c>
      <c r="K88" s="73">
        <f>IF(A2taxstdlife="n/a","n/a",IF(K$3&gt;(A2taxstdlife+$E88),(Input!$I$178-Input!$I$212)-SUM($I88:J88),(Input!$I$178-Input!$I$212)/A2taxstdlife))</f>
        <v>0</v>
      </c>
      <c r="L88" s="73">
        <f>IF(A2taxstdlife="n/a","n/a",IF(L$3&gt;(A2taxstdlife+$E88),(Input!$I$178-Input!$I$212)-SUM($I88:K88),(Input!$I$178-Input!$I$212)/A2taxstdlife))</f>
        <v>0</v>
      </c>
      <c r="M88" s="73">
        <f>IF(A2taxstdlife="n/a","n/a",IF(M$3&gt;(A2taxstdlife+$E88),(Input!$I$178-Input!$I$212)-SUM($I88:L88),(Input!$I$178-Input!$I$212)/A2taxstdlife))</f>
        <v>0</v>
      </c>
      <c r="N88" s="73">
        <f>IF(A2taxstdlife="n/a","n/a",IF(N$3&gt;(A2taxstdlife+$E88),(Input!$I$178-Input!$I$212)-SUM($I88:M88),(Input!$I$178-Input!$I$212)/A2taxstdlife))</f>
        <v>0</v>
      </c>
      <c r="O88" s="73">
        <f>IF(A2taxstdlife="n/a","n/a",IF(O$3&gt;(A2taxstdlife+$E88),(Input!$I$178-Input!$I$212)-SUM($I88:N88),(Input!$I$178-Input!$I$212)/A2taxstdlife))</f>
        <v>0</v>
      </c>
      <c r="P88" s="73">
        <f>IF(A2taxstdlife="n/a","n/a",IF(P$3&gt;(A2taxstdlife+$E88),(Input!$I$178-Input!$I$212)-SUM($I88:O88),(Input!$I$178-Input!$I$212)/A2taxstdlife))</f>
        <v>0</v>
      </c>
      <c r="Q88" s="73">
        <f>IF(A2taxstdlife="n/a","n/a",IF(Q$3&gt;(A2taxstdlife+$E88),(Input!$I$178-Input!$I$212)-SUM($I88:P88),(Input!$I$178-Input!$I$212)/A2taxstdlife))</f>
        <v>0</v>
      </c>
      <c r="R88" s="73"/>
      <c r="S88" s="107"/>
      <c r="T88" s="107"/>
      <c r="U88" s="107"/>
      <c r="V88" s="107"/>
      <c r="W88" s="107"/>
      <c r="X88" s="107"/>
      <c r="Y88" s="107"/>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2"/>
    </row>
    <row r="89" spans="1:61" s="201" customFormat="1" hidden="1" outlineLevel="2">
      <c r="A89" s="9"/>
      <c r="B89" s="9"/>
      <c r="C89" s="26"/>
      <c r="D89" s="537"/>
      <c r="E89" s="91">
        <v>3</v>
      </c>
      <c r="F89" s="27"/>
      <c r="G89" s="27"/>
      <c r="H89" s="150"/>
      <c r="I89" s="152"/>
      <c r="J89" s="151"/>
      <c r="K89" s="73">
        <f>IF(A2taxstdlife="n/a","n/a",IF(K$3&gt;(A2taxstdlife+$E89),(Input!$J$178-Input!$J$212)-SUM($J89:J89),(Input!$J$178-Input!$J$212)/A2taxstdlife))</f>
        <v>264.20522451001659</v>
      </c>
      <c r="L89" s="73">
        <f>IF(A2taxstdlife="n/a","n/a",IF(L$3&gt;(A2taxstdlife+$E89),(Input!$J$178-Input!$J$212)-SUM($J89:K89),(Input!$J$178-Input!$J$212)/A2taxstdlife))</f>
        <v>0</v>
      </c>
      <c r="M89" s="73">
        <f>IF(A2taxstdlife="n/a","n/a",IF(M$3&gt;(A2taxstdlife+$E89),(Input!$J$178-Input!$J$212)-SUM($J89:L89),(Input!$J$178-Input!$J$212)/A2taxstdlife))</f>
        <v>0</v>
      </c>
      <c r="N89" s="73">
        <f>IF(A2taxstdlife="n/a","n/a",IF(N$3&gt;(A2taxstdlife+$E89),(Input!$J$178-Input!$J$212)-SUM($J89:M89),(Input!$J$178-Input!$J$212)/A2taxstdlife))</f>
        <v>0</v>
      </c>
      <c r="O89" s="73">
        <f>IF(A2taxstdlife="n/a","n/a",IF(O$3&gt;(A2taxstdlife+$E89),(Input!$J$178-Input!$J$212)-SUM($J89:N89),(Input!$J$178-Input!$J$212)/A2taxstdlife))</f>
        <v>0</v>
      </c>
      <c r="P89" s="73">
        <f>IF(A2taxstdlife="n/a","n/a",IF(P$3&gt;(A2taxstdlife+$E89),(Input!$J$178-Input!$J$212)-SUM($J89:O89),(Input!$J$178-Input!$J$212)/A2taxstdlife))</f>
        <v>0</v>
      </c>
      <c r="Q89" s="73">
        <f>IF(A2taxstdlife="n/a","n/a",IF(Q$3&gt;(A2taxstdlife+$E89),(Input!$J$178-Input!$J$212)-SUM($J89:P89),(Input!$J$178-Input!$J$212)/A2taxstdlife))</f>
        <v>0</v>
      </c>
      <c r="R89" s="73"/>
      <c r="S89" s="107"/>
      <c r="T89" s="107"/>
      <c r="U89" s="107"/>
      <c r="V89" s="107"/>
      <c r="W89" s="107"/>
      <c r="X89" s="107"/>
      <c r="Y89" s="107"/>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row>
    <row r="90" spans="1:61" s="201" customFormat="1" hidden="1" outlineLevel="2">
      <c r="A90" s="9"/>
      <c r="B90" s="9"/>
      <c r="C90" s="26"/>
      <c r="D90" s="537"/>
      <c r="E90" s="91">
        <v>4</v>
      </c>
      <c r="F90" s="27"/>
      <c r="G90" s="27"/>
      <c r="H90" s="150"/>
      <c r="I90" s="152"/>
      <c r="J90" s="152"/>
      <c r="K90" s="151"/>
      <c r="L90" s="73">
        <f>IF(A2taxstdlife="n/a","n/a",IF(L$3&gt;(A2taxstdlife+$E90),(Input!$K$178-Input!$K$212)-SUM($K90:K90),(Input!$K$178-Input!$K$212)/A2taxstdlife))</f>
        <v>326.39358925165811</v>
      </c>
      <c r="M90" s="73">
        <f>IF(A2taxstdlife="n/a","n/a",IF(M$3&gt;(A2taxstdlife+$E90),(Input!$K$178-Input!$K$212)-SUM($K90:L90),(Input!$K$178-Input!$K$212)/A2taxstdlife))</f>
        <v>0</v>
      </c>
      <c r="N90" s="73">
        <f>IF(A2taxstdlife="n/a","n/a",IF(N$3&gt;(A2taxstdlife+$E90),(Input!$K$178-Input!$K$212)-SUM($K90:M90),(Input!$K$178-Input!$K$212)/A2taxstdlife))</f>
        <v>0</v>
      </c>
      <c r="O90" s="73">
        <f>IF(A2taxstdlife="n/a","n/a",IF(O$3&gt;(A2taxstdlife+$E90),(Input!$K$178-Input!$K$212)-SUM($K90:N90),(Input!$K$178-Input!$K$212)/A2taxstdlife))</f>
        <v>0</v>
      </c>
      <c r="P90" s="73">
        <f>IF(A2taxstdlife="n/a","n/a",IF(P$3&gt;(A2taxstdlife+$E90),(Input!$K$178-Input!$K$212)-SUM($K90:O90),(Input!$K$178-Input!$K$212)/A2taxstdlife))</f>
        <v>0</v>
      </c>
      <c r="Q90" s="73">
        <f>IF(A2taxstdlife="n/a","n/a",IF(Q$3&gt;(A2taxstdlife+$E90),(Input!$K$178-Input!$K$212)-SUM($K90:P90),(Input!$K$178-Input!$K$212)/A2taxstdlife))</f>
        <v>0</v>
      </c>
      <c r="R90" s="73"/>
      <c r="S90" s="107"/>
      <c r="T90" s="107"/>
      <c r="U90" s="107"/>
      <c r="V90" s="107"/>
      <c r="W90" s="107"/>
      <c r="X90" s="107"/>
      <c r="Y90" s="107"/>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row>
    <row r="91" spans="1:61" s="201" customFormat="1" hidden="1" outlineLevel="2">
      <c r="A91" s="9"/>
      <c r="B91" s="9"/>
      <c r="C91" s="26"/>
      <c r="D91" s="537"/>
      <c r="E91" s="91">
        <v>5</v>
      </c>
      <c r="F91" s="27"/>
      <c r="G91" s="27"/>
      <c r="H91" s="150"/>
      <c r="I91" s="152"/>
      <c r="J91" s="152"/>
      <c r="K91" s="152"/>
      <c r="L91" s="151"/>
      <c r="M91" s="73">
        <f>IF(A2taxstdlife="n/a","n/a",IF(M$3&gt;(A2taxstdlife+$E91),(Input!$L$178-Input!$L$212)-SUM($L91:L91),(Input!$L$178-Input!$L$212)/A2taxstdlife))</f>
        <v>298.49074553462151</v>
      </c>
      <c r="N91" s="73">
        <f>IF(A2taxstdlife="n/a","n/a",IF(N$3&gt;(A2taxstdlife+$E91),(Input!$L$178-Input!$L$212)-SUM($L91:M91),(Input!$L$178-Input!$L$212)/A2taxstdlife))</f>
        <v>0</v>
      </c>
      <c r="O91" s="73">
        <f>IF(A2taxstdlife="n/a","n/a",IF(O$3&gt;(A2taxstdlife+$E91),(Input!$L$178-Input!$L$212)-SUM($L91:N91),(Input!$L$178-Input!$L$212)/A2taxstdlife))</f>
        <v>0</v>
      </c>
      <c r="P91" s="73">
        <f>IF(A2taxstdlife="n/a","n/a",IF(P$3&gt;(A2taxstdlife+$E91),(Input!$L$178-Input!$L$212)-SUM($L91:O91),(Input!$L$178-Input!$L$212)/A2taxstdlife))</f>
        <v>0</v>
      </c>
      <c r="Q91" s="73">
        <f>IF(A2taxstdlife="n/a","n/a",IF(Q$3&gt;(A2taxstdlife+$E91),(Input!$L$178-Input!$L$212)-SUM($L91:P91),(Input!$L$178-Input!$L$212)/A2taxstdlife))</f>
        <v>0</v>
      </c>
      <c r="R91" s="73"/>
      <c r="S91" s="107"/>
      <c r="T91" s="107"/>
      <c r="U91" s="107"/>
      <c r="V91" s="107"/>
      <c r="W91" s="107"/>
      <c r="X91" s="107"/>
      <c r="Y91" s="107"/>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row>
    <row r="92" spans="1:61" s="201" customFormat="1" hidden="1" outlineLevel="2">
      <c r="A92" s="9"/>
      <c r="B92" s="9"/>
      <c r="C92" s="26"/>
      <c r="D92" s="537"/>
      <c r="E92" s="91">
        <v>6</v>
      </c>
      <c r="F92" s="27"/>
      <c r="G92" s="27"/>
      <c r="H92" s="150"/>
      <c r="I92" s="152"/>
      <c r="J92" s="152"/>
      <c r="K92" s="152"/>
      <c r="L92" s="152"/>
      <c r="M92" s="151"/>
      <c r="N92" s="73">
        <f>IF(A2taxstdlife="n/a","n/a",IF(N$3&gt;(A2taxstdlife+$E92),(Input!$M$178-Input!$M$212)-SUM($M92:M92),(Input!$M$178-Input!$M$212)/A2taxstdlife))</f>
        <v>0</v>
      </c>
      <c r="O92" s="73">
        <f>IF(A2taxstdlife="n/a","n/a",IF(O$3&gt;(A2taxstdlife+$E92),(Input!$M$178-Input!$M$212)-SUM($M92:N92),(Input!$M$178-Input!$M$212)/A2taxstdlife))</f>
        <v>0</v>
      </c>
      <c r="P92" s="73">
        <f>IF(A2taxstdlife="n/a","n/a",IF(P$3&gt;(A2taxstdlife+$E92),(Input!$M$178-Input!$M$212)-SUM($M92:O92),(Input!$M$178-Input!$M$212)/A2taxstdlife))</f>
        <v>0</v>
      </c>
      <c r="Q92" s="73">
        <f>IF(A2taxstdlife="n/a","n/a",IF(Q$3&gt;(A2taxstdlife+$E92),(Input!$M$178-Input!$M$212)-SUM($M92:P92),(Input!$M$178-Input!$M$212)/A2taxstdlife))</f>
        <v>0</v>
      </c>
      <c r="R92" s="73"/>
      <c r="S92" s="107"/>
      <c r="T92" s="107"/>
      <c r="U92" s="107"/>
      <c r="V92" s="107"/>
      <c r="W92" s="107"/>
      <c r="X92" s="107"/>
      <c r="Y92" s="107"/>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row>
    <row r="93" spans="1:61" s="201" customFormat="1" hidden="1" outlineLevel="2">
      <c r="A93" s="9"/>
      <c r="B93" s="9"/>
      <c r="C93" s="26"/>
      <c r="D93" s="537"/>
      <c r="E93" s="91">
        <v>7</v>
      </c>
      <c r="F93" s="27"/>
      <c r="G93" s="27"/>
      <c r="H93" s="150"/>
      <c r="I93" s="152"/>
      <c r="J93" s="152"/>
      <c r="K93" s="152"/>
      <c r="L93" s="152"/>
      <c r="M93" s="152"/>
      <c r="N93" s="151"/>
      <c r="O93" s="73">
        <f>IF(A2taxstdlife="n/a","n/a",IF(O$3&gt;(A2taxstdlife+$E93),(Input!$N$178-Input!$N$212)-SUM($N93:N93),(Input!$N$178-Input!$N$212)/A2taxstdlife))</f>
        <v>0</v>
      </c>
      <c r="P93" s="73">
        <f>IF(A2taxstdlife="n/a","n/a",IF(P$3&gt;(A2taxstdlife+$E93),(Input!$N$178-Input!$N$212)-SUM($N93:O93),(Input!$N$178-Input!$N$212)/A2taxstdlife))</f>
        <v>0</v>
      </c>
      <c r="Q93" s="73">
        <f>IF(A2taxstdlife="n/a","n/a",IF(Q$3&gt;(A2taxstdlife+$E93),(Input!$N$178-Input!$N$212)-SUM($N93:P93),(Input!$N$178-Input!$N$212)/A2taxstdlife))</f>
        <v>0</v>
      </c>
      <c r="R93" s="73"/>
      <c r="S93" s="107"/>
      <c r="T93" s="107"/>
      <c r="U93" s="107"/>
      <c r="V93" s="107"/>
      <c r="W93" s="107"/>
      <c r="X93" s="107"/>
      <c r="Y93" s="107"/>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row>
    <row r="94" spans="1:61" s="201" customFormat="1" hidden="1" outlineLevel="2">
      <c r="A94" s="9"/>
      <c r="B94" s="9"/>
      <c r="C94" s="26"/>
      <c r="D94" s="537"/>
      <c r="E94" s="91">
        <v>8</v>
      </c>
      <c r="F94" s="27"/>
      <c r="G94" s="27"/>
      <c r="H94" s="150"/>
      <c r="I94" s="152"/>
      <c r="J94" s="152"/>
      <c r="K94" s="152"/>
      <c r="L94" s="152"/>
      <c r="M94" s="152"/>
      <c r="N94" s="152"/>
      <c r="O94" s="151"/>
      <c r="P94" s="73">
        <f>IF(A2taxstdlife="n/a","n/a",IF(P$3&gt;(A2taxstdlife+$E94),(Input!$O$178-Input!$O$212)-SUM($O94:O94),(Input!$O$178-Input!$O$212)/A2taxstdlife))</f>
        <v>0</v>
      </c>
      <c r="Q94" s="73">
        <f>IF(A2taxstdlife="n/a","n/a",IF(Q$3&gt;(A2taxstdlife+$E94),(Input!$O$178-Input!$O$212)-SUM($O94:P94),(Input!$O$178-Input!$O$212)/A2taxstdlife))</f>
        <v>0</v>
      </c>
      <c r="R94" s="73"/>
      <c r="S94" s="107"/>
      <c r="T94" s="107"/>
      <c r="U94" s="107"/>
      <c r="V94" s="107"/>
      <c r="W94" s="107"/>
      <c r="X94" s="107"/>
      <c r="Y94" s="107"/>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row>
    <row r="95" spans="1:61" s="201" customFormat="1" hidden="1" outlineLevel="2">
      <c r="A95" s="9"/>
      <c r="B95" s="9"/>
      <c r="C95" s="26"/>
      <c r="D95" s="537"/>
      <c r="E95" s="91">
        <v>9</v>
      </c>
      <c r="F95" s="27"/>
      <c r="G95" s="27"/>
      <c r="H95" s="150"/>
      <c r="I95" s="152"/>
      <c r="J95" s="152"/>
      <c r="K95" s="152"/>
      <c r="L95" s="152"/>
      <c r="M95" s="152"/>
      <c r="N95" s="152"/>
      <c r="O95" s="152"/>
      <c r="P95" s="151"/>
      <c r="Q95" s="73">
        <f>IF(A2taxstdlife="n/a","n/a",IF(Q$3&gt;(A2taxstdlife+$E95),(Input!$P$178-Input!$P$212)-SUM($P95:P95),(Input!$P$178-Input!$P$212)/A2taxstdlife))</f>
        <v>0</v>
      </c>
      <c r="R95" s="73"/>
      <c r="S95" s="107"/>
      <c r="T95" s="107"/>
      <c r="U95" s="107"/>
      <c r="V95" s="107"/>
      <c r="W95" s="107"/>
      <c r="X95" s="107"/>
      <c r="Y95" s="107"/>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row>
    <row r="96" spans="1:61" s="201" customFormat="1" hidden="1" outlineLevel="2">
      <c r="A96" s="9"/>
      <c r="B96" s="9"/>
      <c r="C96" s="26"/>
      <c r="D96" s="537"/>
      <c r="E96" s="92">
        <v>10</v>
      </c>
      <c r="F96" s="27"/>
      <c r="G96" s="27"/>
      <c r="H96" s="150"/>
      <c r="I96" s="152"/>
      <c r="J96" s="152"/>
      <c r="K96" s="152"/>
      <c r="L96" s="152"/>
      <c r="M96" s="152"/>
      <c r="N96" s="152"/>
      <c r="O96" s="152"/>
      <c r="P96" s="152"/>
      <c r="Q96" s="151"/>
      <c r="R96" s="73"/>
      <c r="S96" s="107"/>
      <c r="T96" s="107"/>
      <c r="U96" s="107"/>
      <c r="V96" s="107"/>
      <c r="W96" s="107"/>
      <c r="X96" s="107"/>
      <c r="Y96" s="107"/>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row>
    <row r="97" spans="1:60" s="201" customFormat="1" hidden="1" outlineLevel="1" collapsed="1">
      <c r="A97" s="9"/>
      <c r="B97" s="9"/>
      <c r="C97" s="272" t="str">
        <f>Asset2</f>
        <v>Distribution system assets</v>
      </c>
      <c r="D97" s="9"/>
      <c r="E97" s="9"/>
      <c r="F97" s="23"/>
      <c r="G97" s="23"/>
      <c r="H97" s="298">
        <f>-SUM(H85:H96)</f>
        <v>0</v>
      </c>
      <c r="I97" s="165">
        <f>-SUM(I85:I96)</f>
        <v>-214.21892081260307</v>
      </c>
      <c r="J97" s="165">
        <f>-SUM(J85:J96)</f>
        <v>-229.0560217353418</v>
      </c>
      <c r="K97" s="165">
        <f>-SUM(K85:K96)</f>
        <v>-264.20522451001659</v>
      </c>
      <c r="L97" s="165">
        <f>-SUM(L85:L96)</f>
        <v>-326.39358925165811</v>
      </c>
      <c r="M97" s="165">
        <f>IF(COUNT($H97:L97)&gt;=Input!$Y$7,0, -SUM(M85:M96))</f>
        <v>0</v>
      </c>
      <c r="N97" s="165">
        <f>IF(COUNT($H97:M97)&gt;=Input!$Y$7,0, -SUM(N85:N96))</f>
        <v>0</v>
      </c>
      <c r="O97" s="165">
        <f>IF(COUNT($H97:N97)&gt;=Input!$Y$7,0, -SUM(O85:O96))</f>
        <v>0</v>
      </c>
      <c r="P97" s="165">
        <f>IF(COUNT($H97:O97)&gt;=Input!$Y$7,0, -SUM(P85:P96))</f>
        <v>0</v>
      </c>
      <c r="Q97" s="165">
        <f>IF(COUNT($H97:P97)&gt;=Input!$Y$7,0, -SUM(Q85:Q96))</f>
        <v>0</v>
      </c>
      <c r="R97" s="165"/>
      <c r="S97" s="106"/>
      <c r="T97" s="106"/>
      <c r="U97" s="106"/>
      <c r="V97" s="106"/>
      <c r="W97" s="106"/>
      <c r="X97" s="106"/>
      <c r="Y97" s="106"/>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row>
    <row r="98" spans="1:60" s="201" customFormat="1" hidden="1" outlineLevel="2">
      <c r="A98" s="9"/>
      <c r="B98" s="273" t="str">
        <f>Asset3</f>
        <v>Standard metering</v>
      </c>
      <c r="C98" s="31"/>
      <c r="D98" s="32" t="s">
        <v>43</v>
      </c>
      <c r="E98" s="31"/>
      <c r="F98" s="301"/>
      <c r="G98" s="301"/>
      <c r="H98" s="72">
        <f>IF(H$3&gt;A3taxremlife,A3taxvalue-SUM($F98:F98),IF(A3taxremlife="N/A","n/a",A3taxvalue/A3taxremlife))</f>
        <v>0</v>
      </c>
      <c r="I98" s="72">
        <f>IF(I$3&gt;A3taxremlife,A3taxvalue-SUM($F98:H98),IF(A3taxremlife="N/A","n/a",A3taxvalue/A3taxremlife))</f>
        <v>0</v>
      </c>
      <c r="J98" s="72">
        <f>IF(J$3&gt;A3taxremlife,A3taxvalue-SUM($F98:I98),IF(A3taxremlife="N/A","n/a",A3taxvalue/A3taxremlife))</f>
        <v>0</v>
      </c>
      <c r="K98" s="72">
        <f>IF(K$3&gt;A3taxremlife,A3taxvalue-SUM($F98:J98),IF(A3taxremlife="N/A","n/a",A3taxvalue/A3taxremlife))</f>
        <v>0</v>
      </c>
      <c r="L98" s="72">
        <f>IF(L$3&gt;A3taxremlife,A3taxvalue-SUM($F98:K98),IF(A3taxremlife="N/A","n/a",A3taxvalue/A3taxremlife))</f>
        <v>0</v>
      </c>
      <c r="M98" s="72">
        <f>IF(M$3&gt;A3taxremlife,A3taxvalue-SUM($F98:L98),IF(A3taxremlife="N/A","n/a",A3taxvalue/A3taxremlife))</f>
        <v>0</v>
      </c>
      <c r="N98" s="72">
        <f>IF(N$3&gt;A3taxremlife,A3taxvalue-SUM($F98:M98),IF(A3taxremlife="N/A","n/a",A3taxvalue/A3taxremlife))</f>
        <v>0</v>
      </c>
      <c r="O98" s="72">
        <f>IF(O$3&gt;A3taxremlife,A3taxvalue-SUM($F98:N98),IF(A3taxremlife="N/A","n/a",A3taxvalue/A3taxremlife))</f>
        <v>0</v>
      </c>
      <c r="P98" s="72">
        <f>IF(P$3&gt;A3taxremlife,A3taxvalue-SUM($F98:O98),IF(A3taxremlife="N/A","n/a",A3taxvalue/A3taxremlife))</f>
        <v>0</v>
      </c>
      <c r="Q98" s="72">
        <f>IF(Q$3&gt;A3taxremlife,A3taxvalue-SUM($F98:P98),IF(A3taxremlife="N/A","n/a",A3taxvalue/A3taxremlife))</f>
        <v>0</v>
      </c>
      <c r="R98" s="72"/>
      <c r="S98" s="107"/>
      <c r="T98" s="107"/>
      <c r="U98" s="107"/>
      <c r="V98" s="107"/>
      <c r="W98" s="107"/>
      <c r="X98" s="107"/>
      <c r="Y98" s="107"/>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row>
    <row r="99" spans="1:60" s="201" customFormat="1" ht="12.75" hidden="1" customHeight="1" outlineLevel="2">
      <c r="A99" s="9"/>
      <c r="B99" s="9"/>
      <c r="C99" s="26"/>
      <c r="D99" s="536" t="s">
        <v>59</v>
      </c>
      <c r="E99" s="91"/>
      <c r="F99" s="27"/>
      <c r="G99" s="27"/>
      <c r="H99" s="107"/>
      <c r="I99" s="73"/>
      <c r="J99" s="73"/>
      <c r="K99" s="73"/>
      <c r="L99" s="73"/>
      <c r="M99" s="73"/>
      <c r="N99" s="73"/>
      <c r="O99" s="73"/>
      <c r="P99" s="73"/>
      <c r="Q99" s="73"/>
      <c r="R99" s="73"/>
      <c r="S99" s="107"/>
      <c r="T99" s="107"/>
      <c r="U99" s="107"/>
      <c r="V99" s="107"/>
      <c r="W99" s="107"/>
      <c r="X99" s="107"/>
      <c r="Y99" s="107"/>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row>
    <row r="100" spans="1:60" s="201" customFormat="1" hidden="1" outlineLevel="2">
      <c r="A100" s="9"/>
      <c r="B100" s="9"/>
      <c r="C100" s="26"/>
      <c r="D100" s="537"/>
      <c r="E100" s="91">
        <v>1</v>
      </c>
      <c r="F100" s="27"/>
      <c r="G100" s="27"/>
      <c r="H100" s="149"/>
      <c r="I100" s="73">
        <f>IF(A3taxstdlife="n/a","n/a",IF(I$3&gt;(A3taxstdlife+$E100),(Input!$H$179-Input!$H$213)-SUM($H100:H100),(Input!$H$179-Input!$H$213)/A3taxstdlife))</f>
        <v>0</v>
      </c>
      <c r="J100" s="73">
        <f>IF(A3taxstdlife="n/a","n/a",IF(J$3&gt;(A3taxstdlife+$E100),(Input!$H$179-Input!$H$213)-SUM($H100:I100),(Input!$H$179-Input!$H$213)/A3taxstdlife))</f>
        <v>0</v>
      </c>
      <c r="K100" s="73">
        <f>IF(A3taxstdlife="n/a","n/a",IF(K$3&gt;(A3taxstdlife+$E100),(Input!$H$179-Input!$H$213)-SUM($H100:J100),(Input!$H$179-Input!$H$213)/A3taxstdlife))</f>
        <v>0</v>
      </c>
      <c r="L100" s="73">
        <f>IF(A3taxstdlife="n/a","n/a",IF(L$3&gt;(A3taxstdlife+$E100),(Input!$H$179-Input!$H$213)-SUM($H100:K100),(Input!$H$179-Input!$H$213)/A3taxstdlife))</f>
        <v>0</v>
      </c>
      <c r="M100" s="73">
        <f>IF(A3taxstdlife="n/a","n/a",IF(M$3&gt;(A3taxstdlife+$E100),(Input!$H$179-Input!$H$213)-SUM($H100:L100),(Input!$H$179-Input!$H$213)/A3taxstdlife))</f>
        <v>0</v>
      </c>
      <c r="N100" s="73">
        <f>IF(A3taxstdlife="n/a","n/a",IF(N$3&gt;(A3taxstdlife+$E100),(Input!$H$179-Input!$H$213)-SUM($H100:M100),(Input!$H$179-Input!$H$213)/A3taxstdlife))</f>
        <v>0</v>
      </c>
      <c r="O100" s="73">
        <f>IF(A3taxstdlife="n/a","n/a",IF(O$3&gt;(A3taxstdlife+$E100),(Input!$H$179-Input!$H$213)-SUM($H100:N100),(Input!$H$179-Input!$H$213)/A3taxstdlife))</f>
        <v>0</v>
      </c>
      <c r="P100" s="73">
        <f>IF(A3taxstdlife="n/a","n/a",IF(P$3&gt;(A3taxstdlife+$E100),(Input!$H$179-Input!$H$213)-SUM($H100:O100),(Input!$H$179-Input!$H$213)/A3taxstdlife))</f>
        <v>0</v>
      </c>
      <c r="Q100" s="73">
        <f>IF(A3taxstdlife="n/a","n/a",IF(Q$3&gt;(A3taxstdlife+$E100),(Input!$H$179-Input!$H$213)-SUM($H100:P100),(Input!$H$179-Input!$H$213)/A3taxstdlife))</f>
        <v>0</v>
      </c>
      <c r="R100" s="73"/>
      <c r="S100" s="107"/>
      <c r="T100" s="107"/>
      <c r="U100" s="107"/>
      <c r="V100" s="107"/>
      <c r="W100" s="107"/>
      <c r="X100" s="107"/>
      <c r="Y100" s="107"/>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row>
    <row r="101" spans="1:60" s="201" customFormat="1" hidden="1" outlineLevel="2">
      <c r="A101" s="9"/>
      <c r="B101" s="9"/>
      <c r="C101" s="26"/>
      <c r="D101" s="537"/>
      <c r="E101" s="91">
        <v>2</v>
      </c>
      <c r="F101" s="27"/>
      <c r="G101" s="27"/>
      <c r="H101" s="150"/>
      <c r="I101" s="151"/>
      <c r="J101" s="73">
        <f>IF(A3taxstdlife="n/a","n/a",IF(J$3&gt;(A3taxstdlife+$E101),(Input!$I$179-Input!$I$213)-SUM($I101:I101),(Input!$I$179-Input!$I$213)/A3taxstdlife))</f>
        <v>0</v>
      </c>
      <c r="K101" s="73">
        <f>IF(A3taxstdlife="n/a","n/a",IF(K$3&gt;(A3taxstdlife+$E101),(Input!$I$179-Input!$I$213)-SUM($I101:J101),(Input!$I$179-Input!$I$213)/A3taxstdlife))</f>
        <v>0</v>
      </c>
      <c r="L101" s="73">
        <f>IF(A3taxstdlife="n/a","n/a",IF(L$3&gt;(A3taxstdlife+$E101),(Input!$I$179-Input!$I$213)-SUM($I101:K101),(Input!$I$179-Input!$I$213)/A3taxstdlife))</f>
        <v>0</v>
      </c>
      <c r="M101" s="73">
        <f>IF(A3taxstdlife="n/a","n/a",IF(M$3&gt;(A3taxstdlife+$E101),(Input!$I$179-Input!$I$213)-SUM($I101:L101),(Input!$I$179-Input!$I$213)/A3taxstdlife))</f>
        <v>0</v>
      </c>
      <c r="N101" s="73">
        <f>IF(A3taxstdlife="n/a","n/a",IF(N$3&gt;(A3taxstdlife+$E101),(Input!$I$179-Input!$I$213)-SUM($I101:M101),(Input!$I$179-Input!$I$213)/A3taxstdlife))</f>
        <v>0</v>
      </c>
      <c r="O101" s="73">
        <f>IF(A3taxstdlife="n/a","n/a",IF(O$3&gt;(A3taxstdlife+$E101),(Input!$I$179-Input!$I$213)-SUM($I101:N101),(Input!$I$179-Input!$I$213)/A3taxstdlife))</f>
        <v>0</v>
      </c>
      <c r="P101" s="73">
        <f>IF(A3taxstdlife="n/a","n/a",IF(P$3&gt;(A3taxstdlife+$E101),(Input!$I$179-Input!$I$213)-SUM($I101:O101),(Input!$I$179-Input!$I$213)/A3taxstdlife))</f>
        <v>0</v>
      </c>
      <c r="Q101" s="73">
        <f>IF(A3taxstdlife="n/a","n/a",IF(Q$3&gt;(A3taxstdlife+$E101),(Input!$I$179-Input!$I$213)-SUM($I101:P101),(Input!$I$179-Input!$I$213)/A3taxstdlife))</f>
        <v>0</v>
      </c>
      <c r="R101" s="73"/>
      <c r="S101" s="107"/>
      <c r="T101" s="107"/>
      <c r="U101" s="107"/>
      <c r="V101" s="107"/>
      <c r="W101" s="107"/>
      <c r="X101" s="107"/>
      <c r="Y101" s="107"/>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row>
    <row r="102" spans="1:60" s="201" customFormat="1" hidden="1" outlineLevel="2">
      <c r="A102" s="9"/>
      <c r="B102" s="9"/>
      <c r="C102" s="26"/>
      <c r="D102" s="537"/>
      <c r="E102" s="91">
        <v>3</v>
      </c>
      <c r="F102" s="27"/>
      <c r="G102" s="27"/>
      <c r="H102" s="150"/>
      <c r="I102" s="152"/>
      <c r="J102" s="151"/>
      <c r="K102" s="73">
        <f>IF(A3taxstdlife="n/a","n/a",IF(K$3&gt;(A3taxstdlife+$E102),(Input!$J$179-Input!$J$213)-SUM($J102:J102),(Input!$J$179-Input!$J$213)/A3taxstdlife))</f>
        <v>0</v>
      </c>
      <c r="L102" s="73">
        <f>IF(A3taxstdlife="n/a","n/a",IF(L$3&gt;(A3taxstdlife+$E102),(Input!$J$179-Input!$J$213)-SUM($J102:K102),(Input!$J$179-Input!$J$213)/A3taxstdlife))</f>
        <v>0</v>
      </c>
      <c r="M102" s="73">
        <f>IF(A3taxstdlife="n/a","n/a",IF(M$3&gt;(A3taxstdlife+$E102),(Input!$J$179-Input!$J$213)-SUM($J102:L102),(Input!$J$179-Input!$J$213)/A3taxstdlife))</f>
        <v>0</v>
      </c>
      <c r="N102" s="73">
        <f>IF(A3taxstdlife="n/a","n/a",IF(N$3&gt;(A3taxstdlife+$E102),(Input!$J$179-Input!$J$213)-SUM($J102:M102),(Input!$J$179-Input!$J$213)/A3taxstdlife))</f>
        <v>0</v>
      </c>
      <c r="O102" s="73">
        <f>IF(A3taxstdlife="n/a","n/a",IF(O$3&gt;(A3taxstdlife+$E102),(Input!$J$179-Input!$J$213)-SUM($J102:N102),(Input!$J$179-Input!$J$213)/A3taxstdlife))</f>
        <v>0</v>
      </c>
      <c r="P102" s="73">
        <f>IF(A3taxstdlife="n/a","n/a",IF(P$3&gt;(A3taxstdlife+$E102),(Input!$J$179-Input!$J$213)-SUM($J102:O102),(Input!$J$179-Input!$J$213)/A3taxstdlife))</f>
        <v>0</v>
      </c>
      <c r="Q102" s="73">
        <f>IF(A3taxstdlife="n/a","n/a",IF(Q$3&gt;(A3taxstdlife+$E102),(Input!$J$179-Input!$J$213)-SUM($J102:P102),(Input!$J$179-Input!$J$213)/A3taxstdlife))</f>
        <v>0</v>
      </c>
      <c r="R102" s="73"/>
      <c r="S102" s="107"/>
      <c r="T102" s="107"/>
      <c r="U102" s="107"/>
      <c r="V102" s="107"/>
      <c r="W102" s="107"/>
      <c r="X102" s="107"/>
      <c r="Y102" s="107"/>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row>
    <row r="103" spans="1:60" s="201" customFormat="1" hidden="1" outlineLevel="2">
      <c r="A103" s="9"/>
      <c r="B103" s="9"/>
      <c r="C103" s="26"/>
      <c r="D103" s="537"/>
      <c r="E103" s="91">
        <v>4</v>
      </c>
      <c r="F103" s="27"/>
      <c r="G103" s="27"/>
      <c r="H103" s="150"/>
      <c r="I103" s="152"/>
      <c r="J103" s="152"/>
      <c r="K103" s="151"/>
      <c r="L103" s="73">
        <f>IF(A3taxstdlife="n/a","n/a",IF(L$3&gt;(A3taxstdlife+$E103),(Input!$K$179-Input!$K$213)-SUM($K103:K103),(Input!$K$179-Input!$K$213)/A3taxstdlife))</f>
        <v>0</v>
      </c>
      <c r="M103" s="73">
        <f>IF(A3taxstdlife="n/a","n/a",IF(M$3&gt;(A3taxstdlife+$E103),(Input!$K$179-Input!$K$213)-SUM($K103:L103),(Input!$K$179-Input!$K$213)/A3taxstdlife))</f>
        <v>0</v>
      </c>
      <c r="N103" s="73">
        <f>IF(A3taxstdlife="n/a","n/a",IF(N$3&gt;(A3taxstdlife+$E103),(Input!$K$179-Input!$K$213)-SUM($K103:M103),(Input!$K$179-Input!$K$213)/A3taxstdlife))</f>
        <v>0</v>
      </c>
      <c r="O103" s="73">
        <f>IF(A3taxstdlife="n/a","n/a",IF(O$3&gt;(A3taxstdlife+$E103),(Input!$K$179-Input!$K$213)-SUM($K103:N103),(Input!$K$179-Input!$K$213)/A3taxstdlife))</f>
        <v>0</v>
      </c>
      <c r="P103" s="73">
        <f>IF(A3taxstdlife="n/a","n/a",IF(P$3&gt;(A3taxstdlife+$E103),(Input!$K$179-Input!$K$213)-SUM($K103:O103),(Input!$K$179-Input!$K$213)/A3taxstdlife))</f>
        <v>0</v>
      </c>
      <c r="Q103" s="73">
        <f>IF(A3taxstdlife="n/a","n/a",IF(Q$3&gt;(A3taxstdlife+$E103),(Input!$K$179-Input!$K$213)-SUM($K103:P103),(Input!$K$179-Input!$K$213)/A3taxstdlife))</f>
        <v>0</v>
      </c>
      <c r="R103" s="73"/>
      <c r="S103" s="107"/>
      <c r="T103" s="107"/>
      <c r="U103" s="107"/>
      <c r="V103" s="107"/>
      <c r="W103" s="107"/>
      <c r="X103" s="107"/>
      <c r="Y103" s="107"/>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row>
    <row r="104" spans="1:60" s="201" customFormat="1" hidden="1" outlineLevel="2">
      <c r="A104" s="9"/>
      <c r="B104" s="9"/>
      <c r="C104" s="26"/>
      <c r="D104" s="537"/>
      <c r="E104" s="91">
        <v>5</v>
      </c>
      <c r="F104" s="27"/>
      <c r="G104" s="27"/>
      <c r="H104" s="150"/>
      <c r="I104" s="152"/>
      <c r="J104" s="152"/>
      <c r="K104" s="152"/>
      <c r="L104" s="151"/>
      <c r="M104" s="73">
        <f>IF(A3taxstdlife="n/a","n/a",IF(M$3&gt;(A3taxstdlife+$E104),(Input!$L$179-Input!$L$213)-SUM($L104:L104),(Input!$L$179-Input!$L$213)/A3taxstdlife))</f>
        <v>0</v>
      </c>
      <c r="N104" s="73">
        <f>IF(A3taxstdlife="n/a","n/a",IF(N$3&gt;(A3taxstdlife+$E104),(Input!$L$179-Input!$L$213)-SUM($L104:M104),(Input!$L$179-Input!$L$213)/A3taxstdlife))</f>
        <v>0</v>
      </c>
      <c r="O104" s="73">
        <f>IF(A3taxstdlife="n/a","n/a",IF(O$3&gt;(A3taxstdlife+$E104),(Input!$L$179-Input!$L$213)-SUM($L104:N104),(Input!$L$179-Input!$L$213)/A3taxstdlife))</f>
        <v>0</v>
      </c>
      <c r="P104" s="73">
        <f>IF(A3taxstdlife="n/a","n/a",IF(P$3&gt;(A3taxstdlife+$E104),(Input!$L$179-Input!$L$213)-SUM($L104:O104),(Input!$L$179-Input!$L$213)/A3taxstdlife))</f>
        <v>0</v>
      </c>
      <c r="Q104" s="73">
        <f>IF(A3taxstdlife="n/a","n/a",IF(Q$3&gt;(A3taxstdlife+$E104),(Input!$L$179-Input!$L$213)-SUM($L104:P104),(Input!$L$179-Input!$L$213)/A3taxstdlife))</f>
        <v>0</v>
      </c>
      <c r="R104" s="73"/>
      <c r="S104" s="107"/>
      <c r="T104" s="107"/>
      <c r="U104" s="107"/>
      <c r="V104" s="107"/>
      <c r="W104" s="107"/>
      <c r="X104" s="107"/>
      <c r="Y104" s="107"/>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row>
    <row r="105" spans="1:60" s="201" customFormat="1" hidden="1" outlineLevel="2">
      <c r="A105" s="9"/>
      <c r="B105" s="9"/>
      <c r="C105" s="26"/>
      <c r="D105" s="537"/>
      <c r="E105" s="91">
        <v>6</v>
      </c>
      <c r="F105" s="27"/>
      <c r="G105" s="27"/>
      <c r="H105" s="150"/>
      <c r="I105" s="152"/>
      <c r="J105" s="152"/>
      <c r="K105" s="152"/>
      <c r="L105" s="152"/>
      <c r="M105" s="151"/>
      <c r="N105" s="73">
        <f>IF(A3taxstdlife="n/a","n/a",IF(N$3&gt;(A3taxstdlife+$E105),(Input!$M$179-Input!$M$213)-SUM($M105:M105),(Input!$M$179-Input!$M$213)/A3taxstdlife))</f>
        <v>0</v>
      </c>
      <c r="O105" s="73">
        <f>IF(A3taxstdlife="n/a","n/a",IF(O$3&gt;(A3taxstdlife+$E105),(Input!$M$179-Input!$M$213)-SUM($M105:N105),(Input!$M$179-Input!$M$213)/A3taxstdlife))</f>
        <v>0</v>
      </c>
      <c r="P105" s="73">
        <f>IF(A3taxstdlife="n/a","n/a",IF(P$3&gt;(A3taxstdlife+$E105),(Input!$M$179-Input!$M$213)-SUM($M105:O105),(Input!$M$179-Input!$M$213)/A3taxstdlife))</f>
        <v>0</v>
      </c>
      <c r="Q105" s="73">
        <f>IF(A3taxstdlife="n/a","n/a",IF(Q$3&gt;(A3taxstdlife+$E105),(Input!$M$179-Input!$M$213)-SUM($M105:P105),(Input!$M$179-Input!$M$213)/A3taxstdlife))</f>
        <v>0</v>
      </c>
      <c r="R105" s="73"/>
      <c r="S105" s="107"/>
      <c r="T105" s="107"/>
      <c r="U105" s="107"/>
      <c r="V105" s="107"/>
      <c r="W105" s="107"/>
      <c r="X105" s="107"/>
      <c r="Y105" s="107"/>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row>
    <row r="106" spans="1:60" s="201" customFormat="1" hidden="1" outlineLevel="2">
      <c r="A106" s="9"/>
      <c r="B106" s="9"/>
      <c r="C106" s="26"/>
      <c r="D106" s="537"/>
      <c r="E106" s="91">
        <v>7</v>
      </c>
      <c r="F106" s="27"/>
      <c r="G106" s="27"/>
      <c r="H106" s="150"/>
      <c r="I106" s="152"/>
      <c r="J106" s="152"/>
      <c r="K106" s="152"/>
      <c r="L106" s="152"/>
      <c r="M106" s="152"/>
      <c r="N106" s="151"/>
      <c r="O106" s="73">
        <f>IF(A3taxstdlife="n/a","n/a",IF(O$3&gt;(A3taxstdlife+$E106),(Input!$N$179-Input!$N$213)-SUM($N106:N106),(Input!$N$179-Input!$N$213)/A3taxstdlife))</f>
        <v>0</v>
      </c>
      <c r="P106" s="73">
        <f>IF(A3taxstdlife="n/a","n/a",IF(P$3&gt;(A3taxstdlife+$E106),(Input!$N$179-Input!$N$213)-SUM($N106:O106),(Input!$N$179-Input!$N$213)/A3taxstdlife))</f>
        <v>0</v>
      </c>
      <c r="Q106" s="73">
        <f>IF(A3taxstdlife="n/a","n/a",IF(Q$3&gt;(A3taxstdlife+$E106),(Input!$N$179-Input!$N$213)-SUM($N106:P106),(Input!$N$179-Input!$N$213)/A3taxstdlife))</f>
        <v>0</v>
      </c>
      <c r="R106" s="73"/>
      <c r="S106" s="107"/>
      <c r="T106" s="107"/>
      <c r="U106" s="107"/>
      <c r="V106" s="107"/>
      <c r="W106" s="107"/>
      <c r="X106" s="107"/>
      <c r="Y106" s="107"/>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row>
    <row r="107" spans="1:60" s="201" customFormat="1" hidden="1" outlineLevel="2">
      <c r="A107" s="9"/>
      <c r="B107" s="9"/>
      <c r="C107" s="26"/>
      <c r="D107" s="537"/>
      <c r="E107" s="91">
        <v>8</v>
      </c>
      <c r="F107" s="27"/>
      <c r="G107" s="27"/>
      <c r="H107" s="150"/>
      <c r="I107" s="152"/>
      <c r="J107" s="152"/>
      <c r="K107" s="152"/>
      <c r="L107" s="152"/>
      <c r="M107" s="152"/>
      <c r="N107" s="152"/>
      <c r="O107" s="151"/>
      <c r="P107" s="73">
        <f>IF(A3taxstdlife="n/a","n/a",IF(P$3&gt;(A3taxstdlife+$E107),(Input!$O$179-Input!$O$213)-SUM($O107:O107),(Input!$O$179-Input!$O$213)/A3taxstdlife))</f>
        <v>0</v>
      </c>
      <c r="Q107" s="73">
        <f>IF(A3taxstdlife="n/a","n/a",IF(Q$3&gt;(A3taxstdlife+$E107),(Input!$O$179-Input!$O$213)-SUM($O107:P107),(Input!$O$179-Input!$O$213)/A3taxstdlife))</f>
        <v>0</v>
      </c>
      <c r="R107" s="73"/>
      <c r="S107" s="107"/>
      <c r="T107" s="107"/>
      <c r="U107" s="107"/>
      <c r="V107" s="107"/>
      <c r="W107" s="107"/>
      <c r="X107" s="107"/>
      <c r="Y107" s="107"/>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row>
    <row r="108" spans="1:60" s="201" customFormat="1" hidden="1" outlineLevel="2">
      <c r="A108" s="9"/>
      <c r="B108" s="9"/>
      <c r="C108" s="26"/>
      <c r="D108" s="537"/>
      <c r="E108" s="91">
        <v>9</v>
      </c>
      <c r="F108" s="27"/>
      <c r="G108" s="27"/>
      <c r="H108" s="150"/>
      <c r="I108" s="152"/>
      <c r="J108" s="152"/>
      <c r="K108" s="152"/>
      <c r="L108" s="152"/>
      <c r="M108" s="152"/>
      <c r="N108" s="152"/>
      <c r="O108" s="152"/>
      <c r="P108" s="151"/>
      <c r="Q108" s="73">
        <f>IF(A3taxstdlife="n/a","n/a",IF(Q$3&gt;(A3taxstdlife+$E108),(Input!$P$179-Input!$P$213)-SUM($P108:P108),(Input!$P$179-Input!$P$213)/A3taxstdlife))</f>
        <v>0</v>
      </c>
      <c r="R108" s="73"/>
      <c r="S108" s="107"/>
      <c r="T108" s="107"/>
      <c r="U108" s="107"/>
      <c r="V108" s="107"/>
      <c r="W108" s="107"/>
      <c r="X108" s="107"/>
      <c r="Y108" s="107"/>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row>
    <row r="109" spans="1:60" s="201" customFormat="1" hidden="1" outlineLevel="2">
      <c r="A109" s="9"/>
      <c r="B109" s="9"/>
      <c r="C109" s="26"/>
      <c r="D109" s="537"/>
      <c r="E109" s="92">
        <v>10</v>
      </c>
      <c r="F109" s="27"/>
      <c r="G109" s="27"/>
      <c r="H109" s="150"/>
      <c r="I109" s="152"/>
      <c r="J109" s="152"/>
      <c r="K109" s="152"/>
      <c r="L109" s="152"/>
      <c r="M109" s="152"/>
      <c r="N109" s="152"/>
      <c r="O109" s="152"/>
      <c r="P109" s="152"/>
      <c r="Q109" s="151"/>
      <c r="R109" s="73"/>
      <c r="S109" s="107"/>
      <c r="T109" s="107"/>
      <c r="U109" s="107"/>
      <c r="V109" s="107"/>
      <c r="W109" s="107"/>
      <c r="X109" s="107"/>
      <c r="Y109" s="107"/>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row>
    <row r="110" spans="1:60" s="201" customFormat="1" hidden="1" outlineLevel="1" collapsed="1">
      <c r="A110" s="9"/>
      <c r="B110" s="9"/>
      <c r="C110" s="272" t="str">
        <f>Asset3</f>
        <v>Standard metering</v>
      </c>
      <c r="D110" s="9"/>
      <c r="E110" s="9"/>
      <c r="F110" s="23"/>
      <c r="G110" s="23"/>
      <c r="H110" s="298">
        <f>-SUM(H98:H109)</f>
        <v>0</v>
      </c>
      <c r="I110" s="165">
        <f>-SUM(I98:I109)</f>
        <v>0</v>
      </c>
      <c r="J110" s="165">
        <f>-SUM(J98:J109)</f>
        <v>0</v>
      </c>
      <c r="K110" s="165">
        <f>-SUM(K98:K109)</f>
        <v>0</v>
      </c>
      <c r="L110" s="165">
        <f>-SUM(L98:L109)</f>
        <v>0</v>
      </c>
      <c r="M110" s="165">
        <f>IF(COUNT($H110:L110)&gt;=Input!$Y$7,0, -SUM(M98:M109))</f>
        <v>0</v>
      </c>
      <c r="N110" s="165">
        <f>IF(COUNT($H110:M110)&gt;=Input!$Y$7,0, -SUM(N98:N109))</f>
        <v>0</v>
      </c>
      <c r="O110" s="165">
        <f>IF(COUNT($H110:N110)&gt;=Input!$Y$7,0, -SUM(O98:O109))</f>
        <v>0</v>
      </c>
      <c r="P110" s="165">
        <f>IF(COUNT($H110:O110)&gt;=Input!$Y$7,0, -SUM(P98:P109))</f>
        <v>0</v>
      </c>
      <c r="Q110" s="165">
        <f>IF(COUNT($H110:P110)&gt;=Input!$Y$7,0, -SUM(Q98:Q109))</f>
        <v>0</v>
      </c>
      <c r="R110" s="165"/>
      <c r="S110" s="106"/>
      <c r="T110" s="106"/>
      <c r="U110" s="106"/>
      <c r="V110" s="106"/>
      <c r="W110" s="106"/>
      <c r="X110" s="106"/>
      <c r="Y110" s="106"/>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row>
    <row r="111" spans="1:60" s="201" customFormat="1" ht="12.75" hidden="1" customHeight="1" outlineLevel="2">
      <c r="A111" s="9"/>
      <c r="B111" s="273" t="str">
        <f>Asset4</f>
        <v>Public lighting</v>
      </c>
      <c r="C111" s="31"/>
      <c r="D111" s="32" t="s">
        <v>43</v>
      </c>
      <c r="E111" s="31"/>
      <c r="F111" s="301"/>
      <c r="G111" s="301"/>
      <c r="H111" s="72">
        <f>IF(H$3&gt;A4taxremlife,A4taxvalue-SUM($F111:F111),IF(A4taxremlife="N/A","n/a",A4taxvalue/A4taxremlife))</f>
        <v>0</v>
      </c>
      <c r="I111" s="72">
        <f>IF(I$3&gt;A4taxremlife,A4taxvalue-SUM($F111:H111),IF(A4taxremlife="N/A","n/a",A4taxvalue/A4taxremlife))</f>
        <v>0</v>
      </c>
      <c r="J111" s="72">
        <f>IF(J$3&gt;A4taxremlife,A4taxvalue-SUM($F111:I111),IF(A4taxremlife="N/A","n/a",A4taxvalue/A4taxremlife))</f>
        <v>0</v>
      </c>
      <c r="K111" s="72">
        <f>IF(K$3&gt;A4taxremlife,A4taxvalue-SUM($F111:J111),IF(A4taxremlife="N/A","n/a",A4taxvalue/A4taxremlife))</f>
        <v>0</v>
      </c>
      <c r="L111" s="72">
        <f>IF(L$3&gt;A4taxremlife,A4taxvalue-SUM($F111:K111),IF(A4taxremlife="N/A","n/a",A4taxvalue/A4taxremlife))</f>
        <v>0</v>
      </c>
      <c r="M111" s="72">
        <f>IF(M$3&gt;A4taxremlife,A4taxvalue-SUM($F111:L111),IF(A4taxremlife="N/A","n/a",A4taxvalue/A4taxremlife))</f>
        <v>0</v>
      </c>
      <c r="N111" s="72">
        <f>IF(N$3&gt;A4taxremlife,A4taxvalue-SUM($F111:M111),IF(A4taxremlife="N/A","n/a",A4taxvalue/A4taxremlife))</f>
        <v>0</v>
      </c>
      <c r="O111" s="72">
        <f>IF(O$3&gt;A4taxremlife,A4taxvalue-SUM($F111:N111),IF(A4taxremlife="N/A","n/a",A4taxvalue/A4taxremlife))</f>
        <v>0</v>
      </c>
      <c r="P111" s="72">
        <f>IF(P$3&gt;A4taxremlife,A4taxvalue-SUM($F111:O111),IF(A4taxremlife="N/A","n/a",A4taxvalue/A4taxremlife))</f>
        <v>0</v>
      </c>
      <c r="Q111" s="72">
        <f>IF(Q$3&gt;A4taxremlife,A4taxvalue-SUM($F111:P111),IF(A4taxremlife="N/A","n/a",A4taxvalue/A4taxremlife))</f>
        <v>0</v>
      </c>
      <c r="R111" s="72"/>
      <c r="S111" s="107"/>
      <c r="T111" s="107"/>
      <c r="U111" s="107"/>
      <c r="V111" s="107"/>
      <c r="W111" s="107"/>
      <c r="X111" s="107"/>
      <c r="Y111" s="107"/>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row>
    <row r="112" spans="1:60" s="201" customFormat="1" ht="12.75" hidden="1" customHeight="1" outlineLevel="2">
      <c r="A112" s="9"/>
      <c r="B112" s="9"/>
      <c r="C112" s="26"/>
      <c r="D112" s="536" t="s">
        <v>59</v>
      </c>
      <c r="E112" s="91"/>
      <c r="F112" s="27"/>
      <c r="G112" s="27"/>
      <c r="H112" s="107"/>
      <c r="I112" s="73"/>
      <c r="J112" s="73"/>
      <c r="K112" s="73"/>
      <c r="L112" s="73"/>
      <c r="M112" s="73"/>
      <c r="N112" s="73"/>
      <c r="O112" s="73"/>
      <c r="P112" s="73"/>
      <c r="Q112" s="73"/>
      <c r="R112" s="73"/>
      <c r="S112" s="107"/>
      <c r="T112" s="107"/>
      <c r="U112" s="107"/>
      <c r="V112" s="107"/>
      <c r="W112" s="107"/>
      <c r="X112" s="107"/>
      <c r="Y112" s="107"/>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row>
    <row r="113" spans="1:60" s="201" customFormat="1" ht="12.75" hidden="1" customHeight="1" outlineLevel="2">
      <c r="A113" s="9"/>
      <c r="B113" s="9"/>
      <c r="C113" s="26"/>
      <c r="D113" s="537"/>
      <c r="E113" s="91">
        <v>1</v>
      </c>
      <c r="F113" s="27"/>
      <c r="G113" s="27"/>
      <c r="H113" s="149"/>
      <c r="I113" s="73">
        <f>IF(A4taxstdlife="n/a","n/a",IF(I$3&gt;(A4taxstdlife+$E113),(Input!$H$180-Input!$H$214)-SUM($H113:H113),(Input!$H$180-Input!$H$214)/A4taxstdlife))</f>
        <v>0</v>
      </c>
      <c r="J113" s="73">
        <f>IF(A4taxstdlife="n/a","n/a",IF(J$3&gt;(A4taxstdlife+$E113),(Input!$H$180-Input!$H$214)-SUM($H113:I113),(Input!$H$180-Input!$H$214)/A4taxstdlife))</f>
        <v>0</v>
      </c>
      <c r="K113" s="73">
        <f>IF(A4taxstdlife="n/a","n/a",IF(K$3&gt;(A4taxstdlife+$E113),(Input!$H$180-Input!$H$214)-SUM($H113:J113),(Input!$H$180-Input!$H$214)/A4taxstdlife))</f>
        <v>0</v>
      </c>
      <c r="L113" s="73">
        <f>IF(A4taxstdlife="n/a","n/a",IF(L$3&gt;(A4taxstdlife+$E113),(Input!$H$180-Input!$H$214)-SUM($H113:K113),(Input!$H$180-Input!$H$214)/A4taxstdlife))</f>
        <v>0</v>
      </c>
      <c r="M113" s="73">
        <f>IF(A4taxstdlife="n/a","n/a",IF(M$3&gt;(A4taxstdlife+$E113),(Input!$H$180-Input!$H$214)-SUM($H113:L113),(Input!$H$180-Input!$H$214)/A4taxstdlife))</f>
        <v>0</v>
      </c>
      <c r="N113" s="73">
        <f>IF(A4taxstdlife="n/a","n/a",IF(N$3&gt;(A4taxstdlife+$E113),(Input!$H$180-Input!$H$214)-SUM($H113:M113),(Input!$H$180-Input!$H$214)/A4taxstdlife))</f>
        <v>0</v>
      </c>
      <c r="O113" s="73">
        <f>IF(A4taxstdlife="n/a","n/a",IF(O$3&gt;(A4taxstdlife+$E113),(Input!$H$180-Input!$H$214)-SUM($H113:N113),(Input!$H$180-Input!$H$214)/A4taxstdlife))</f>
        <v>0</v>
      </c>
      <c r="P113" s="73">
        <f>IF(A4taxstdlife="n/a","n/a",IF(P$3&gt;(A4taxstdlife+$E113),(Input!$H$180-Input!$H$214)-SUM($H113:O113),(Input!$H$180-Input!$H$214)/A4taxstdlife))</f>
        <v>0</v>
      </c>
      <c r="Q113" s="73">
        <f>IF(A4taxstdlife="n/a","n/a",IF(Q$3&gt;(A4taxstdlife+$E113),(Input!$H$180-Input!$H$214)-SUM($H113:P113),(Input!$H$180-Input!$H$214)/A4taxstdlife))</f>
        <v>0</v>
      </c>
      <c r="R113" s="73"/>
      <c r="S113" s="107"/>
      <c r="T113" s="107"/>
      <c r="U113" s="107"/>
      <c r="V113" s="107"/>
      <c r="W113" s="107"/>
      <c r="X113" s="107"/>
      <c r="Y113" s="107"/>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row>
    <row r="114" spans="1:60" s="201" customFormat="1" ht="12.75" hidden="1" customHeight="1" outlineLevel="2">
      <c r="A114" s="9"/>
      <c r="B114" s="9"/>
      <c r="C114" s="26"/>
      <c r="D114" s="537"/>
      <c r="E114" s="91">
        <v>2</v>
      </c>
      <c r="F114" s="27"/>
      <c r="G114" s="27"/>
      <c r="H114" s="150"/>
      <c r="I114" s="151"/>
      <c r="J114" s="73">
        <f>IF(A4taxstdlife="n/a","n/a",IF(J$3&gt;(A4taxstdlife+$E114),(Input!$I$180-Input!$I$214)-SUM($I114:I114),(Input!$I$180-Input!$I$214)/A4taxstdlife))</f>
        <v>0</v>
      </c>
      <c r="K114" s="73">
        <f>IF(A4taxstdlife="n/a","n/a",IF(K$3&gt;(A4taxstdlife+$E114),(Input!$I$180-Input!$I$214)-SUM($I114:J114),(Input!$I$180-Input!$I$214)/A4taxstdlife))</f>
        <v>0</v>
      </c>
      <c r="L114" s="73">
        <f>IF(A4taxstdlife="n/a","n/a",IF(L$3&gt;(A4taxstdlife+$E114),(Input!$I$180-Input!$I$214)-SUM($I114:K114),(Input!$I$180-Input!$I$214)/A4taxstdlife))</f>
        <v>0</v>
      </c>
      <c r="M114" s="73">
        <f>IF(A4taxstdlife="n/a","n/a",IF(M$3&gt;(A4taxstdlife+$E114),(Input!$I$180-Input!$I$214)-SUM($I114:L114),(Input!$I$180-Input!$I$214)/A4taxstdlife))</f>
        <v>0</v>
      </c>
      <c r="N114" s="73">
        <f>IF(A4taxstdlife="n/a","n/a",IF(N$3&gt;(A4taxstdlife+$E114),(Input!$I$180-Input!$I$214)-SUM($I114:M114),(Input!$I$180-Input!$I$214)/A4taxstdlife))</f>
        <v>0</v>
      </c>
      <c r="O114" s="73">
        <f>IF(A4taxstdlife="n/a","n/a",IF(O$3&gt;(A4taxstdlife+$E114),(Input!$I$180-Input!$I$214)-SUM($I114:N114),(Input!$I$180-Input!$I$214)/A4taxstdlife))</f>
        <v>0</v>
      </c>
      <c r="P114" s="73">
        <f>IF(A4taxstdlife="n/a","n/a",IF(P$3&gt;(A4taxstdlife+$E114),(Input!$I$180-Input!$I$214)-SUM($I114:O114),(Input!$I$180-Input!$I$214)/A4taxstdlife))</f>
        <v>0</v>
      </c>
      <c r="Q114" s="73">
        <f>IF(A4taxstdlife="n/a","n/a",IF(Q$3&gt;(A4taxstdlife+$E114),(Input!$I$180-Input!$I$214)-SUM($I114:P114),(Input!$I$180-Input!$I$214)/A4taxstdlife))</f>
        <v>0</v>
      </c>
      <c r="R114" s="73"/>
      <c r="S114" s="107"/>
      <c r="T114" s="107"/>
      <c r="U114" s="107"/>
      <c r="V114" s="107"/>
      <c r="W114" s="107"/>
      <c r="X114" s="107"/>
      <c r="Y114" s="107"/>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row>
    <row r="115" spans="1:60" s="201" customFormat="1" ht="12.75" hidden="1" customHeight="1" outlineLevel="2">
      <c r="A115" s="9"/>
      <c r="B115" s="9"/>
      <c r="C115" s="26"/>
      <c r="D115" s="537"/>
      <c r="E115" s="91">
        <v>3</v>
      </c>
      <c r="F115" s="27"/>
      <c r="G115" s="27"/>
      <c r="H115" s="150"/>
      <c r="I115" s="152"/>
      <c r="J115" s="151"/>
      <c r="K115" s="73">
        <f>IF(A4taxstdlife="n/a","n/a",IF(K$3&gt;(A4taxstdlife+$E115),(Input!$J$180-Input!$J$214)-SUM($J115:J115),(Input!$J$180-Input!$J$214)/A4taxstdlife))</f>
        <v>0</v>
      </c>
      <c r="L115" s="73">
        <f>IF(A4taxstdlife="n/a","n/a",IF(L$3&gt;(A4taxstdlife+$E115),(Input!$J$180-Input!$J$214)-SUM($J115:K115),(Input!$J$180-Input!$J$214)/A4taxstdlife))</f>
        <v>0</v>
      </c>
      <c r="M115" s="73">
        <f>IF(A4taxstdlife="n/a","n/a",IF(M$3&gt;(A4taxstdlife+$E115),(Input!$J$180-Input!$J$214)-SUM($J115:L115),(Input!$J$180-Input!$J$214)/A4taxstdlife))</f>
        <v>0</v>
      </c>
      <c r="N115" s="73">
        <f>IF(A4taxstdlife="n/a","n/a",IF(N$3&gt;(A4taxstdlife+$E115),(Input!$J$180-Input!$J$214)-SUM($J115:M115),(Input!$J$180-Input!$J$214)/A4taxstdlife))</f>
        <v>0</v>
      </c>
      <c r="O115" s="73">
        <f>IF(A4taxstdlife="n/a","n/a",IF(O$3&gt;(A4taxstdlife+$E115),(Input!$J$180-Input!$J$214)-SUM($J115:N115),(Input!$J$180-Input!$J$214)/A4taxstdlife))</f>
        <v>0</v>
      </c>
      <c r="P115" s="73">
        <f>IF(A4taxstdlife="n/a","n/a",IF(P$3&gt;(A4taxstdlife+$E115),(Input!$J$180-Input!$J$214)-SUM($J115:O115),(Input!$J$180-Input!$J$214)/A4taxstdlife))</f>
        <v>0</v>
      </c>
      <c r="Q115" s="73">
        <f>IF(A4taxstdlife="n/a","n/a",IF(Q$3&gt;(A4taxstdlife+$E115),(Input!$J$180-Input!$J$214)-SUM($J115:P115),(Input!$J$180-Input!$J$214)/A4taxstdlife))</f>
        <v>0</v>
      </c>
      <c r="R115" s="73"/>
      <c r="S115" s="107"/>
      <c r="T115" s="107"/>
      <c r="U115" s="107"/>
      <c r="V115" s="107"/>
      <c r="W115" s="107"/>
      <c r="X115" s="107"/>
      <c r="Y115" s="107"/>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row>
    <row r="116" spans="1:60" s="201" customFormat="1" ht="12.75" hidden="1" customHeight="1" outlineLevel="2">
      <c r="A116" s="9"/>
      <c r="B116" s="9"/>
      <c r="C116" s="26"/>
      <c r="D116" s="537"/>
      <c r="E116" s="91">
        <v>4</v>
      </c>
      <c r="F116" s="27"/>
      <c r="G116" s="27"/>
      <c r="H116" s="150"/>
      <c r="I116" s="152"/>
      <c r="J116" s="152"/>
      <c r="K116" s="151"/>
      <c r="L116" s="73">
        <f>IF(A4taxstdlife="n/a","n/a",IF(L$3&gt;(A4taxstdlife+$E116),(Input!$K$180-Input!$K$214)-SUM($K116:K116),(Input!$K$180-Input!$K$214)/A4taxstdlife))</f>
        <v>0</v>
      </c>
      <c r="M116" s="73">
        <f>IF(A4taxstdlife="n/a","n/a",IF(M$3&gt;(A4taxstdlife+$E116),(Input!$K$180-Input!$K$214)-SUM($K116:L116),(Input!$K$180-Input!$K$214)/A4taxstdlife))</f>
        <v>0</v>
      </c>
      <c r="N116" s="73">
        <f>IF(A4taxstdlife="n/a","n/a",IF(N$3&gt;(A4taxstdlife+$E116),(Input!$K$180-Input!$K$214)-SUM($K116:M116),(Input!$K$180-Input!$K$214)/A4taxstdlife))</f>
        <v>0</v>
      </c>
      <c r="O116" s="73">
        <f>IF(A4taxstdlife="n/a","n/a",IF(O$3&gt;(A4taxstdlife+$E116),(Input!$K$180-Input!$K$214)-SUM($K116:N116),(Input!$K$180-Input!$K$214)/A4taxstdlife))</f>
        <v>0</v>
      </c>
      <c r="P116" s="73">
        <f>IF(A4taxstdlife="n/a","n/a",IF(P$3&gt;(A4taxstdlife+$E116),(Input!$K$180-Input!$K$214)-SUM($K116:O116),(Input!$K$180-Input!$K$214)/A4taxstdlife))</f>
        <v>0</v>
      </c>
      <c r="Q116" s="73">
        <f>IF(A4taxstdlife="n/a","n/a",IF(Q$3&gt;(A4taxstdlife+$E116),(Input!$K$180-Input!$K$214)-SUM($K116:P116),(Input!$K$180-Input!$K$214)/A4taxstdlife))</f>
        <v>0</v>
      </c>
      <c r="R116" s="73"/>
      <c r="S116" s="107"/>
      <c r="T116" s="107"/>
      <c r="U116" s="107"/>
      <c r="V116" s="107"/>
      <c r="W116" s="107"/>
      <c r="X116" s="107"/>
      <c r="Y116" s="107"/>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row>
    <row r="117" spans="1:60" s="201" customFormat="1" ht="12.75" hidden="1" customHeight="1" outlineLevel="2">
      <c r="A117" s="9"/>
      <c r="B117" s="9"/>
      <c r="C117" s="26"/>
      <c r="D117" s="537"/>
      <c r="E117" s="91">
        <v>5</v>
      </c>
      <c r="F117" s="27"/>
      <c r="G117" s="27"/>
      <c r="H117" s="150"/>
      <c r="I117" s="152"/>
      <c r="J117" s="152"/>
      <c r="K117" s="152"/>
      <c r="L117" s="151"/>
      <c r="M117" s="73">
        <f>IF(A4taxstdlife="n/a","n/a",IF(M$3&gt;(A4taxstdlife+$E117),(Input!$L$180-Input!$L$214)-SUM($L117:L117),(Input!$L$180-Input!$L$214)/A4taxstdlife))</f>
        <v>0</v>
      </c>
      <c r="N117" s="73">
        <f>IF(A4taxstdlife="n/a","n/a",IF(N$3&gt;(A4taxstdlife+$E117),(Input!$L$180-Input!$L$214)-SUM($L117:M117),(Input!$L$180-Input!$L$214)/A4taxstdlife))</f>
        <v>0</v>
      </c>
      <c r="O117" s="73">
        <f>IF(A4taxstdlife="n/a","n/a",IF(O$3&gt;(A4taxstdlife+$E117),(Input!$L$180-Input!$L$214)-SUM($L117:N117),(Input!$L$180-Input!$L$214)/A4taxstdlife))</f>
        <v>0</v>
      </c>
      <c r="P117" s="73">
        <f>IF(A4taxstdlife="n/a","n/a",IF(P$3&gt;(A4taxstdlife+$E117),(Input!$L$180-Input!$L$214)-SUM($L117:O117),(Input!$L$180-Input!$L$214)/A4taxstdlife))</f>
        <v>0</v>
      </c>
      <c r="Q117" s="73">
        <f>IF(A4taxstdlife="n/a","n/a",IF(Q$3&gt;(A4taxstdlife+$E117),(Input!$L$180-Input!$L$214)-SUM($L117:P117),(Input!$L$180-Input!$L$214)/A4taxstdlife))</f>
        <v>0</v>
      </c>
      <c r="R117" s="73"/>
      <c r="S117" s="107"/>
      <c r="T117" s="107"/>
      <c r="U117" s="107"/>
      <c r="V117" s="107"/>
      <c r="W117" s="107"/>
      <c r="X117" s="107"/>
      <c r="Y117" s="107"/>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row>
    <row r="118" spans="1:60" s="201" customFormat="1" ht="12.75" hidden="1" customHeight="1" outlineLevel="2">
      <c r="A118" s="9"/>
      <c r="B118" s="9"/>
      <c r="C118" s="26"/>
      <c r="D118" s="537"/>
      <c r="E118" s="91">
        <v>6</v>
      </c>
      <c r="F118" s="27"/>
      <c r="G118" s="27"/>
      <c r="H118" s="150"/>
      <c r="I118" s="152"/>
      <c r="J118" s="152"/>
      <c r="K118" s="152"/>
      <c r="L118" s="152"/>
      <c r="M118" s="151"/>
      <c r="N118" s="73">
        <f>IF(A4taxstdlife="n/a","n/a",IF(N$3&gt;(A4taxstdlife+$E118),(Input!$M$180-Input!$M$214)-SUM($M118:M118),(Input!$M$180-Input!$M$214)/A4taxstdlife))</f>
        <v>0</v>
      </c>
      <c r="O118" s="73">
        <f>IF(A4taxstdlife="n/a","n/a",IF(O$3&gt;(A4taxstdlife+$E118),(Input!$M$180-Input!$M$214)-SUM($M118:N118),(Input!$M$180-Input!$M$214)/A4taxstdlife))</f>
        <v>0</v>
      </c>
      <c r="P118" s="73">
        <f>IF(A4taxstdlife="n/a","n/a",IF(P$3&gt;(A4taxstdlife+$E118),(Input!$M$180-Input!$M$214)-SUM($M118:O118),(Input!$M$180-Input!$M$214)/A4taxstdlife))</f>
        <v>0</v>
      </c>
      <c r="Q118" s="73">
        <f>IF(A4taxstdlife="n/a","n/a",IF(Q$3&gt;(A4taxstdlife+$E118),(Input!$M$180-Input!$M$214)-SUM($M118:P118),(Input!$M$180-Input!$M$214)/A4taxstdlife))</f>
        <v>0</v>
      </c>
      <c r="R118" s="73"/>
      <c r="S118" s="107"/>
      <c r="T118" s="107"/>
      <c r="U118" s="107"/>
      <c r="V118" s="107"/>
      <c r="W118" s="107"/>
      <c r="X118" s="107"/>
      <c r="Y118" s="107"/>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row>
    <row r="119" spans="1:60" s="201" customFormat="1" ht="12.75" hidden="1" customHeight="1" outlineLevel="2">
      <c r="A119" s="9"/>
      <c r="B119" s="9"/>
      <c r="C119" s="26"/>
      <c r="D119" s="537"/>
      <c r="E119" s="91">
        <v>7</v>
      </c>
      <c r="F119" s="27"/>
      <c r="G119" s="27"/>
      <c r="H119" s="150"/>
      <c r="I119" s="152"/>
      <c r="J119" s="152"/>
      <c r="K119" s="152"/>
      <c r="L119" s="152"/>
      <c r="M119" s="152"/>
      <c r="N119" s="151"/>
      <c r="O119" s="73">
        <f>IF(A4taxstdlife="n/a","n/a",IF(O$3&gt;(A4taxstdlife+$E119),(Input!$N$180-Input!$N$214)-SUM($N119:N119),(Input!$N$180-Input!$N$214)/A4taxstdlife))</f>
        <v>0</v>
      </c>
      <c r="P119" s="73">
        <f>IF(A4taxstdlife="n/a","n/a",IF(P$3&gt;(A4taxstdlife+$E119),(Input!$N$180-Input!$N$214)-SUM($N119:O119),(Input!$N$180-Input!$N$214)/A4taxstdlife))</f>
        <v>0</v>
      </c>
      <c r="Q119" s="73">
        <f>IF(A4taxstdlife="n/a","n/a",IF(Q$3&gt;(A4taxstdlife+$E119),(Input!$N$180-Input!$N$214)-SUM($N119:P119),(Input!$N$180-Input!$N$214)/A4taxstdlife))</f>
        <v>0</v>
      </c>
      <c r="R119" s="73"/>
      <c r="S119" s="107"/>
      <c r="T119" s="107"/>
      <c r="U119" s="107"/>
      <c r="V119" s="107"/>
      <c r="W119" s="107"/>
      <c r="X119" s="107"/>
      <c r="Y119" s="107"/>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row>
    <row r="120" spans="1:60" s="201" customFormat="1" ht="12.75" hidden="1" customHeight="1" outlineLevel="2">
      <c r="A120" s="9"/>
      <c r="B120" s="9"/>
      <c r="C120" s="26"/>
      <c r="D120" s="537"/>
      <c r="E120" s="91">
        <v>8</v>
      </c>
      <c r="F120" s="27"/>
      <c r="G120" s="27"/>
      <c r="H120" s="150"/>
      <c r="I120" s="152"/>
      <c r="J120" s="152"/>
      <c r="K120" s="152"/>
      <c r="L120" s="152"/>
      <c r="M120" s="152"/>
      <c r="N120" s="152"/>
      <c r="O120" s="151"/>
      <c r="P120" s="73">
        <f>IF(A4taxstdlife="n/a","n/a",IF(P$3&gt;(A4taxstdlife+$E120),(Input!$O$180-Input!$O$214)-SUM($O120:O120),(Input!$O$180-Input!$O$214)/A4taxstdlife))</f>
        <v>0</v>
      </c>
      <c r="Q120" s="73">
        <f>IF(A4taxstdlife="n/a","n/a",IF(Q$3&gt;(A4taxstdlife+$E120),(Input!$O$180-Input!$O$214)-SUM($O120:P120),(Input!$O$180-Input!$O$214)/A4taxstdlife))</f>
        <v>0</v>
      </c>
      <c r="R120" s="73"/>
      <c r="S120" s="107"/>
      <c r="T120" s="107"/>
      <c r="U120" s="107"/>
      <c r="V120" s="107"/>
      <c r="W120" s="107"/>
      <c r="X120" s="107"/>
      <c r="Y120" s="107"/>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row>
    <row r="121" spans="1:60" s="201" customFormat="1" ht="12.75" hidden="1" customHeight="1" outlineLevel="2">
      <c r="A121" s="9"/>
      <c r="B121" s="9"/>
      <c r="C121" s="26"/>
      <c r="D121" s="537"/>
      <c r="E121" s="91">
        <v>9</v>
      </c>
      <c r="F121" s="27"/>
      <c r="G121" s="27"/>
      <c r="H121" s="150"/>
      <c r="I121" s="152"/>
      <c r="J121" s="152"/>
      <c r="K121" s="152"/>
      <c r="L121" s="152"/>
      <c r="M121" s="152"/>
      <c r="N121" s="152"/>
      <c r="O121" s="152"/>
      <c r="P121" s="151"/>
      <c r="Q121" s="73">
        <f>IF(A4taxstdlife="n/a","n/a",IF(Q$3&gt;(A4taxstdlife+$E121),(Input!$P$180-Input!$P$214)-SUM($P121:P121),(Input!$P$180-Input!$P$214)/A4taxstdlife))</f>
        <v>0</v>
      </c>
      <c r="R121" s="73"/>
      <c r="S121" s="107"/>
      <c r="T121" s="107"/>
      <c r="U121" s="107"/>
      <c r="V121" s="107"/>
      <c r="W121" s="107"/>
      <c r="X121" s="107"/>
      <c r="Y121" s="107"/>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row>
    <row r="122" spans="1:60" s="201" customFormat="1" ht="12.75" hidden="1" customHeight="1" outlineLevel="2">
      <c r="A122" s="9"/>
      <c r="B122" s="9"/>
      <c r="C122" s="26"/>
      <c r="D122" s="537"/>
      <c r="E122" s="92">
        <v>10</v>
      </c>
      <c r="F122" s="27"/>
      <c r="G122" s="27"/>
      <c r="H122" s="150"/>
      <c r="I122" s="152"/>
      <c r="J122" s="152"/>
      <c r="K122" s="152"/>
      <c r="L122" s="152"/>
      <c r="M122" s="152"/>
      <c r="N122" s="152"/>
      <c r="O122" s="152"/>
      <c r="P122" s="152"/>
      <c r="Q122" s="151"/>
      <c r="R122" s="73"/>
      <c r="S122" s="107"/>
      <c r="T122" s="107"/>
      <c r="U122" s="107"/>
      <c r="V122" s="107"/>
      <c r="W122" s="107"/>
      <c r="X122" s="107"/>
      <c r="Y122" s="107"/>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row>
    <row r="123" spans="1:60" s="201" customFormat="1" hidden="1" outlineLevel="1" collapsed="1">
      <c r="A123" s="9"/>
      <c r="B123" s="9"/>
      <c r="C123" s="272" t="str">
        <f>Asset4</f>
        <v>Public lighting</v>
      </c>
      <c r="D123" s="9"/>
      <c r="E123" s="9"/>
      <c r="F123" s="23"/>
      <c r="G123" s="23"/>
      <c r="H123" s="298">
        <f>-SUM(H111:H122)</f>
        <v>0</v>
      </c>
      <c r="I123" s="165">
        <f>-SUM(I111:I122)</f>
        <v>0</v>
      </c>
      <c r="J123" s="165">
        <f>-SUM(J111:J122)</f>
        <v>0</v>
      </c>
      <c r="K123" s="165">
        <f>-SUM(K111:K122)</f>
        <v>0</v>
      </c>
      <c r="L123" s="165">
        <f>-SUM(L111:L122)</f>
        <v>0</v>
      </c>
      <c r="M123" s="165">
        <f>IF(COUNT($H123:L123)&gt;=Input!$Y$7,0, -SUM(M111:M122))</f>
        <v>0</v>
      </c>
      <c r="N123" s="165">
        <f>IF(COUNT($H123:M123)&gt;=Input!$Y$7,0, -SUM(N111:N122))</f>
        <v>0</v>
      </c>
      <c r="O123" s="165">
        <f>IF(COUNT($H123:N123)&gt;=Input!$Y$7,0, -SUM(O111:O122))</f>
        <v>0</v>
      </c>
      <c r="P123" s="165">
        <f>IF(COUNT($H123:O123)&gt;=Input!$Y$7,0, -SUM(P111:P122))</f>
        <v>0</v>
      </c>
      <c r="Q123" s="165">
        <f>IF(COUNT($H123:P123)&gt;=Input!$Y$7,0, -SUM(Q111:Q122))</f>
        <v>0</v>
      </c>
      <c r="R123" s="165"/>
      <c r="S123" s="106"/>
      <c r="T123" s="106"/>
      <c r="U123" s="106"/>
      <c r="V123" s="106"/>
      <c r="W123" s="106"/>
      <c r="X123" s="106"/>
      <c r="Y123" s="106"/>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row>
    <row r="124" spans="1:60" s="201" customFormat="1" hidden="1" outlineLevel="2">
      <c r="A124" s="9"/>
      <c r="B124" s="273" t="str">
        <f>Asset5</f>
        <v>SCADA/Network control</v>
      </c>
      <c r="C124" s="31"/>
      <c r="D124" s="32" t="s">
        <v>43</v>
      </c>
      <c r="E124" s="31"/>
      <c r="F124" s="301"/>
      <c r="G124" s="301"/>
      <c r="H124" s="72">
        <f>IF(H$3&gt;A5taxremlife,A5taxvalue-SUM($F124:F124),IF(A5taxremlife="N/A","n/a",A5taxvalue/A5taxremlife))</f>
        <v>0</v>
      </c>
      <c r="I124" s="72">
        <f>IF(I$3&gt;A5taxremlife,A5taxvalue-SUM($F124:H124),IF(A5taxremlife="N/A","n/a",A5taxvalue/A5taxremlife))</f>
        <v>0</v>
      </c>
      <c r="J124" s="72">
        <f>IF(J$3&gt;A5taxremlife,A5taxvalue-SUM($F124:I124),IF(A5taxremlife="N/A","n/a",A5taxvalue/A5taxremlife))</f>
        <v>0</v>
      </c>
      <c r="K124" s="72">
        <f>IF(K$3&gt;A5taxremlife,A5taxvalue-SUM($F124:J124),IF(A5taxremlife="N/A","n/a",A5taxvalue/A5taxremlife))</f>
        <v>0</v>
      </c>
      <c r="L124" s="72">
        <f>IF(L$3&gt;A5taxremlife,A5taxvalue-SUM($F124:K124),IF(A5taxremlife="N/A","n/a",A5taxvalue/A5taxremlife))</f>
        <v>0</v>
      </c>
      <c r="M124" s="72">
        <f>IF(M$3&gt;A5taxremlife,A5taxvalue-SUM($F124:L124),IF(A5taxremlife="N/A","n/a",A5taxvalue/A5taxremlife))</f>
        <v>0</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row>
    <row r="125" spans="1:60" s="201" customFormat="1" ht="12.75" hidden="1" customHeight="1" outlineLevel="2">
      <c r="A125" s="9"/>
      <c r="B125" s="9"/>
      <c r="C125" s="26"/>
      <c r="D125" s="536" t="s">
        <v>59</v>
      </c>
      <c r="E125" s="91"/>
      <c r="F125" s="27"/>
      <c r="G125" s="27"/>
      <c r="H125" s="107"/>
      <c r="I125" s="73"/>
      <c r="J125" s="73"/>
      <c r="K125" s="73"/>
      <c r="L125" s="73"/>
      <c r="M125" s="73"/>
      <c r="N125" s="73"/>
      <c r="O125" s="73"/>
      <c r="P125" s="73"/>
      <c r="Q125" s="73"/>
      <c r="R125" s="73"/>
      <c r="S125" s="107"/>
      <c r="T125" s="107"/>
      <c r="U125" s="107"/>
      <c r="V125" s="107"/>
      <c r="W125" s="107"/>
      <c r="X125" s="107"/>
      <c r="Y125" s="107"/>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row>
    <row r="126" spans="1:60" s="201" customFormat="1" hidden="1" outlineLevel="2">
      <c r="A126" s="9"/>
      <c r="B126" s="9"/>
      <c r="C126" s="26"/>
      <c r="D126" s="537"/>
      <c r="E126" s="91">
        <v>1</v>
      </c>
      <c r="F126" s="27"/>
      <c r="G126" s="27"/>
      <c r="H126" s="149"/>
      <c r="I126" s="73">
        <f>IF(A5taxstdlife="n/a","n/a",IF(I$3&gt;(A5taxstdlife+$E126),(Input!$H$181-Input!$H$215)-SUM($H126:H126),(Input!$H$181-Input!$H$215)/A5taxstdlife))</f>
        <v>1.2689451272140742</v>
      </c>
      <c r="J126" s="73">
        <f>IF(A5taxstdlife="n/a","n/a",IF(J$3&gt;(A5taxstdlife+$E126),(Input!$H$181-Input!$H$215)-SUM($H126:I126),(Input!$H$181-Input!$H$215)/A5taxstdlife))</f>
        <v>0</v>
      </c>
      <c r="K126" s="73">
        <f>IF(A5taxstdlife="n/a","n/a",IF(K$3&gt;(A5taxstdlife+$E126),(Input!$H$181-Input!$H$215)-SUM($H126:J126),(Input!$H$181-Input!$H$215)/A5taxstdlife))</f>
        <v>0</v>
      </c>
      <c r="L126" s="73">
        <f>IF(A5taxstdlife="n/a","n/a",IF(L$3&gt;(A5taxstdlife+$E126),(Input!$H$181-Input!$H$215)-SUM($H126:K126),(Input!$H$181-Input!$H$215)/A5taxstdlife))</f>
        <v>0</v>
      </c>
      <c r="M126" s="73">
        <f>IF(A5taxstdlife="n/a","n/a",IF(M$3&gt;(A5taxstdlife+$E126),(Input!$H$181-Input!$H$215)-SUM($H126:L126),(Input!$H$181-Input!$H$215)/A5taxstdlife))</f>
        <v>0</v>
      </c>
      <c r="N126" s="73">
        <f>IF(A5taxstdlife="n/a","n/a",IF(N$3&gt;(A5taxstdlife+$E126),(Input!$H$181-Input!$H$215)-SUM($H126:M126),(Input!$H$181-Input!$H$215)/A5taxstdlife))</f>
        <v>0</v>
      </c>
      <c r="O126" s="73">
        <f>IF(A5taxstdlife="n/a","n/a",IF(O$3&gt;(A5taxstdlife+$E126),(Input!$H$181-Input!$H$215)-SUM($H126:N126),(Input!$H$181-Input!$H$215)/A5taxstdlife))</f>
        <v>0</v>
      </c>
      <c r="P126" s="73">
        <f>IF(A5taxstdlife="n/a","n/a",IF(P$3&gt;(A5taxstdlife+$E126),(Input!$H$181-Input!$H$215)-SUM($H126:O126),(Input!$H$181-Input!$H$215)/A5taxstdlife))</f>
        <v>0</v>
      </c>
      <c r="Q126" s="73">
        <f>IF(A5taxstdlife="n/a","n/a",IF(Q$3&gt;(A5taxstdlife+$E126),(Input!$H$181-Input!$H$215)-SUM($H126:P126),(Input!$H$181-Input!$H$215)/A5taxstdlife))</f>
        <v>0</v>
      </c>
      <c r="R126" s="73"/>
      <c r="S126" s="107"/>
      <c r="T126" s="107"/>
      <c r="U126" s="107"/>
      <c r="V126" s="107"/>
      <c r="W126" s="107"/>
      <c r="X126" s="107"/>
      <c r="Y126" s="107"/>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row>
    <row r="127" spans="1:60" s="201" customFormat="1" hidden="1" outlineLevel="2">
      <c r="A127" s="9"/>
      <c r="B127" s="9"/>
      <c r="C127" s="26"/>
      <c r="D127" s="537"/>
      <c r="E127" s="91">
        <v>2</v>
      </c>
      <c r="F127" s="27"/>
      <c r="G127" s="27"/>
      <c r="H127" s="150"/>
      <c r="I127" s="151"/>
      <c r="J127" s="73">
        <f>IF(A5taxstdlife="n/a","n/a",IF(J$3&gt;(A5taxstdlife+$E127),(Input!$I$181-Input!$I$215)-SUM($I127:I127),(Input!$I$181-Input!$I$215)/A5taxstdlife))</f>
        <v>5.9134930672221477</v>
      </c>
      <c r="K127" s="73">
        <f>IF(A5taxstdlife="n/a","n/a",IF(K$3&gt;(A5taxstdlife+$E127),(Input!$I$181-Input!$I$215)-SUM($I127:J127),(Input!$I$181-Input!$I$215)/A5taxstdlife))</f>
        <v>0</v>
      </c>
      <c r="L127" s="73">
        <f>IF(A5taxstdlife="n/a","n/a",IF(L$3&gt;(A5taxstdlife+$E127),(Input!$I$181-Input!$I$215)-SUM($I127:K127),(Input!$I$181-Input!$I$215)/A5taxstdlife))</f>
        <v>0</v>
      </c>
      <c r="M127" s="73">
        <f>IF(A5taxstdlife="n/a","n/a",IF(M$3&gt;(A5taxstdlife+$E127),(Input!$I$181-Input!$I$215)-SUM($I127:L127),(Input!$I$181-Input!$I$215)/A5taxstdlife))</f>
        <v>0</v>
      </c>
      <c r="N127" s="73">
        <f>IF(A5taxstdlife="n/a","n/a",IF(N$3&gt;(A5taxstdlife+$E127),(Input!$I$181-Input!$I$215)-SUM($I127:M127),(Input!$I$181-Input!$I$215)/A5taxstdlife))</f>
        <v>0</v>
      </c>
      <c r="O127" s="73">
        <f>IF(A5taxstdlife="n/a","n/a",IF(O$3&gt;(A5taxstdlife+$E127),(Input!$I$181-Input!$I$215)-SUM($I127:N127),(Input!$I$181-Input!$I$215)/A5taxstdlife))</f>
        <v>0</v>
      </c>
      <c r="P127" s="73">
        <f>IF(A5taxstdlife="n/a","n/a",IF(P$3&gt;(A5taxstdlife+$E127),(Input!$I$181-Input!$I$215)-SUM($I127:O127),(Input!$I$181-Input!$I$215)/A5taxstdlife))</f>
        <v>0</v>
      </c>
      <c r="Q127" s="73">
        <f>IF(A5taxstdlife="n/a","n/a",IF(Q$3&gt;(A5taxstdlife+$E127),(Input!$I$181-Input!$I$215)-SUM($I127:P127),(Input!$I$181-Input!$I$215)/A5taxstdlife))</f>
        <v>0</v>
      </c>
      <c r="R127" s="73"/>
      <c r="S127" s="107"/>
      <c r="T127" s="107"/>
      <c r="U127" s="107"/>
      <c r="V127" s="107"/>
      <c r="W127" s="107"/>
      <c r="X127" s="107"/>
      <c r="Y127" s="107"/>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row>
    <row r="128" spans="1:60" s="201" customFormat="1" hidden="1" outlineLevel="2">
      <c r="A128" s="9"/>
      <c r="B128" s="9"/>
      <c r="C128" s="26"/>
      <c r="D128" s="537"/>
      <c r="E128" s="91">
        <v>3</v>
      </c>
      <c r="F128" s="27"/>
      <c r="G128" s="27"/>
      <c r="H128" s="150"/>
      <c r="I128" s="152"/>
      <c r="J128" s="151"/>
      <c r="K128" s="73">
        <f>IF(A5taxstdlife="n/a","n/a",IF(K$3&gt;(A5taxstdlife+$E128),(Input!$J$181-Input!$J$215)-SUM($J128:J128),(Input!$J$181-Input!$J$215)/A5taxstdlife))</f>
        <v>1.9250731948508306</v>
      </c>
      <c r="L128" s="73">
        <f>IF(A5taxstdlife="n/a","n/a",IF(L$3&gt;(A5taxstdlife+$E128),(Input!$J$181-Input!$J$215)-SUM($J128:K128),(Input!$J$181-Input!$J$215)/A5taxstdlife))</f>
        <v>0</v>
      </c>
      <c r="M128" s="73">
        <f>IF(A5taxstdlife="n/a","n/a",IF(M$3&gt;(A5taxstdlife+$E128),(Input!$J$181-Input!$J$215)-SUM($J128:L128),(Input!$J$181-Input!$J$215)/A5taxstdlife))</f>
        <v>0</v>
      </c>
      <c r="N128" s="73">
        <f>IF(A5taxstdlife="n/a","n/a",IF(N$3&gt;(A5taxstdlife+$E128),(Input!$J$181-Input!$J$215)-SUM($J128:M128),(Input!$J$181-Input!$J$215)/A5taxstdlife))</f>
        <v>0</v>
      </c>
      <c r="O128" s="73">
        <f>IF(A5taxstdlife="n/a","n/a",IF(O$3&gt;(A5taxstdlife+$E128),(Input!$J$181-Input!$J$215)-SUM($J128:N128),(Input!$J$181-Input!$J$215)/A5taxstdlife))</f>
        <v>0</v>
      </c>
      <c r="P128" s="73">
        <f>IF(A5taxstdlife="n/a","n/a",IF(P$3&gt;(A5taxstdlife+$E128),(Input!$J$181-Input!$J$215)-SUM($J128:O128),(Input!$J$181-Input!$J$215)/A5taxstdlife))</f>
        <v>0</v>
      </c>
      <c r="Q128" s="73">
        <f>IF(A5taxstdlife="n/a","n/a",IF(Q$3&gt;(A5taxstdlife+$E128),(Input!$J$181-Input!$J$215)-SUM($J128:P128),(Input!$J$181-Input!$J$215)/A5taxstdlife))</f>
        <v>0</v>
      </c>
      <c r="R128" s="73"/>
      <c r="S128" s="107"/>
      <c r="T128" s="107"/>
      <c r="U128" s="107"/>
      <c r="V128" s="107"/>
      <c r="W128" s="107"/>
      <c r="X128" s="107"/>
      <c r="Y128" s="107"/>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row>
    <row r="129" spans="1:255" s="201" customFormat="1" hidden="1" outlineLevel="2">
      <c r="A129" s="9"/>
      <c r="B129" s="9"/>
      <c r="C129" s="26"/>
      <c r="D129" s="537"/>
      <c r="E129" s="91">
        <v>4</v>
      </c>
      <c r="F129" s="27"/>
      <c r="G129" s="27"/>
      <c r="H129" s="150"/>
      <c r="I129" s="152"/>
      <c r="J129" s="152"/>
      <c r="K129" s="151"/>
      <c r="L129" s="73">
        <f>IF(A5taxstdlife="n/a","n/a",IF(L$3&gt;(A5taxstdlife+$E129),(Input!$K$181-Input!$K$215)-SUM($K129:K129),(Input!$K$181-Input!$K$215)/A5taxstdlife))</f>
        <v>0.73591031805575635</v>
      </c>
      <c r="M129" s="73">
        <f>IF(A5taxstdlife="n/a","n/a",IF(M$3&gt;(A5taxstdlife+$E129),(Input!$K$181-Input!$K$215)-SUM($K129:L129),(Input!$K$181-Input!$K$215)/A5taxstdlife))</f>
        <v>0</v>
      </c>
      <c r="N129" s="73">
        <f>IF(A5taxstdlife="n/a","n/a",IF(N$3&gt;(A5taxstdlife+$E129),(Input!$K$181-Input!$K$215)-SUM($K129:M129),(Input!$K$181-Input!$K$215)/A5taxstdlife))</f>
        <v>0</v>
      </c>
      <c r="O129" s="73">
        <f>IF(A5taxstdlife="n/a","n/a",IF(O$3&gt;(A5taxstdlife+$E129),(Input!$K$181-Input!$K$215)-SUM($K129:N129),(Input!$K$181-Input!$K$215)/A5taxstdlife))</f>
        <v>0</v>
      </c>
      <c r="P129" s="73">
        <f>IF(A5taxstdlife="n/a","n/a",IF(P$3&gt;(A5taxstdlife+$E129),(Input!$K$181-Input!$K$215)-SUM($K129:O129),(Input!$K$181-Input!$K$215)/A5taxstdlife))</f>
        <v>0</v>
      </c>
      <c r="Q129" s="73">
        <f>IF(A5taxstdlife="n/a","n/a",IF(Q$3&gt;(A5taxstdlife+$E129),(Input!$K$181-Input!$K$215)-SUM($K129:P129),(Input!$K$181-Input!$K$215)/A5taxstdlife))</f>
        <v>0</v>
      </c>
      <c r="R129" s="73"/>
      <c r="S129" s="107"/>
      <c r="T129" s="107"/>
      <c r="U129" s="107"/>
      <c r="V129" s="107"/>
      <c r="W129" s="107"/>
      <c r="X129" s="107"/>
      <c r="Y129" s="107"/>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row>
    <row r="130" spans="1:255" s="201" customFormat="1" hidden="1" outlineLevel="2">
      <c r="A130" s="9"/>
      <c r="B130" s="9"/>
      <c r="C130" s="26"/>
      <c r="D130" s="537"/>
      <c r="E130" s="91">
        <v>5</v>
      </c>
      <c r="F130" s="27"/>
      <c r="G130" s="27"/>
      <c r="H130" s="150"/>
      <c r="I130" s="152"/>
      <c r="J130" s="152"/>
      <c r="K130" s="152"/>
      <c r="L130" s="151"/>
      <c r="M130" s="73">
        <f>IF(A5taxstdlife="n/a","n/a",IF(M$3&gt;(A5taxstdlife+$E130),(Input!$L$181-Input!$L$215)-SUM($L130:L130),(Input!$L$181-Input!$L$215)/A5taxstdlife))</f>
        <v>2.9134612419346908</v>
      </c>
      <c r="N130" s="73">
        <f>IF(A5taxstdlife="n/a","n/a",IF(N$3&gt;(A5taxstdlife+$E130),(Input!$L$181-Input!$L$215)-SUM($L130:M130),(Input!$L$181-Input!$L$215)/A5taxstdlife))</f>
        <v>0</v>
      </c>
      <c r="O130" s="73">
        <f>IF(A5taxstdlife="n/a","n/a",IF(O$3&gt;(A5taxstdlife+$E130),(Input!$L$181-Input!$L$215)-SUM($L130:N130),(Input!$L$181-Input!$L$215)/A5taxstdlife))</f>
        <v>0</v>
      </c>
      <c r="P130" s="73">
        <f>IF(A5taxstdlife="n/a","n/a",IF(P$3&gt;(A5taxstdlife+$E130),(Input!$L$181-Input!$L$215)-SUM($L130:O130),(Input!$L$181-Input!$L$215)/A5taxstdlife))</f>
        <v>0</v>
      </c>
      <c r="Q130" s="73">
        <f>IF(A5taxstdlife="n/a","n/a",IF(Q$3&gt;(A5taxstdlife+$E130),(Input!$L$181-Input!$L$215)-SUM($L130:P130),(Input!$L$181-Input!$L$215)/A5taxstdlife))</f>
        <v>0</v>
      </c>
      <c r="R130" s="73"/>
      <c r="S130" s="107"/>
      <c r="T130" s="107"/>
      <c r="U130" s="107"/>
      <c r="V130" s="107"/>
      <c r="W130" s="107"/>
      <c r="X130" s="107"/>
      <c r="Y130" s="107"/>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row>
    <row r="131" spans="1:255" s="201" customFormat="1" hidden="1" outlineLevel="2">
      <c r="A131" s="9"/>
      <c r="B131" s="9"/>
      <c r="C131" s="26"/>
      <c r="D131" s="537"/>
      <c r="E131" s="91">
        <v>6</v>
      </c>
      <c r="F131" s="27"/>
      <c r="G131" s="27"/>
      <c r="H131" s="150"/>
      <c r="I131" s="152"/>
      <c r="J131" s="152"/>
      <c r="K131" s="152"/>
      <c r="L131" s="152"/>
      <c r="M131" s="151"/>
      <c r="N131" s="73">
        <f>IF(A5taxstdlife="n/a","n/a",IF(N$3&gt;(A5taxstdlife+$E131),(Input!$M$181-Input!$M$215)-SUM($M131:M131),(Input!$M$181-Input!$M$215)/A5taxstdlife))</f>
        <v>0</v>
      </c>
      <c r="O131" s="73">
        <f>IF(A5taxstdlife="n/a","n/a",IF(O$3&gt;(A5taxstdlife+$E131),(Input!$M$181-Input!$M$215)-SUM($M131:N131),(Input!$M$181-Input!$M$215)/A5taxstdlife))</f>
        <v>0</v>
      </c>
      <c r="P131" s="73">
        <f>IF(A5taxstdlife="n/a","n/a",IF(P$3&gt;(A5taxstdlife+$E131),(Input!$M$181-Input!$M$215)-SUM($M131:O131),(Input!$M$181-Input!$M$215)/A5taxstdlife))</f>
        <v>0</v>
      </c>
      <c r="Q131" s="73">
        <f>IF(A5taxstdlife="n/a","n/a",IF(Q$3&gt;(A5taxstdlife+$E131),(Input!$M$181-Input!$M$215)-SUM($M131:P131),(Input!$M$181-Input!$M$215)/A5taxstdlife))</f>
        <v>0</v>
      </c>
      <c r="R131" s="73"/>
      <c r="S131" s="107"/>
      <c r="T131" s="107"/>
      <c r="U131" s="107"/>
      <c r="V131" s="107"/>
      <c r="W131" s="107"/>
      <c r="X131" s="107"/>
      <c r="Y131" s="107"/>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row>
    <row r="132" spans="1:255" s="201" customFormat="1" hidden="1" outlineLevel="2">
      <c r="A132" s="9"/>
      <c r="B132" s="9"/>
      <c r="C132" s="26"/>
      <c r="D132" s="537"/>
      <c r="E132" s="91">
        <v>7</v>
      </c>
      <c r="F132" s="27"/>
      <c r="G132" s="27"/>
      <c r="H132" s="150"/>
      <c r="I132" s="152"/>
      <c r="J132" s="152"/>
      <c r="K132" s="152"/>
      <c r="L132" s="152"/>
      <c r="M132" s="152"/>
      <c r="N132" s="151"/>
      <c r="O132" s="73">
        <f>IF(A5taxstdlife="n/a","n/a",IF(O$3&gt;(A5taxstdlife+$E132),(Input!$N$181-Input!$N$215)-SUM($N132:N132),(Input!$N$181-Input!$N$215)/A5taxstdlife))</f>
        <v>0</v>
      </c>
      <c r="P132" s="73">
        <f>IF(A5taxstdlife="n/a","n/a",IF(P$3&gt;(A5taxstdlife+$E132),(Input!$N$181-Input!$N$215)-SUM($N132:O132),(Input!$N$181-Input!$N$215)/A5taxstdlife))</f>
        <v>0</v>
      </c>
      <c r="Q132" s="73">
        <f>IF(A5taxstdlife="n/a","n/a",IF(Q$3&gt;(A5taxstdlife+$E132),(Input!$N$181-Input!$N$215)-SUM($N132:P132),(Input!$N$181-Input!$N$215)/A5taxstdlife))</f>
        <v>0</v>
      </c>
      <c r="R132" s="73"/>
      <c r="S132" s="107"/>
      <c r="T132" s="107"/>
      <c r="U132" s="107"/>
      <c r="V132" s="107"/>
      <c r="W132" s="107"/>
      <c r="X132" s="107"/>
      <c r="Y132" s="107"/>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row>
    <row r="133" spans="1:255" s="201" customFormat="1" hidden="1" outlineLevel="2">
      <c r="A133" s="9"/>
      <c r="B133" s="9"/>
      <c r="C133" s="26"/>
      <c r="D133" s="537"/>
      <c r="E133" s="91">
        <v>8</v>
      </c>
      <c r="F133" s="27"/>
      <c r="G133" s="27"/>
      <c r="H133" s="150"/>
      <c r="I133" s="152"/>
      <c r="J133" s="152"/>
      <c r="K133" s="152"/>
      <c r="L133" s="152"/>
      <c r="M133" s="152"/>
      <c r="N133" s="152"/>
      <c r="O133" s="151"/>
      <c r="P133" s="73">
        <f>IF(A5taxstdlife="n/a","n/a",IF(P$3&gt;(A5taxstdlife+$E133),(Input!$O$181-Input!$O$215)-SUM($O133:O133),(Input!$O$181-Input!$O$215)/A5taxstdlife))</f>
        <v>0</v>
      </c>
      <c r="Q133" s="73">
        <f>IF(A5taxstdlife="n/a","n/a",IF(Q$3&gt;(A5taxstdlife+$E133),(Input!$O$181-Input!$O$215)-SUM($O133:P133),(Input!$O$181-Input!$O$215)/A5taxstdlife))</f>
        <v>0</v>
      </c>
      <c r="R133" s="73"/>
      <c r="S133" s="107"/>
      <c r="T133" s="107"/>
      <c r="U133" s="107"/>
      <c r="V133" s="107"/>
      <c r="W133" s="107"/>
      <c r="X133" s="107"/>
      <c r="Y133" s="107"/>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row>
    <row r="134" spans="1:255" s="201" customFormat="1" hidden="1" outlineLevel="2">
      <c r="A134" s="9"/>
      <c r="B134" s="9"/>
      <c r="C134" s="26"/>
      <c r="D134" s="537"/>
      <c r="E134" s="91">
        <v>9</v>
      </c>
      <c r="F134" s="27"/>
      <c r="G134" s="27"/>
      <c r="H134" s="150"/>
      <c r="I134" s="152"/>
      <c r="J134" s="152"/>
      <c r="K134" s="152"/>
      <c r="L134" s="152"/>
      <c r="M134" s="152"/>
      <c r="N134" s="152"/>
      <c r="O134" s="152"/>
      <c r="P134" s="151"/>
      <c r="Q134" s="73">
        <f>IF(A5taxstdlife="n/a","n/a",IF(Q$3&gt;(A5taxstdlife+$E134),(Input!$P$181-Input!$P$215)-SUM($P134:P134),(Input!$P$181-Input!$P$215)/A5taxstdlife))</f>
        <v>0</v>
      </c>
      <c r="R134" s="73"/>
      <c r="S134" s="107"/>
      <c r="T134" s="107"/>
      <c r="U134" s="107"/>
      <c r="V134" s="107"/>
      <c r="W134" s="107"/>
      <c r="X134" s="107"/>
      <c r="Y134" s="107"/>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row>
    <row r="135" spans="1:255" s="201" customFormat="1" hidden="1" outlineLevel="2">
      <c r="A135" s="9"/>
      <c r="B135" s="9"/>
      <c r="C135" s="26"/>
      <c r="D135" s="537"/>
      <c r="E135" s="92">
        <v>10</v>
      </c>
      <c r="F135" s="27"/>
      <c r="G135" s="27"/>
      <c r="H135" s="150"/>
      <c r="I135" s="152"/>
      <c r="J135" s="152"/>
      <c r="K135" s="152"/>
      <c r="L135" s="152"/>
      <c r="M135" s="152"/>
      <c r="N135" s="152"/>
      <c r="O135" s="152"/>
      <c r="P135" s="152"/>
      <c r="Q135" s="151"/>
      <c r="R135" s="73"/>
      <c r="S135" s="107"/>
      <c r="T135" s="107"/>
      <c r="U135" s="107"/>
      <c r="V135" s="107"/>
      <c r="W135" s="107"/>
      <c r="X135" s="107"/>
      <c r="Y135" s="107"/>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row>
    <row r="136" spans="1:255" s="201" customFormat="1" hidden="1" outlineLevel="1" collapsed="1">
      <c r="A136" s="9"/>
      <c r="B136" s="9"/>
      <c r="C136" s="272" t="str">
        <f>Asset5</f>
        <v>SCADA/Network control</v>
      </c>
      <c r="D136" s="9"/>
      <c r="E136" s="9"/>
      <c r="F136" s="23"/>
      <c r="G136" s="23"/>
      <c r="H136" s="298">
        <f>-SUM(H124:H135)</f>
        <v>0</v>
      </c>
      <c r="I136" s="165">
        <f>-SUM(I124:I135)</f>
        <v>-1.2689451272140742</v>
      </c>
      <c r="J136" s="165">
        <f>-SUM(J124:J135)</f>
        <v>-5.9134930672221477</v>
      </c>
      <c r="K136" s="165">
        <f>-SUM(K124:K135)</f>
        <v>-1.9250731948508306</v>
      </c>
      <c r="L136" s="165">
        <f>-SUM(L124:L135)</f>
        <v>-0.73591031805575635</v>
      </c>
      <c r="M136" s="165">
        <f>IF(COUNT($H136:L136)&gt;=Input!$Y$7,0, -SUM(M124:M135))</f>
        <v>0</v>
      </c>
      <c r="N136" s="165">
        <f>IF(COUNT($H136:M136)&gt;=Input!$Y$7,0, -SUM(N124:N135))</f>
        <v>0</v>
      </c>
      <c r="O136" s="165">
        <f>IF(COUNT($H136:N136)&gt;=Input!$Y$7,0, -SUM(O124:O135))</f>
        <v>0</v>
      </c>
      <c r="P136" s="165">
        <f>IF(COUNT($H136:O136)&gt;=Input!$Y$7,0, -SUM(P124:P135))</f>
        <v>0</v>
      </c>
      <c r="Q136" s="165">
        <f>IF(COUNT($H136:P136)&gt;=Input!$Y$7,0, -SUM(Q124:Q135))</f>
        <v>0</v>
      </c>
      <c r="R136" s="165"/>
      <c r="S136" s="106"/>
      <c r="T136" s="106"/>
      <c r="U136" s="106"/>
      <c r="V136" s="106"/>
      <c r="W136" s="106"/>
      <c r="X136" s="106"/>
      <c r="Y136" s="106"/>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row>
    <row r="137" spans="1:255" s="5" customFormat="1" hidden="1" outlineLevel="2">
      <c r="A137" s="9"/>
      <c r="B137" s="273" t="str">
        <f>Asset6</f>
        <v>Non-network general assets - IT</v>
      </c>
      <c r="C137" s="31"/>
      <c r="D137" s="32" t="s">
        <v>43</v>
      </c>
      <c r="E137" s="31"/>
      <c r="F137" s="301"/>
      <c r="G137" s="301"/>
      <c r="H137" s="72">
        <f>IF(H$3&gt;A6taxremlife,A6taxvalue-SUM($F137:F137),IF(A6taxremlife="N/A","n/a",A6taxvalue/A6taxremlife))</f>
        <v>0</v>
      </c>
      <c r="I137" s="72">
        <f>IF(I$3&gt;A6taxremlife,A6taxvalue-SUM($F137:H137),IF(A6taxremlife="N/A","n/a",A6taxvalue/A6taxremlife))</f>
        <v>0</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01"/>
      <c r="BJ137" s="201"/>
      <c r="BK137" s="201"/>
      <c r="BL137" s="201"/>
      <c r="BM137" s="201"/>
      <c r="BN137" s="201"/>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536" t="s">
        <v>59</v>
      </c>
      <c r="E138" s="91"/>
      <c r="F138" s="27"/>
      <c r="G138" s="27"/>
      <c r="H138" s="107"/>
      <c r="I138" s="73"/>
      <c r="J138" s="73"/>
      <c r="K138" s="73"/>
      <c r="L138" s="73"/>
      <c r="M138" s="73"/>
      <c r="N138" s="73"/>
      <c r="O138" s="73"/>
      <c r="P138" s="73"/>
      <c r="Q138" s="73"/>
      <c r="R138" s="73"/>
      <c r="S138" s="107"/>
      <c r="T138" s="107"/>
      <c r="U138" s="107"/>
      <c r="V138" s="107"/>
      <c r="W138" s="107"/>
      <c r="X138" s="107"/>
      <c r="Y138" s="107"/>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01"/>
      <c r="BJ138" s="201"/>
      <c r="BK138" s="201"/>
      <c r="BL138" s="201"/>
      <c r="BM138" s="201"/>
      <c r="BN138" s="201"/>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537"/>
      <c r="E139" s="91">
        <v>1</v>
      </c>
      <c r="F139" s="27"/>
      <c r="G139" s="27"/>
      <c r="H139" s="149"/>
      <c r="I139" s="73">
        <f>IF(A6taxstdlife="n/a","n/a",IF(I$3&gt;(A6taxstdlife+$E139),(Input!$H$182-Input!$H$216)-SUM($H139:H139),(Input!$H$182-Input!$H$216)/A6taxstdlife))</f>
        <v>46.619225442675479</v>
      </c>
      <c r="J139" s="73">
        <f>IF(A6taxstdlife="n/a","n/a",IF(J$3&gt;(A6taxstdlife+$E139),(Input!$H$182-Input!$H$216)-SUM($H139:I139),(Input!$H$182-Input!$H$216)/A6taxstdlife))</f>
        <v>0</v>
      </c>
      <c r="K139" s="73">
        <f>IF(A6taxstdlife="n/a","n/a",IF(K$3&gt;(A6taxstdlife+$E139),(Input!$H$182-Input!$H$216)-SUM($H139:J139),(Input!$H$182-Input!$H$216)/A6taxstdlife))</f>
        <v>0</v>
      </c>
      <c r="L139" s="73">
        <f>IF(A6taxstdlife="n/a","n/a",IF(L$3&gt;(A6taxstdlife+$E139),(Input!$H$182-Input!$H$216)-SUM($H139:K139),(Input!$H$182-Input!$H$216)/A6taxstdlife))</f>
        <v>0</v>
      </c>
      <c r="M139" s="73">
        <f>IF(A6taxstdlife="n/a","n/a",IF(M$3&gt;(A6taxstdlife+$E139),(Input!$H$182-Input!$H$216)-SUM($H139:L139),(Input!$H$182-Input!$H$216)/A6taxstdlife))</f>
        <v>0</v>
      </c>
      <c r="N139" s="73">
        <f>IF(A6taxstdlife="n/a","n/a",IF(N$3&gt;(A6taxstdlife+$E139),(Input!$H$182-Input!$H$216)-SUM($H139:M139),(Input!$H$182-Input!$H$216)/A6taxstdlife))</f>
        <v>0</v>
      </c>
      <c r="O139" s="73">
        <f>IF(A6taxstdlife="n/a","n/a",IF(O$3&gt;(A6taxstdlife+$E139),(Input!$H$182-Input!$H$216)-SUM($H139:N139),(Input!$H$182-Input!$H$216)/A6taxstdlife))</f>
        <v>0</v>
      </c>
      <c r="P139" s="73">
        <f>IF(A6taxstdlife="n/a","n/a",IF(P$3&gt;(A6taxstdlife+$E139),(Input!$H$182-Input!$H$216)-SUM($H139:O139),(Input!$H$182-Input!$H$216)/A6taxstdlife))</f>
        <v>0</v>
      </c>
      <c r="Q139" s="73">
        <f>IF(A6taxstdlife="n/a","n/a",IF(Q$3&gt;(A6taxstdlife+$E139),(Input!$H$182-Input!$H$216)-SUM($H139:P139),(Input!$H$182-Input!$H$216)/A6taxstdlife))</f>
        <v>0</v>
      </c>
      <c r="R139" s="73"/>
      <c r="S139" s="107"/>
      <c r="T139" s="107"/>
      <c r="U139" s="107"/>
      <c r="V139" s="107"/>
      <c r="W139" s="107"/>
      <c r="X139" s="107"/>
      <c r="Y139" s="107"/>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01"/>
      <c r="BJ139" s="201"/>
      <c r="BK139" s="201"/>
      <c r="BL139" s="201"/>
      <c r="BM139" s="201"/>
      <c r="BN139" s="201"/>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537"/>
      <c r="E140" s="91">
        <v>2</v>
      </c>
      <c r="F140" s="27"/>
      <c r="G140" s="27"/>
      <c r="H140" s="150"/>
      <c r="I140" s="151"/>
      <c r="J140" s="73">
        <f>IF(A6taxstdlife="n/a","n/a",IF(J$3&gt;(A6taxstdlife+$E140),(Input!$I$182-Input!$I$216)-SUM($I140:I140),(Input!$I$182-Input!$I$216)/A6taxstdlife))</f>
        <v>45.516156927547812</v>
      </c>
      <c r="K140" s="73">
        <f>IF(A6taxstdlife="n/a","n/a",IF(K$3&gt;(A6taxstdlife+$E140),(Input!$I$182-Input!$I$216)-SUM($I140:J140),(Input!$I$182-Input!$I$216)/A6taxstdlife))</f>
        <v>0</v>
      </c>
      <c r="L140" s="73">
        <f>IF(A6taxstdlife="n/a","n/a",IF(L$3&gt;(A6taxstdlife+$E140),(Input!$I$182-Input!$I$216)-SUM($I140:K140),(Input!$I$182-Input!$I$216)/A6taxstdlife))</f>
        <v>0</v>
      </c>
      <c r="M140" s="73">
        <f>IF(A6taxstdlife="n/a","n/a",IF(M$3&gt;(A6taxstdlife+$E140),(Input!$I$182-Input!$I$216)-SUM($I140:L140),(Input!$I$182-Input!$I$216)/A6taxstdlife))</f>
        <v>0</v>
      </c>
      <c r="N140" s="73">
        <f>IF(A6taxstdlife="n/a","n/a",IF(N$3&gt;(A6taxstdlife+$E140),(Input!$I$182-Input!$I$216)-SUM($I140:M140),(Input!$I$182-Input!$I$216)/A6taxstdlife))</f>
        <v>0</v>
      </c>
      <c r="O140" s="73">
        <f>IF(A6taxstdlife="n/a","n/a",IF(O$3&gt;(A6taxstdlife+$E140),(Input!$I$182-Input!$I$216)-SUM($I140:N140),(Input!$I$182-Input!$I$216)/A6taxstdlife))</f>
        <v>0</v>
      </c>
      <c r="P140" s="73">
        <f>IF(A6taxstdlife="n/a","n/a",IF(P$3&gt;(A6taxstdlife+$E140),(Input!$I$182-Input!$I$216)-SUM($I140:O140),(Input!$I$182-Input!$I$216)/A6taxstdlife))</f>
        <v>0</v>
      </c>
      <c r="Q140" s="73">
        <f>IF(A6taxstdlife="n/a","n/a",IF(Q$3&gt;(A6taxstdlife+$E140),(Input!$I$182-Input!$I$216)-SUM($I140:P140),(Input!$I$182-Input!$I$216)/A6taxstdlife))</f>
        <v>0</v>
      </c>
      <c r="R140" s="73"/>
      <c r="S140" s="107"/>
      <c r="T140" s="107"/>
      <c r="U140" s="107"/>
      <c r="V140" s="107"/>
      <c r="W140" s="107"/>
      <c r="X140" s="107"/>
      <c r="Y140" s="107"/>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01"/>
      <c r="BJ140" s="201"/>
      <c r="BK140" s="201"/>
      <c r="BL140" s="201"/>
      <c r="BM140" s="201"/>
      <c r="BN140" s="201"/>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537"/>
      <c r="E141" s="91">
        <v>3</v>
      </c>
      <c r="F141" s="27"/>
      <c r="G141" s="27"/>
      <c r="H141" s="150"/>
      <c r="I141" s="152"/>
      <c r="J141" s="151"/>
      <c r="K141" s="73">
        <f>IF(A6taxstdlife="n/a","n/a",IF(K$3&gt;(A6taxstdlife+$E141),(Input!$J$182-Input!$J$216)-SUM($J141:J141),(Input!$J$182-Input!$J$216)/A6taxstdlife))</f>
        <v>50.208650819470257</v>
      </c>
      <c r="L141" s="73">
        <f>IF(A6taxstdlife="n/a","n/a",IF(L$3&gt;(A6taxstdlife+$E141),(Input!$J$182-Input!$J$216)-SUM($J141:K141),(Input!$J$182-Input!$J$216)/A6taxstdlife))</f>
        <v>0</v>
      </c>
      <c r="M141" s="73">
        <f>IF(A6taxstdlife="n/a","n/a",IF(M$3&gt;(A6taxstdlife+$E141),(Input!$J$182-Input!$J$216)-SUM($J141:L141),(Input!$J$182-Input!$J$216)/A6taxstdlife))</f>
        <v>0</v>
      </c>
      <c r="N141" s="73">
        <f>IF(A6taxstdlife="n/a","n/a",IF(N$3&gt;(A6taxstdlife+$E141),(Input!$J$182-Input!$J$216)-SUM($J141:M141),(Input!$J$182-Input!$J$216)/A6taxstdlife))</f>
        <v>0</v>
      </c>
      <c r="O141" s="73">
        <f>IF(A6taxstdlife="n/a","n/a",IF(O$3&gt;(A6taxstdlife+$E141),(Input!$J$182-Input!$J$216)-SUM($J141:N141),(Input!$J$182-Input!$J$216)/A6taxstdlife))</f>
        <v>0</v>
      </c>
      <c r="P141" s="73">
        <f>IF(A6taxstdlife="n/a","n/a",IF(P$3&gt;(A6taxstdlife+$E141),(Input!$J$182-Input!$J$216)-SUM($J141:O141),(Input!$J$182-Input!$J$216)/A6taxstdlife))</f>
        <v>0</v>
      </c>
      <c r="Q141" s="73">
        <f>IF(A6taxstdlife="n/a","n/a",IF(Q$3&gt;(A6taxstdlife+$E141),(Input!$J$182-Input!$J$216)-SUM($J141:P141),(Input!$J$182-Input!$J$216)/A6taxstdlife))</f>
        <v>0</v>
      </c>
      <c r="R141" s="73"/>
      <c r="S141" s="107"/>
      <c r="T141" s="107"/>
      <c r="U141" s="107"/>
      <c r="V141" s="107"/>
      <c r="W141" s="107"/>
      <c r="X141" s="107"/>
      <c r="Y141" s="107"/>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01"/>
      <c r="BJ141" s="201"/>
      <c r="BK141" s="201"/>
      <c r="BL141" s="201"/>
      <c r="BM141" s="201"/>
      <c r="BN141" s="20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537"/>
      <c r="E142" s="91">
        <v>4</v>
      </c>
      <c r="F142" s="27"/>
      <c r="G142" s="27"/>
      <c r="H142" s="150"/>
      <c r="I142" s="152"/>
      <c r="J142" s="152"/>
      <c r="K142" s="151"/>
      <c r="L142" s="73">
        <f>IF(A6taxstdlife="n/a","n/a",IF(L$3&gt;(A6taxstdlife+$E142),(Input!$K$182-Input!$K$216)-SUM($K142:K142),(Input!$K$182-Input!$K$216)/A6taxstdlife))</f>
        <v>33.026078626827349</v>
      </c>
      <c r="M142" s="73">
        <f>IF(A6taxstdlife="n/a","n/a",IF(M$3&gt;(A6taxstdlife+$E142),(Input!$K$182-Input!$K$216)-SUM($K142:L142),(Input!$K$182-Input!$K$216)/A6taxstdlife))</f>
        <v>0</v>
      </c>
      <c r="N142" s="73">
        <f>IF(A6taxstdlife="n/a","n/a",IF(N$3&gt;(A6taxstdlife+$E142),(Input!$K$182-Input!$K$216)-SUM($K142:M142),(Input!$K$182-Input!$K$216)/A6taxstdlife))</f>
        <v>0</v>
      </c>
      <c r="O142" s="73">
        <f>IF(A6taxstdlife="n/a","n/a",IF(O$3&gt;(A6taxstdlife+$E142),(Input!$K$182-Input!$K$216)-SUM($K142:N142),(Input!$K$182-Input!$K$216)/A6taxstdlife))</f>
        <v>0</v>
      </c>
      <c r="P142" s="73">
        <f>IF(A6taxstdlife="n/a","n/a",IF(P$3&gt;(A6taxstdlife+$E142),(Input!$K$182-Input!$K$216)-SUM($K142:O142),(Input!$K$182-Input!$K$216)/A6taxstdlife))</f>
        <v>0</v>
      </c>
      <c r="Q142" s="73">
        <f>IF(A6taxstdlife="n/a","n/a",IF(Q$3&gt;(A6taxstdlife+$E142),(Input!$K$182-Input!$K$216)-SUM($K142:P142),(Input!$K$182-Input!$K$216)/A6taxstdlife))</f>
        <v>0</v>
      </c>
      <c r="R142" s="73"/>
      <c r="S142" s="107"/>
      <c r="T142" s="107"/>
      <c r="U142" s="107"/>
      <c r="V142" s="107"/>
      <c r="W142" s="107"/>
      <c r="X142" s="107"/>
      <c r="Y142" s="107"/>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01"/>
      <c r="BJ142" s="201"/>
      <c r="BK142" s="201"/>
      <c r="BL142" s="201"/>
      <c r="BM142" s="201"/>
      <c r="BN142" s="201"/>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537"/>
      <c r="E143" s="91">
        <v>5</v>
      </c>
      <c r="F143" s="27"/>
      <c r="G143" s="27"/>
      <c r="H143" s="150"/>
      <c r="I143" s="152"/>
      <c r="J143" s="152"/>
      <c r="K143" s="152"/>
      <c r="L143" s="151"/>
      <c r="M143" s="73">
        <f>IF(A6taxstdlife="n/a","n/a",IF(M$3&gt;(A6taxstdlife+$E143),(Input!$L$182-Input!$L$216)-SUM($L143:L143),(Input!$L$182-Input!$L$216)/A6taxstdlife))</f>
        <v>19.477343763613511</v>
      </c>
      <c r="N143" s="73">
        <f>IF(A6taxstdlife="n/a","n/a",IF(N$3&gt;(A6taxstdlife+$E143),(Input!$L$182-Input!$L$216)-SUM($L143:M143),(Input!$L$182-Input!$L$216)/A6taxstdlife))</f>
        <v>0</v>
      </c>
      <c r="O143" s="73">
        <f>IF(A6taxstdlife="n/a","n/a",IF(O$3&gt;(A6taxstdlife+$E143),(Input!$L$182-Input!$L$216)-SUM($L143:N143),(Input!$L$182-Input!$L$216)/A6taxstdlife))</f>
        <v>0</v>
      </c>
      <c r="P143" s="73">
        <f>IF(A6taxstdlife="n/a","n/a",IF(P$3&gt;(A6taxstdlife+$E143),(Input!$L$182-Input!$L$216)-SUM($L143:O143),(Input!$L$182-Input!$L$216)/A6taxstdlife))</f>
        <v>0</v>
      </c>
      <c r="Q143" s="73">
        <f>IF(A6taxstdlife="n/a","n/a",IF(Q$3&gt;(A6taxstdlife+$E143),(Input!$L$182-Input!$L$216)-SUM($L143:P143),(Input!$L$182-Input!$L$216)/A6taxstdlife))</f>
        <v>0</v>
      </c>
      <c r="R143" s="73"/>
      <c r="S143" s="107"/>
      <c r="T143" s="107"/>
      <c r="U143" s="107"/>
      <c r="V143" s="107"/>
      <c r="W143" s="107"/>
      <c r="X143" s="107"/>
      <c r="Y143" s="107"/>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01"/>
      <c r="BJ143" s="201"/>
      <c r="BK143" s="201"/>
      <c r="BL143" s="201"/>
      <c r="BM143" s="201"/>
      <c r="BN143" s="201"/>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537"/>
      <c r="E144" s="91">
        <v>6</v>
      </c>
      <c r="F144" s="27"/>
      <c r="G144" s="27"/>
      <c r="H144" s="150"/>
      <c r="I144" s="152"/>
      <c r="J144" s="152"/>
      <c r="K144" s="152"/>
      <c r="L144" s="152"/>
      <c r="M144" s="151"/>
      <c r="N144" s="73">
        <f>IF(A6taxstdlife="n/a","n/a",IF(N$3&gt;(A6taxstdlife+$E144),(Input!$M$182-Input!$M$216)-SUM($M144:M144),(Input!$M$182-Input!$M$216)/A6taxstdlife))</f>
        <v>0</v>
      </c>
      <c r="O144" s="73">
        <f>IF(A6taxstdlife="n/a","n/a",IF(O$3&gt;(A6taxstdlife+$E144),(Input!$M$182-Input!$M$216)-SUM($M144:N144),(Input!$M$182-Input!$M$216)/A6taxstdlife))</f>
        <v>0</v>
      </c>
      <c r="P144" s="73">
        <f>IF(A6taxstdlife="n/a","n/a",IF(P$3&gt;(A6taxstdlife+$E144),(Input!$M$182-Input!$M$216)-SUM($M144:O144),(Input!$M$182-Input!$M$216)/A6taxstdlife))</f>
        <v>0</v>
      </c>
      <c r="Q144" s="73">
        <f>IF(A6taxstdlife="n/a","n/a",IF(Q$3&gt;(A6taxstdlife+$E144),(Input!$M$182-Input!$M$216)-SUM($M144:P144),(Input!$M$182-Input!$M$216)/A6taxstdlife))</f>
        <v>0</v>
      </c>
      <c r="R144" s="73"/>
      <c r="S144" s="107"/>
      <c r="T144" s="107"/>
      <c r="U144" s="107"/>
      <c r="V144" s="107"/>
      <c r="W144" s="107"/>
      <c r="X144" s="107"/>
      <c r="Y144" s="107"/>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01"/>
      <c r="BJ144" s="201"/>
      <c r="BK144" s="201"/>
      <c r="BL144" s="201"/>
      <c r="BM144" s="201"/>
      <c r="BN144" s="201"/>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537"/>
      <c r="E145" s="91">
        <v>7</v>
      </c>
      <c r="F145" s="27"/>
      <c r="G145" s="27"/>
      <c r="H145" s="150"/>
      <c r="I145" s="152"/>
      <c r="J145" s="152"/>
      <c r="K145" s="152"/>
      <c r="L145" s="152"/>
      <c r="M145" s="152"/>
      <c r="N145" s="151"/>
      <c r="O145" s="73">
        <f>IF(A6taxstdlife="n/a","n/a",IF(O$3&gt;(A6taxstdlife+$E145),(Input!$N$182-Input!$N$216)-SUM($N145:N145),(Input!$N$182-Input!$N$216)/A6taxstdlife))</f>
        <v>0</v>
      </c>
      <c r="P145" s="73">
        <f>IF(A6taxstdlife="n/a","n/a",IF(P$3&gt;(A6taxstdlife+$E145),(Input!$N$182-Input!$N$216)-SUM($N145:O145),(Input!$N$182-Input!$N$216)/A6taxstdlife))</f>
        <v>0</v>
      </c>
      <c r="Q145" s="73">
        <f>IF(A6taxstdlife="n/a","n/a",IF(Q$3&gt;(A6taxstdlife+$E145),(Input!$N$182-Input!$N$216)-SUM($N145:P145),(Input!$N$182-Input!$N$216)/A6taxstdlife))</f>
        <v>0</v>
      </c>
      <c r="R145" s="73"/>
      <c r="S145" s="107"/>
      <c r="T145" s="107"/>
      <c r="U145" s="107"/>
      <c r="V145" s="107"/>
      <c r="W145" s="107"/>
      <c r="X145" s="107"/>
      <c r="Y145" s="107"/>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01"/>
      <c r="BJ145" s="201"/>
      <c r="BK145" s="201"/>
      <c r="BL145" s="201"/>
      <c r="BM145" s="201"/>
      <c r="BN145" s="201"/>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537"/>
      <c r="E146" s="91">
        <v>8</v>
      </c>
      <c r="F146" s="27"/>
      <c r="G146" s="27"/>
      <c r="H146" s="150"/>
      <c r="I146" s="152"/>
      <c r="J146" s="152"/>
      <c r="K146" s="152"/>
      <c r="L146" s="152"/>
      <c r="M146" s="152"/>
      <c r="N146" s="152"/>
      <c r="O146" s="151"/>
      <c r="P146" s="73">
        <f>IF(A6taxstdlife="n/a","n/a",IF(P$3&gt;(A6taxstdlife+$E146),(Input!$O$182-Input!$O$216)-SUM($O146:O146),(Input!$O$182-Input!$O$216)/A6taxstdlife))</f>
        <v>0</v>
      </c>
      <c r="Q146" s="73">
        <f>IF(A6taxstdlife="n/a","n/a",IF(Q$3&gt;(A6taxstdlife+$E146),(Input!$O$182-Input!$O$216)-SUM($O146:P146),(Input!$O$182-Input!$O$216)/A6taxstdlife))</f>
        <v>0</v>
      </c>
      <c r="R146" s="73"/>
      <c r="S146" s="107"/>
      <c r="T146" s="107"/>
      <c r="U146" s="107"/>
      <c r="V146" s="107"/>
      <c r="W146" s="107"/>
      <c r="X146" s="107"/>
      <c r="Y146" s="107"/>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01"/>
      <c r="BJ146" s="201"/>
      <c r="BK146" s="201"/>
      <c r="BL146" s="201"/>
      <c r="BM146" s="201"/>
      <c r="BN146" s="201"/>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537"/>
      <c r="E147" s="91">
        <v>9</v>
      </c>
      <c r="F147" s="27"/>
      <c r="G147" s="27"/>
      <c r="H147" s="150"/>
      <c r="I147" s="152"/>
      <c r="J147" s="152"/>
      <c r="K147" s="152"/>
      <c r="L147" s="152"/>
      <c r="M147" s="152"/>
      <c r="N147" s="152"/>
      <c r="O147" s="152"/>
      <c r="P147" s="151"/>
      <c r="Q147" s="73">
        <f>IF(A6taxstdlife="n/a","n/a",IF(Q$3&gt;(A6taxstdlife+$E147),(Input!$P$182-Input!$P$216)-SUM($P147:P147),(Input!$P$182-Input!$P$216)/A6taxstdlife))</f>
        <v>0</v>
      </c>
      <c r="R147" s="73"/>
      <c r="S147" s="107"/>
      <c r="T147" s="107"/>
      <c r="U147" s="107"/>
      <c r="V147" s="107"/>
      <c r="W147" s="107"/>
      <c r="X147" s="107"/>
      <c r="Y147" s="107"/>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01"/>
      <c r="BJ147" s="201"/>
      <c r="BK147" s="201"/>
      <c r="BL147" s="201"/>
      <c r="BM147" s="201"/>
      <c r="BN147" s="201"/>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537"/>
      <c r="E148" s="92">
        <v>10</v>
      </c>
      <c r="F148" s="27"/>
      <c r="G148" s="27"/>
      <c r="H148" s="150"/>
      <c r="I148" s="152"/>
      <c r="J148" s="152"/>
      <c r="K148" s="152"/>
      <c r="L148" s="152"/>
      <c r="M148" s="152"/>
      <c r="N148" s="152"/>
      <c r="O148" s="152"/>
      <c r="P148" s="152"/>
      <c r="Q148" s="151"/>
      <c r="R148" s="73"/>
      <c r="S148" s="107"/>
      <c r="T148" s="107"/>
      <c r="U148" s="107"/>
      <c r="V148" s="107"/>
      <c r="W148" s="107"/>
      <c r="X148" s="107"/>
      <c r="Y148" s="107"/>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01"/>
      <c r="BJ148" s="201"/>
      <c r="BK148" s="201"/>
      <c r="BL148" s="201"/>
      <c r="BM148" s="201"/>
      <c r="BN148" s="201"/>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2" t="str">
        <f>Asset6</f>
        <v>Non-network general assets - IT</v>
      </c>
      <c r="D149" s="9"/>
      <c r="E149" s="9"/>
      <c r="F149" s="23"/>
      <c r="G149" s="23"/>
      <c r="H149" s="298">
        <f>-SUM(H137:H148)</f>
        <v>0</v>
      </c>
      <c r="I149" s="165">
        <f>-SUM(I137:I148)</f>
        <v>-46.619225442675479</v>
      </c>
      <c r="J149" s="165">
        <f>-SUM(J137:J148)</f>
        <v>-45.516156927547812</v>
      </c>
      <c r="K149" s="165">
        <f>-SUM(K137:K148)</f>
        <v>-50.208650819470257</v>
      </c>
      <c r="L149" s="165">
        <f>-SUM(L137:L148)</f>
        <v>-33.026078626827349</v>
      </c>
      <c r="M149" s="165">
        <f>IF(COUNT($H149:L149)&gt;=Input!$Y$7,0, -SUM(M137:M148))</f>
        <v>0</v>
      </c>
      <c r="N149" s="165">
        <f>IF(COUNT($H149:M149)&gt;=Input!$Y$7,0, -SUM(N137:N148))</f>
        <v>0</v>
      </c>
      <c r="O149" s="165">
        <f>IF(COUNT($H149:N149)&gt;=Input!$Y$7,0, -SUM(O137:O148))</f>
        <v>0</v>
      </c>
      <c r="P149" s="165">
        <f>IF(COUNT($H149:O149)&gt;=Input!$Y$7,0, -SUM(P137:P148))</f>
        <v>0</v>
      </c>
      <c r="Q149" s="165">
        <f>IF(COUNT($H149:P149)&gt;=Input!$Y$7,0, -SUM(Q137:Q148))</f>
        <v>0</v>
      </c>
      <c r="R149" s="165"/>
      <c r="S149" s="106"/>
      <c r="T149" s="106"/>
      <c r="U149" s="106"/>
      <c r="V149" s="106"/>
      <c r="W149" s="106"/>
      <c r="X149" s="106"/>
      <c r="Y149" s="106"/>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01"/>
      <c r="BJ149" s="201"/>
      <c r="BK149" s="201"/>
      <c r="BL149" s="201"/>
      <c r="BM149" s="201"/>
      <c r="BN149" s="201"/>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73" t="str">
        <f>Asset7</f>
        <v>Non-network general assets - Other</v>
      </c>
      <c r="C150" s="31"/>
      <c r="D150" s="32" t="s">
        <v>43</v>
      </c>
      <c r="E150" s="31"/>
      <c r="F150" s="301"/>
      <c r="G150" s="301"/>
      <c r="H150" s="72">
        <f>IF(H$3&gt;A7taxremlife,A7taxvalue-SUM($F150:F150),IF(A7taxremlife="N/A","n/a",A7taxvalue/A7taxremlife))</f>
        <v>0</v>
      </c>
      <c r="I150" s="72">
        <f>IF(I$3&gt;A7taxremlife,A7taxvalue-SUM($F150:H150),IF(A7taxremlife="N/A","n/a",A7taxvalue/A7taxremlife))</f>
        <v>0</v>
      </c>
      <c r="J150" s="72">
        <f>IF(J$3&gt;A7taxremlife,A7taxvalue-SUM($F150:I150),IF(A7taxremlife="N/A","n/a",A7taxvalue/A7taxremlife))</f>
        <v>0</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01"/>
      <c r="BJ150" s="201"/>
      <c r="BK150" s="201"/>
      <c r="BL150" s="201"/>
      <c r="BM150" s="201"/>
      <c r="BN150" s="201"/>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536" t="s">
        <v>59</v>
      </c>
      <c r="E151" s="91"/>
      <c r="F151" s="27"/>
      <c r="G151" s="27"/>
      <c r="H151" s="107"/>
      <c r="I151" s="73"/>
      <c r="J151" s="73"/>
      <c r="K151" s="73"/>
      <c r="L151" s="73"/>
      <c r="M151" s="73"/>
      <c r="N151" s="73"/>
      <c r="O151" s="73"/>
      <c r="P151" s="73"/>
      <c r="Q151" s="73"/>
      <c r="R151" s="73"/>
      <c r="S151" s="107"/>
      <c r="T151" s="107"/>
      <c r="U151" s="107"/>
      <c r="V151" s="107"/>
      <c r="W151" s="107"/>
      <c r="X151" s="107"/>
      <c r="Y151" s="107"/>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01"/>
      <c r="BJ151" s="201"/>
      <c r="BK151" s="201"/>
      <c r="BL151" s="201"/>
      <c r="BM151" s="201"/>
      <c r="BN151" s="20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537"/>
      <c r="E152" s="91">
        <v>1</v>
      </c>
      <c r="F152" s="27"/>
      <c r="G152" s="27"/>
      <c r="H152" s="149"/>
      <c r="I152" s="73">
        <f>IF(A7taxstdlife="n/a","n/a",IF(I$3&gt;(A7taxstdlife+$E152),(Input!$H$183-Input!$H$217)-SUM($H152:H152),(Input!$H$183-Input!$H$217)/A7taxstdlife))</f>
        <v>4.9138847449548289</v>
      </c>
      <c r="J152" s="73">
        <f>IF(A7taxstdlife="n/a","n/a",IF(J$3&gt;(A7taxstdlife+$E152),(Input!$H$183-Input!$H$217)-SUM($H152:I152),(Input!$H$183-Input!$H$217)/A7taxstdlife))</f>
        <v>0</v>
      </c>
      <c r="K152" s="73">
        <f>IF(A7taxstdlife="n/a","n/a",IF(K$3&gt;(A7taxstdlife+$E152),(Input!$H$183-Input!$H$217)-SUM($H152:J152),(Input!$H$183-Input!$H$217)/A7taxstdlife))</f>
        <v>0</v>
      </c>
      <c r="L152" s="73">
        <f>IF(A7taxstdlife="n/a","n/a",IF(L$3&gt;(A7taxstdlife+$E152),(Input!$H$183-Input!$H$217)-SUM($H152:K152),(Input!$H$183-Input!$H$217)/A7taxstdlife))</f>
        <v>0</v>
      </c>
      <c r="M152" s="73">
        <f>IF(A7taxstdlife="n/a","n/a",IF(M$3&gt;(A7taxstdlife+$E152),(Input!$H$183-Input!$H$217)-SUM($H152:L152),(Input!$H$183-Input!$H$217)/A7taxstdlife))</f>
        <v>0</v>
      </c>
      <c r="N152" s="73">
        <f>IF(A7taxstdlife="n/a","n/a",IF(N$3&gt;(A7taxstdlife+$E152),(Input!$H$183-Input!$H$217)-SUM($H152:M152),(Input!$H$183-Input!$H$217)/A7taxstdlife))</f>
        <v>0</v>
      </c>
      <c r="O152" s="73">
        <f>IF(A7taxstdlife="n/a","n/a",IF(O$3&gt;(A7taxstdlife+$E152),(Input!$H$183-Input!$H$217)-SUM($H152:N152),(Input!$H$183-Input!$H$217)/A7taxstdlife))</f>
        <v>0</v>
      </c>
      <c r="P152" s="73">
        <f>IF(A7taxstdlife="n/a","n/a",IF(P$3&gt;(A7taxstdlife+$E152),(Input!$H$183-Input!$H$217)-SUM($H152:O152),(Input!$H$183-Input!$H$217)/A7taxstdlife))</f>
        <v>0</v>
      </c>
      <c r="Q152" s="73">
        <f>IF(A7taxstdlife="n/a","n/a",IF(Q$3&gt;(A7taxstdlife+$E152),(Input!$H$183-Input!$H$217)-SUM($H152:P152),(Input!$H$183-Input!$H$217)/A7taxstdlife))</f>
        <v>0</v>
      </c>
      <c r="R152" s="73"/>
      <c r="S152" s="107"/>
      <c r="T152" s="107"/>
      <c r="U152" s="107"/>
      <c r="V152" s="107"/>
      <c r="W152" s="107"/>
      <c r="X152" s="107"/>
      <c r="Y152" s="107"/>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01"/>
      <c r="BJ152" s="201"/>
      <c r="BK152" s="201"/>
      <c r="BL152" s="201"/>
      <c r="BM152" s="201"/>
      <c r="BN152" s="201"/>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537"/>
      <c r="E153" s="91">
        <v>2</v>
      </c>
      <c r="F153" s="27"/>
      <c r="G153" s="27"/>
      <c r="H153" s="150"/>
      <c r="I153" s="151"/>
      <c r="J153" s="73">
        <f>IF(A7taxstdlife="n/a","n/a",IF(J$3&gt;(A7taxstdlife+$E153),(Input!$I$183-Input!$I$217)-SUM($I153:I153),(Input!$I$183-Input!$I$217)/A7taxstdlife))</f>
        <v>3.6929460596747674</v>
      </c>
      <c r="K153" s="73">
        <f>IF(A7taxstdlife="n/a","n/a",IF(K$3&gt;(A7taxstdlife+$E153),(Input!$I$183-Input!$I$217)-SUM($I153:J153),(Input!$I$183-Input!$I$217)/A7taxstdlife))</f>
        <v>0</v>
      </c>
      <c r="L153" s="73">
        <f>IF(A7taxstdlife="n/a","n/a",IF(L$3&gt;(A7taxstdlife+$E153),(Input!$I$183-Input!$I$217)-SUM($I153:K153),(Input!$I$183-Input!$I$217)/A7taxstdlife))</f>
        <v>0</v>
      </c>
      <c r="M153" s="73">
        <f>IF(A7taxstdlife="n/a","n/a",IF(M$3&gt;(A7taxstdlife+$E153),(Input!$I$183-Input!$I$217)-SUM($I153:L153),(Input!$I$183-Input!$I$217)/A7taxstdlife))</f>
        <v>0</v>
      </c>
      <c r="N153" s="73">
        <f>IF(A7taxstdlife="n/a","n/a",IF(N$3&gt;(A7taxstdlife+$E153),(Input!$I$183-Input!$I$217)-SUM($I153:M153),(Input!$I$183-Input!$I$217)/A7taxstdlife))</f>
        <v>0</v>
      </c>
      <c r="O153" s="73">
        <f>IF(A7taxstdlife="n/a","n/a",IF(O$3&gt;(A7taxstdlife+$E153),(Input!$I$183-Input!$I$217)-SUM($I153:N153),(Input!$I$183-Input!$I$217)/A7taxstdlife))</f>
        <v>0</v>
      </c>
      <c r="P153" s="73">
        <f>IF(A7taxstdlife="n/a","n/a",IF(P$3&gt;(A7taxstdlife+$E153),(Input!$I$183-Input!$I$217)-SUM($I153:O153),(Input!$I$183-Input!$I$217)/A7taxstdlife))</f>
        <v>0</v>
      </c>
      <c r="Q153" s="73">
        <f>IF(A7taxstdlife="n/a","n/a",IF(Q$3&gt;(A7taxstdlife+$E153),(Input!$I$183-Input!$I$217)-SUM($I153:P153),(Input!$I$183-Input!$I$217)/A7taxstdlife))</f>
        <v>0</v>
      </c>
      <c r="R153" s="73"/>
      <c r="S153" s="107"/>
      <c r="T153" s="107"/>
      <c r="U153" s="107"/>
      <c r="V153" s="107"/>
      <c r="W153" s="107"/>
      <c r="X153" s="107"/>
      <c r="Y153" s="107"/>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01"/>
      <c r="BJ153" s="201"/>
      <c r="BK153" s="201"/>
      <c r="BL153" s="201"/>
      <c r="BM153" s="201"/>
      <c r="BN153" s="201"/>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537"/>
      <c r="E154" s="91">
        <v>3</v>
      </c>
      <c r="F154" s="27"/>
      <c r="G154" s="27"/>
      <c r="H154" s="150"/>
      <c r="I154" s="152"/>
      <c r="J154" s="151"/>
      <c r="K154" s="73">
        <f>IF(A7taxstdlife="n/a","n/a",IF(K$3&gt;(A7taxstdlife+$E154),(Input!$J$183-Input!$J$217)-SUM($J154:J154),(Input!$J$183-Input!$J$217)/A7taxstdlife))</f>
        <v>5.4919072869307586</v>
      </c>
      <c r="L154" s="73">
        <f>IF(A7taxstdlife="n/a","n/a",IF(L$3&gt;(A7taxstdlife+$E154),(Input!$J$183-Input!$J$217)-SUM($J154:K154),(Input!$J$183-Input!$J$217)/A7taxstdlife))</f>
        <v>0</v>
      </c>
      <c r="M154" s="73">
        <f>IF(A7taxstdlife="n/a","n/a",IF(M$3&gt;(A7taxstdlife+$E154),(Input!$J$183-Input!$J$217)-SUM($J154:L154),(Input!$J$183-Input!$J$217)/A7taxstdlife))</f>
        <v>0</v>
      </c>
      <c r="N154" s="73">
        <f>IF(A7taxstdlife="n/a","n/a",IF(N$3&gt;(A7taxstdlife+$E154),(Input!$J$183-Input!$J$217)-SUM($J154:M154),(Input!$J$183-Input!$J$217)/A7taxstdlife))</f>
        <v>0</v>
      </c>
      <c r="O154" s="73">
        <f>IF(A7taxstdlife="n/a","n/a",IF(O$3&gt;(A7taxstdlife+$E154),(Input!$J$183-Input!$J$217)-SUM($J154:N154),(Input!$J$183-Input!$J$217)/A7taxstdlife))</f>
        <v>0</v>
      </c>
      <c r="P154" s="73">
        <f>IF(A7taxstdlife="n/a","n/a",IF(P$3&gt;(A7taxstdlife+$E154),(Input!$J$183-Input!$J$217)-SUM($J154:O154),(Input!$J$183-Input!$J$217)/A7taxstdlife))</f>
        <v>0</v>
      </c>
      <c r="Q154" s="73">
        <f>IF(A7taxstdlife="n/a","n/a",IF(Q$3&gt;(A7taxstdlife+$E154),(Input!$J$183-Input!$J$217)-SUM($J154:P154),(Input!$J$183-Input!$J$217)/A7taxstdlife))</f>
        <v>0</v>
      </c>
      <c r="R154" s="73"/>
      <c r="S154" s="107"/>
      <c r="T154" s="107"/>
      <c r="U154" s="107"/>
      <c r="V154" s="107"/>
      <c r="W154" s="107"/>
      <c r="X154" s="107"/>
      <c r="Y154" s="107"/>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01"/>
      <c r="BJ154" s="201"/>
      <c r="BK154" s="201"/>
      <c r="BL154" s="201"/>
      <c r="BM154" s="201"/>
      <c r="BN154" s="201"/>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537"/>
      <c r="E155" s="91">
        <v>4</v>
      </c>
      <c r="F155" s="27"/>
      <c r="G155" s="27"/>
      <c r="H155" s="150"/>
      <c r="I155" s="152"/>
      <c r="J155" s="152"/>
      <c r="K155" s="151"/>
      <c r="L155" s="73">
        <f>IF(A7taxstdlife="n/a","n/a",IF(L$3&gt;(A7taxstdlife+$E155),(Input!$K$183-Input!$K$217)-SUM($K155:K155),(Input!$K$183-Input!$K$217)/A7taxstdlife))</f>
        <v>4.413131171231</v>
      </c>
      <c r="M155" s="73">
        <f>IF(A7taxstdlife="n/a","n/a",IF(M$3&gt;(A7taxstdlife+$E155),(Input!$K$183-Input!$K$217)-SUM($K155:L155),(Input!$K$183-Input!$K$217)/A7taxstdlife))</f>
        <v>0</v>
      </c>
      <c r="N155" s="73">
        <f>IF(A7taxstdlife="n/a","n/a",IF(N$3&gt;(A7taxstdlife+$E155),(Input!$K$183-Input!$K$217)-SUM($K155:M155),(Input!$K$183-Input!$K$217)/A7taxstdlife))</f>
        <v>0</v>
      </c>
      <c r="O155" s="73">
        <f>IF(A7taxstdlife="n/a","n/a",IF(O$3&gt;(A7taxstdlife+$E155),(Input!$K$183-Input!$K$217)-SUM($K155:N155),(Input!$K$183-Input!$K$217)/A7taxstdlife))</f>
        <v>0</v>
      </c>
      <c r="P155" s="73">
        <f>IF(A7taxstdlife="n/a","n/a",IF(P$3&gt;(A7taxstdlife+$E155),(Input!$K$183-Input!$K$217)-SUM($K155:O155),(Input!$K$183-Input!$K$217)/A7taxstdlife))</f>
        <v>0</v>
      </c>
      <c r="Q155" s="73">
        <f>IF(A7taxstdlife="n/a","n/a",IF(Q$3&gt;(A7taxstdlife+$E155),(Input!$K$183-Input!$K$217)-SUM($K155:P155),(Input!$K$183-Input!$K$217)/A7taxstdlife))</f>
        <v>0</v>
      </c>
      <c r="R155" s="73"/>
      <c r="S155" s="107"/>
      <c r="T155" s="107"/>
      <c r="U155" s="107"/>
      <c r="V155" s="107"/>
      <c r="W155" s="107"/>
      <c r="X155" s="107"/>
      <c r="Y155" s="107"/>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01"/>
      <c r="BJ155" s="201"/>
      <c r="BK155" s="201"/>
      <c r="BL155" s="201"/>
      <c r="BM155" s="201"/>
      <c r="BN155" s="201"/>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537"/>
      <c r="E156" s="91">
        <v>5</v>
      </c>
      <c r="F156" s="27"/>
      <c r="G156" s="27"/>
      <c r="H156" s="150"/>
      <c r="I156" s="152"/>
      <c r="J156" s="152"/>
      <c r="K156" s="152"/>
      <c r="L156" s="151"/>
      <c r="M156" s="73">
        <f>IF(A7taxstdlife="n/a","n/a",IF(M$3&gt;(A7taxstdlife+$E156),(Input!$L$183-Input!$L$217)-SUM($L156:L156),(Input!$L$183-Input!$L$217)/A7taxstdlife))</f>
        <v>2.4143576383094745</v>
      </c>
      <c r="N156" s="73">
        <f>IF(A7taxstdlife="n/a","n/a",IF(N$3&gt;(A7taxstdlife+$E156),(Input!$L$183-Input!$L$217)-SUM($L156:M156),(Input!$L$183-Input!$L$217)/A7taxstdlife))</f>
        <v>0</v>
      </c>
      <c r="O156" s="73">
        <f>IF(A7taxstdlife="n/a","n/a",IF(O$3&gt;(A7taxstdlife+$E156),(Input!$L$183-Input!$L$217)-SUM($L156:N156),(Input!$L$183-Input!$L$217)/A7taxstdlife))</f>
        <v>0</v>
      </c>
      <c r="P156" s="73">
        <f>IF(A7taxstdlife="n/a","n/a",IF(P$3&gt;(A7taxstdlife+$E156),(Input!$L$183-Input!$L$217)-SUM($L156:O156),(Input!$L$183-Input!$L$217)/A7taxstdlife))</f>
        <v>0</v>
      </c>
      <c r="Q156" s="73">
        <f>IF(A7taxstdlife="n/a","n/a",IF(Q$3&gt;(A7taxstdlife+$E156),(Input!$L$183-Input!$L$217)-SUM($L156:P156),(Input!$L$183-Input!$L$217)/A7taxstdlife))</f>
        <v>0</v>
      </c>
      <c r="R156" s="73"/>
      <c r="S156" s="107"/>
      <c r="T156" s="107"/>
      <c r="U156" s="107"/>
      <c r="V156" s="107"/>
      <c r="W156" s="107"/>
      <c r="X156" s="107"/>
      <c r="Y156" s="107"/>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01"/>
      <c r="BJ156" s="201"/>
      <c r="BK156" s="201"/>
      <c r="BL156" s="201"/>
      <c r="BM156" s="201"/>
      <c r="BN156" s="201"/>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537"/>
      <c r="E157" s="91">
        <v>6</v>
      </c>
      <c r="F157" s="27"/>
      <c r="G157" s="27"/>
      <c r="H157" s="150"/>
      <c r="I157" s="152"/>
      <c r="J157" s="152"/>
      <c r="K157" s="152"/>
      <c r="L157" s="152"/>
      <c r="M157" s="151"/>
      <c r="N157" s="73">
        <f>IF(A7taxstdlife="n/a","n/a",IF(N$3&gt;(A7taxstdlife+$E157),(Input!$M$183-Input!$M$217)-SUM($M157:M157),(Input!$M$183-Input!$M$217)/A7taxstdlife))</f>
        <v>0</v>
      </c>
      <c r="O157" s="73">
        <f>IF(A7taxstdlife="n/a","n/a",IF(O$3&gt;(A7taxstdlife+$E157),(Input!$M$183-Input!$M$217)-SUM($M157:N157),(Input!$M$183-Input!$M$217)/A7taxstdlife))</f>
        <v>0</v>
      </c>
      <c r="P157" s="73">
        <f>IF(A7taxstdlife="n/a","n/a",IF(P$3&gt;(A7taxstdlife+$E157),(Input!$M$183-Input!$M$217)-SUM($M157:O157),(Input!$M$183-Input!$M$217)/A7taxstdlife))</f>
        <v>0</v>
      </c>
      <c r="Q157" s="73">
        <f>IF(A7taxstdlife="n/a","n/a",IF(Q$3&gt;(A7taxstdlife+$E157),(Input!$M$183-Input!$M$217)-SUM($M157:P157),(Input!$M$183-Input!$M$217)/A7taxstdlife))</f>
        <v>0</v>
      </c>
      <c r="R157" s="73"/>
      <c r="S157" s="107"/>
      <c r="T157" s="107"/>
      <c r="U157" s="107"/>
      <c r="V157" s="107"/>
      <c r="W157" s="107"/>
      <c r="X157" s="107"/>
      <c r="Y157" s="107"/>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01"/>
      <c r="BJ157" s="201"/>
      <c r="BK157" s="201"/>
      <c r="BL157" s="201"/>
      <c r="BM157" s="201"/>
      <c r="BN157" s="201"/>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537"/>
      <c r="E158" s="91">
        <v>7</v>
      </c>
      <c r="F158" s="27"/>
      <c r="G158" s="27"/>
      <c r="H158" s="150"/>
      <c r="I158" s="152"/>
      <c r="J158" s="152"/>
      <c r="K158" s="152"/>
      <c r="L158" s="152"/>
      <c r="M158" s="152"/>
      <c r="N158" s="151"/>
      <c r="O158" s="73">
        <f>IF(A7taxstdlife="n/a","n/a",IF(O$3&gt;(A7taxstdlife+$E158),(Input!$N$183-Input!$N$217)-SUM($N158:N158),(Input!$N$183-Input!$N$217)/A7taxstdlife))</f>
        <v>0</v>
      </c>
      <c r="P158" s="73">
        <f>IF(A7taxstdlife="n/a","n/a",IF(P$3&gt;(A7taxstdlife+$E158),(Input!$N$183-Input!$N$217)-SUM($N158:O158),(Input!$N$183-Input!$N$217)/A7taxstdlife))</f>
        <v>0</v>
      </c>
      <c r="Q158" s="73">
        <f>IF(A7taxstdlife="n/a","n/a",IF(Q$3&gt;(A7taxstdlife+$E158),(Input!$N$183-Input!$N$217)-SUM($N158:P158),(Input!$N$183-Input!$N$217)/A7taxstdlife))</f>
        <v>0</v>
      </c>
      <c r="R158" s="73"/>
      <c r="S158" s="107"/>
      <c r="T158" s="107"/>
      <c r="U158" s="107"/>
      <c r="V158" s="107"/>
      <c r="W158" s="107"/>
      <c r="X158" s="107"/>
      <c r="Y158" s="107"/>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01"/>
      <c r="BJ158" s="201"/>
      <c r="BK158" s="201"/>
      <c r="BL158" s="201"/>
      <c r="BM158" s="201"/>
      <c r="BN158" s="201"/>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537"/>
      <c r="E159" s="91">
        <v>8</v>
      </c>
      <c r="F159" s="27"/>
      <c r="G159" s="27"/>
      <c r="H159" s="150"/>
      <c r="I159" s="152"/>
      <c r="J159" s="152"/>
      <c r="K159" s="152"/>
      <c r="L159" s="152"/>
      <c r="M159" s="152"/>
      <c r="N159" s="152"/>
      <c r="O159" s="151"/>
      <c r="P159" s="73">
        <f>IF(A7taxstdlife="n/a","n/a",IF(P$3&gt;(A7taxstdlife+$E159),(Input!$O$183-Input!$O$217)-SUM($O159:O159),(Input!$O$183-Input!$O$217)/A7taxstdlife))</f>
        <v>0</v>
      </c>
      <c r="Q159" s="73">
        <f>IF(A7taxstdlife="n/a","n/a",IF(Q$3&gt;(A7taxstdlife+$E159),(Input!$O$183-Input!$O$217)-SUM($O159:P159),(Input!$O$183-Input!$O$217)/A7taxstdlife))</f>
        <v>0</v>
      </c>
      <c r="R159" s="73"/>
      <c r="S159" s="107"/>
      <c r="T159" s="107"/>
      <c r="U159" s="107"/>
      <c r="V159" s="107"/>
      <c r="W159" s="107"/>
      <c r="X159" s="107"/>
      <c r="Y159" s="107"/>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01"/>
      <c r="BJ159" s="201"/>
      <c r="BK159" s="201"/>
      <c r="BL159" s="201"/>
      <c r="BM159" s="201"/>
      <c r="BN159" s="201"/>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537"/>
      <c r="E160" s="91">
        <v>9</v>
      </c>
      <c r="F160" s="27"/>
      <c r="G160" s="27"/>
      <c r="H160" s="150"/>
      <c r="I160" s="152"/>
      <c r="J160" s="152"/>
      <c r="K160" s="152"/>
      <c r="L160" s="152"/>
      <c r="M160" s="152"/>
      <c r="N160" s="152"/>
      <c r="O160" s="152"/>
      <c r="P160" s="151"/>
      <c r="Q160" s="73">
        <f>IF(A7taxstdlife="n/a","n/a",IF(Q$3&gt;(A7taxstdlife+$E160),(Input!$P$183-Input!$P$217)-SUM($P160:P160),(Input!$P$183-Input!$P$217)/A7taxstdlife))</f>
        <v>0</v>
      </c>
      <c r="R160" s="73"/>
      <c r="S160" s="107"/>
      <c r="T160" s="107"/>
      <c r="U160" s="107"/>
      <c r="V160" s="107"/>
      <c r="W160" s="107"/>
      <c r="X160" s="107"/>
      <c r="Y160" s="107"/>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01"/>
      <c r="BJ160" s="201"/>
      <c r="BK160" s="201"/>
      <c r="BL160" s="201"/>
      <c r="BM160" s="201"/>
      <c r="BN160" s="201"/>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537"/>
      <c r="E161" s="92">
        <v>10</v>
      </c>
      <c r="F161" s="27"/>
      <c r="G161" s="27"/>
      <c r="H161" s="150"/>
      <c r="I161" s="152"/>
      <c r="J161" s="152"/>
      <c r="K161" s="152"/>
      <c r="L161" s="152"/>
      <c r="M161" s="152"/>
      <c r="N161" s="152"/>
      <c r="O161" s="152"/>
      <c r="P161" s="152"/>
      <c r="Q161" s="151"/>
      <c r="R161" s="73"/>
      <c r="S161" s="107"/>
      <c r="T161" s="107"/>
      <c r="U161" s="107"/>
      <c r="V161" s="107"/>
      <c r="W161" s="107"/>
      <c r="X161" s="107"/>
      <c r="Y161" s="107"/>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01"/>
      <c r="BJ161" s="201"/>
      <c r="BK161" s="201"/>
      <c r="BL161" s="201"/>
      <c r="BM161" s="201"/>
      <c r="BN161" s="20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2" t="str">
        <f>Asset7</f>
        <v>Non-network general assets - Other</v>
      </c>
      <c r="D162" s="9"/>
      <c r="E162" s="9"/>
      <c r="F162" s="23"/>
      <c r="G162" s="23"/>
      <c r="H162" s="298">
        <f>-SUM(H150:H161)</f>
        <v>0</v>
      </c>
      <c r="I162" s="165">
        <f>-SUM(I150:I161)</f>
        <v>-4.9138847449548289</v>
      </c>
      <c r="J162" s="165">
        <f>-SUM(J150:J161)</f>
        <v>-3.6929460596747674</v>
      </c>
      <c r="K162" s="165">
        <f>-SUM(K150:K161)</f>
        <v>-5.4919072869307586</v>
      </c>
      <c r="L162" s="165">
        <f>-SUM(L150:L161)</f>
        <v>-4.413131171231</v>
      </c>
      <c r="M162" s="165">
        <f>IF(COUNT($H162:L162)&gt;=Input!$Y$7,0, -SUM(M150:M161))</f>
        <v>0</v>
      </c>
      <c r="N162" s="165">
        <f>IF(COUNT($H162:M162)&gt;=Input!$Y$7,0, -SUM(N150:N161))</f>
        <v>0</v>
      </c>
      <c r="O162" s="165">
        <f>IF(COUNT($H162:N162)&gt;=Input!$Y$7,0, -SUM(O150:O161))</f>
        <v>0</v>
      </c>
      <c r="P162" s="165">
        <f>IF(COUNT($H162:O162)&gt;=Input!$Y$7,0, -SUM(P150:P161))</f>
        <v>0</v>
      </c>
      <c r="Q162" s="165">
        <f>IF(COUNT($H162:P162)&gt;=Input!$Y$7,0, -SUM(Q150:Q161))</f>
        <v>0</v>
      </c>
      <c r="R162" s="165"/>
      <c r="S162" s="106"/>
      <c r="T162" s="106"/>
      <c r="U162" s="106"/>
      <c r="V162" s="106"/>
      <c r="W162" s="106"/>
      <c r="X162" s="106"/>
      <c r="Y162" s="106"/>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01"/>
      <c r="BJ162" s="201"/>
      <c r="BK162" s="201"/>
      <c r="BL162" s="201"/>
      <c r="BM162" s="201"/>
      <c r="BN162" s="201"/>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73" t="str">
        <f>Asset8</f>
        <v>Equity Raising Costs</v>
      </c>
      <c r="C163" s="31"/>
      <c r="D163" s="32" t="s">
        <v>43</v>
      </c>
      <c r="E163" s="31"/>
      <c r="F163" s="301"/>
      <c r="G163" s="301"/>
      <c r="H163" s="72">
        <f>IF(H$3&gt;A8taxremlife,A8taxvalue-SUM($F163:F163),IF(A8taxremlife="N/A","n/a",A8taxvalue/A8taxremlife))</f>
        <v>0</v>
      </c>
      <c r="I163" s="72">
        <f>IF(I$3&gt;A8taxremlife,A8taxvalue-SUM($F163:H163),IF(A8taxremlife="N/A","n/a",A8taxvalue/A8taxremlife))</f>
        <v>0</v>
      </c>
      <c r="J163" s="72">
        <f>IF(J$3&gt;A8taxremlife,A8taxvalue-SUM($F163:I163),IF(A8taxremlife="N/A","n/a",A8taxvalue/A8taxremlife))</f>
        <v>0</v>
      </c>
      <c r="K163" s="72">
        <f>IF(K$3&gt;A8taxremlife,A8taxvalue-SUM($F163:J163),IF(A8taxremlife="N/A","n/a",A8taxvalue/A8taxremlife))</f>
        <v>0</v>
      </c>
      <c r="L163" s="72">
        <f>IF(L$3&gt;A8taxremlife,A8taxvalue-SUM($F163:K163),IF(A8taxremlife="N/A","n/a",A8taxvalue/A8taxremlife))</f>
        <v>0</v>
      </c>
      <c r="M163" s="72">
        <f>IF(M$3&gt;A8taxremlife,A8taxvalue-SUM($F163:L163),IF(A8taxremlife="N/A","n/a",A8taxvalue/A8taxremlife))</f>
        <v>0</v>
      </c>
      <c r="N163" s="72">
        <f>IF(N$3&gt;A8taxremlife,A8taxvalue-SUM($F163:M163),IF(A8taxremlife="N/A","n/a",A8taxvalue/A8taxremlife))</f>
        <v>0</v>
      </c>
      <c r="O163" s="72">
        <f>IF(O$3&gt;A8taxremlife,A8taxvalue-SUM($F163:N163),IF(A8taxremlife="N/A","n/a",A8taxvalue/A8taxremlife))</f>
        <v>0</v>
      </c>
      <c r="P163" s="72">
        <f>IF(P$3&gt;A8taxremlife,A8taxvalue-SUM($F163:O163),IF(A8taxremlife="N/A","n/a",A8taxvalue/A8taxremlife))</f>
        <v>0</v>
      </c>
      <c r="Q163" s="72">
        <f>IF(Q$3&gt;A8taxremlife,A8taxvalue-SUM($F163:P163),IF(A8taxremlife="N/A","n/a",A8taxvalue/A8taxremlife))</f>
        <v>0</v>
      </c>
      <c r="R163" s="72"/>
      <c r="S163" s="107"/>
      <c r="T163" s="107"/>
      <c r="U163" s="107"/>
      <c r="V163" s="107"/>
      <c r="W163" s="107"/>
      <c r="X163" s="107"/>
      <c r="Y163" s="107"/>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01"/>
      <c r="BJ163" s="201"/>
      <c r="BK163" s="201"/>
      <c r="BL163" s="201"/>
      <c r="BM163" s="201"/>
      <c r="BN163" s="201"/>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536" t="s">
        <v>59</v>
      </c>
      <c r="E164" s="91"/>
      <c r="F164" s="27"/>
      <c r="G164" s="27"/>
      <c r="H164" s="107"/>
      <c r="I164" s="73"/>
      <c r="J164" s="73"/>
      <c r="K164" s="73"/>
      <c r="L164" s="73"/>
      <c r="M164" s="73"/>
      <c r="N164" s="73"/>
      <c r="O164" s="73"/>
      <c r="P164" s="73"/>
      <c r="Q164" s="73"/>
      <c r="R164" s="73"/>
      <c r="S164" s="107"/>
      <c r="T164" s="107"/>
      <c r="U164" s="107"/>
      <c r="V164" s="107"/>
      <c r="W164" s="107"/>
      <c r="X164" s="107"/>
      <c r="Y164" s="107"/>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01"/>
      <c r="BJ164" s="201"/>
      <c r="BK164" s="201"/>
      <c r="BL164" s="201"/>
      <c r="BM164" s="201"/>
      <c r="BN164" s="201"/>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537"/>
      <c r="E165" s="91">
        <v>1</v>
      </c>
      <c r="F165" s="27"/>
      <c r="G165" s="27"/>
      <c r="H165" s="149"/>
      <c r="I165" s="73">
        <f>IF(A8taxstdlife="n/a","n/a",IF(I$3&gt;(A8taxstdlife+$E165),(Input!$H$184-Input!$H$218)-SUM($H165:H165),(Input!$H$184-Input!$H$218)/A8taxstdlife))</f>
        <v>1.4831149183194219</v>
      </c>
      <c r="J165" s="73">
        <f>IF(A8taxstdlife="n/a","n/a",IF(J$3&gt;(A8taxstdlife+$E165),(Input!$H$184-Input!$H$218)-SUM($H165:I165),(Input!$H$184-Input!$H$218)/A8taxstdlife))</f>
        <v>0</v>
      </c>
      <c r="K165" s="73">
        <f>IF(A8taxstdlife="n/a","n/a",IF(K$3&gt;(A8taxstdlife+$E165),(Input!$H$184-Input!$H$218)-SUM($H165:J165),(Input!$H$184-Input!$H$218)/A8taxstdlife))</f>
        <v>0</v>
      </c>
      <c r="L165" s="73">
        <f>IF(A8taxstdlife="n/a","n/a",IF(L$3&gt;(A8taxstdlife+$E165),(Input!$H$184-Input!$H$218)-SUM($H165:K165),(Input!$H$184-Input!$H$218)/A8taxstdlife))</f>
        <v>0</v>
      </c>
      <c r="M165" s="73">
        <f>IF(A8taxstdlife="n/a","n/a",IF(M$3&gt;(A8taxstdlife+$E165),(Input!$H$184-Input!$H$218)-SUM($H165:L165),(Input!$H$184-Input!$H$218)/A8taxstdlife))</f>
        <v>0</v>
      </c>
      <c r="N165" s="73">
        <f>IF(A8taxstdlife="n/a","n/a",IF(N$3&gt;(A8taxstdlife+$E165),(Input!$H$184-Input!$H$218)-SUM($H165:M165),(Input!$H$184-Input!$H$218)/A8taxstdlife))</f>
        <v>0</v>
      </c>
      <c r="O165" s="73">
        <f>IF(A8taxstdlife="n/a","n/a",IF(O$3&gt;(A8taxstdlife+$E165),(Input!$H$184-Input!$H$218)-SUM($H165:N165),(Input!$H$184-Input!$H$218)/A8taxstdlife))</f>
        <v>0</v>
      </c>
      <c r="P165" s="73">
        <f>IF(A8taxstdlife="n/a","n/a",IF(P$3&gt;(A8taxstdlife+$E165),(Input!$H$184-Input!$H$218)-SUM($H165:O165),(Input!$H$184-Input!$H$218)/A8taxstdlife))</f>
        <v>0</v>
      </c>
      <c r="Q165" s="73">
        <f>IF(A8taxstdlife="n/a","n/a",IF(Q$3&gt;(A8taxstdlife+$E165),(Input!$H$184-Input!$H$218)-SUM($H165:P165),(Input!$H$184-Input!$H$218)/A8taxstdlife))</f>
        <v>0</v>
      </c>
      <c r="R165" s="73"/>
      <c r="S165" s="107"/>
      <c r="T165" s="107"/>
      <c r="U165" s="107"/>
      <c r="V165" s="107"/>
      <c r="W165" s="107"/>
      <c r="X165" s="107"/>
      <c r="Y165" s="107"/>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01"/>
      <c r="BJ165" s="201"/>
      <c r="BK165" s="201"/>
      <c r="BL165" s="201"/>
      <c r="BM165" s="201"/>
      <c r="BN165" s="201"/>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537"/>
      <c r="E166" s="91">
        <v>2</v>
      </c>
      <c r="F166" s="27"/>
      <c r="G166" s="27"/>
      <c r="H166" s="150"/>
      <c r="I166" s="151"/>
      <c r="J166" s="73">
        <f>IF(A8taxstdlife="n/a","n/a",IF(J$3&gt;(A8taxstdlife+$E166),(Input!$I$184-Input!$I$218)-SUM($I166:I166),(Input!$I$184-Input!$I$218)/A8taxstdlife))</f>
        <v>0</v>
      </c>
      <c r="K166" s="73">
        <f>IF(A8taxstdlife="n/a","n/a",IF(K$3&gt;(A8taxstdlife+$E166),(Input!$I$184-Input!$I$218)-SUM($I166:J166),(Input!$I$184-Input!$I$218)/A8taxstdlife))</f>
        <v>0</v>
      </c>
      <c r="L166" s="73">
        <f>IF(A8taxstdlife="n/a","n/a",IF(L$3&gt;(A8taxstdlife+$E166),(Input!$I$184-Input!$I$218)-SUM($I166:K166),(Input!$I$184-Input!$I$218)/A8taxstdlife))</f>
        <v>0</v>
      </c>
      <c r="M166" s="73">
        <f>IF(A8taxstdlife="n/a","n/a",IF(M$3&gt;(A8taxstdlife+$E166),(Input!$I$184-Input!$I$218)-SUM($I166:L166),(Input!$I$184-Input!$I$218)/A8taxstdlife))</f>
        <v>0</v>
      </c>
      <c r="N166" s="73">
        <f>IF(A8taxstdlife="n/a","n/a",IF(N$3&gt;(A8taxstdlife+$E166),(Input!$I$184-Input!$I$218)-SUM($I166:M166),(Input!$I$184-Input!$I$218)/A8taxstdlife))</f>
        <v>0</v>
      </c>
      <c r="O166" s="73">
        <f>IF(A8taxstdlife="n/a","n/a",IF(O$3&gt;(A8taxstdlife+$E166),(Input!$I$184-Input!$I$218)-SUM($I166:N166),(Input!$I$184-Input!$I$218)/A8taxstdlife))</f>
        <v>0</v>
      </c>
      <c r="P166" s="73">
        <f>IF(A8taxstdlife="n/a","n/a",IF(P$3&gt;(A8taxstdlife+$E166),(Input!$I$184-Input!$I$218)-SUM($I166:O166),(Input!$I$184-Input!$I$218)/A8taxstdlife))</f>
        <v>0</v>
      </c>
      <c r="Q166" s="73">
        <f>IF(A8taxstdlife="n/a","n/a",IF(Q$3&gt;(A8taxstdlife+$E166),(Input!$I$184-Input!$I$218)-SUM($I166:P166),(Input!$I$184-Input!$I$218)/A8taxstdlife))</f>
        <v>0</v>
      </c>
      <c r="R166" s="73"/>
      <c r="S166" s="107"/>
      <c r="T166" s="107"/>
      <c r="U166" s="107"/>
      <c r="V166" s="107"/>
      <c r="W166" s="107"/>
      <c r="X166" s="107"/>
      <c r="Y166" s="107"/>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01"/>
      <c r="BJ166" s="201"/>
      <c r="BK166" s="201"/>
      <c r="BL166" s="201"/>
      <c r="BM166" s="201"/>
      <c r="BN166" s="201"/>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537"/>
      <c r="E167" s="91">
        <v>3</v>
      </c>
      <c r="F167" s="27"/>
      <c r="G167" s="27"/>
      <c r="H167" s="150"/>
      <c r="I167" s="152"/>
      <c r="J167" s="151"/>
      <c r="K167" s="73">
        <f>IF(A8taxstdlife="n/a","n/a",IF(K$3&gt;(A8taxstdlife+$E167),(Input!$J$184-Input!$J$218)-SUM($J167:J167),(Input!$J$184-Input!$J$218)/A8taxstdlife))</f>
        <v>0</v>
      </c>
      <c r="L167" s="73">
        <f>IF(A8taxstdlife="n/a","n/a",IF(L$3&gt;(A8taxstdlife+$E167),(Input!$J$184-Input!$J$218)-SUM($J167:K167),(Input!$J$184-Input!$J$218)/A8taxstdlife))</f>
        <v>0</v>
      </c>
      <c r="M167" s="73">
        <f>IF(A8taxstdlife="n/a","n/a",IF(M$3&gt;(A8taxstdlife+$E167),(Input!$J$184-Input!$J$218)-SUM($J167:L167),(Input!$J$184-Input!$J$218)/A8taxstdlife))</f>
        <v>0</v>
      </c>
      <c r="N167" s="73">
        <f>IF(A8taxstdlife="n/a","n/a",IF(N$3&gt;(A8taxstdlife+$E167),(Input!$J$184-Input!$J$218)-SUM($J167:M167),(Input!$J$184-Input!$J$218)/A8taxstdlife))</f>
        <v>0</v>
      </c>
      <c r="O167" s="73">
        <f>IF(A8taxstdlife="n/a","n/a",IF(O$3&gt;(A8taxstdlife+$E167),(Input!$J$184-Input!$J$218)-SUM($J167:N167),(Input!$J$184-Input!$J$218)/A8taxstdlife))</f>
        <v>0</v>
      </c>
      <c r="P167" s="73">
        <f>IF(A8taxstdlife="n/a","n/a",IF(P$3&gt;(A8taxstdlife+$E167),(Input!$J$184-Input!$J$218)-SUM($J167:O167),(Input!$J$184-Input!$J$218)/A8taxstdlife))</f>
        <v>0</v>
      </c>
      <c r="Q167" s="73">
        <f>IF(A8taxstdlife="n/a","n/a",IF(Q$3&gt;(A8taxstdlife+$E167),(Input!$J$184-Input!$J$218)-SUM($J167:P167),(Input!$J$184-Input!$J$218)/A8taxstdlife))</f>
        <v>0</v>
      </c>
      <c r="R167" s="73"/>
      <c r="S167" s="107"/>
      <c r="T167" s="107"/>
      <c r="U167" s="107"/>
      <c r="V167" s="107"/>
      <c r="W167" s="107"/>
      <c r="X167" s="107"/>
      <c r="Y167" s="107"/>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01"/>
      <c r="BJ167" s="201"/>
      <c r="BK167" s="201"/>
      <c r="BL167" s="201"/>
      <c r="BM167" s="201"/>
      <c r="BN167" s="201"/>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537"/>
      <c r="E168" s="91">
        <v>4</v>
      </c>
      <c r="F168" s="27"/>
      <c r="G168" s="27"/>
      <c r="H168" s="150"/>
      <c r="I168" s="152"/>
      <c r="J168" s="152"/>
      <c r="K168" s="151"/>
      <c r="L168" s="73">
        <f>IF(A8taxstdlife="n/a","n/a",IF(L$3&gt;(A8taxstdlife+$E168),(Input!$K$184-Input!$K$218)-SUM($K168:K168),(Input!$K$184-Input!$K$218)/A8taxstdlife))</f>
        <v>0</v>
      </c>
      <c r="M168" s="73">
        <f>IF(A8taxstdlife="n/a","n/a",IF(M$3&gt;(A8taxstdlife+$E168),(Input!$K$184-Input!$K$218)-SUM($K168:L168),(Input!$K$184-Input!$K$218)/A8taxstdlife))</f>
        <v>0</v>
      </c>
      <c r="N168" s="73">
        <f>IF(A8taxstdlife="n/a","n/a",IF(N$3&gt;(A8taxstdlife+$E168),(Input!$K$184-Input!$K$218)-SUM($K168:M168),(Input!$K$184-Input!$K$218)/A8taxstdlife))</f>
        <v>0</v>
      </c>
      <c r="O168" s="73">
        <f>IF(A8taxstdlife="n/a","n/a",IF(O$3&gt;(A8taxstdlife+$E168),(Input!$K$184-Input!$K$218)-SUM($K168:N168),(Input!$K$184-Input!$K$218)/A8taxstdlife))</f>
        <v>0</v>
      </c>
      <c r="P168" s="73">
        <f>IF(A8taxstdlife="n/a","n/a",IF(P$3&gt;(A8taxstdlife+$E168),(Input!$K$184-Input!$K$218)-SUM($K168:O168),(Input!$K$184-Input!$K$218)/A8taxstdlife))</f>
        <v>0</v>
      </c>
      <c r="Q168" s="73">
        <f>IF(A8taxstdlife="n/a","n/a",IF(Q$3&gt;(A8taxstdlife+$E168),(Input!$K$184-Input!$K$218)-SUM($K168:P168),(Input!$K$184-Input!$K$218)/A8taxstdlife))</f>
        <v>0</v>
      </c>
      <c r="R168" s="73"/>
      <c r="S168" s="107"/>
      <c r="T168" s="107"/>
      <c r="U168" s="107"/>
      <c r="V168" s="107"/>
      <c r="W168" s="107"/>
      <c r="X168" s="107"/>
      <c r="Y168" s="107"/>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01"/>
      <c r="BJ168" s="201"/>
      <c r="BK168" s="201"/>
      <c r="BL168" s="201"/>
      <c r="BM168" s="201"/>
      <c r="BN168" s="201"/>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537"/>
      <c r="E169" s="91">
        <v>5</v>
      </c>
      <c r="F169" s="27"/>
      <c r="G169" s="27"/>
      <c r="H169" s="150"/>
      <c r="I169" s="152"/>
      <c r="J169" s="152"/>
      <c r="K169" s="152"/>
      <c r="L169" s="151"/>
      <c r="M169" s="73">
        <f>IF(A8taxstdlife="n/a","n/a",IF(M$3&gt;(A8taxstdlife+$E169),(Input!$L$184-Input!$L$218)-SUM($L169:L169),(Input!$L$184-Input!$L$218)/A8taxstdlife))</f>
        <v>0</v>
      </c>
      <c r="N169" s="73">
        <f>IF(A8taxstdlife="n/a","n/a",IF(N$3&gt;(A8taxstdlife+$E169),(Input!$L$184-Input!$L$218)-SUM($L169:M169),(Input!$L$184-Input!$L$218)/A8taxstdlife))</f>
        <v>0</v>
      </c>
      <c r="O169" s="73">
        <f>IF(A8taxstdlife="n/a","n/a",IF(O$3&gt;(A8taxstdlife+$E169),(Input!$L$184-Input!$L$218)-SUM($L169:N169),(Input!$L$184-Input!$L$218)/A8taxstdlife))</f>
        <v>0</v>
      </c>
      <c r="P169" s="73">
        <f>IF(A8taxstdlife="n/a","n/a",IF(P$3&gt;(A8taxstdlife+$E169),(Input!$L$184-Input!$L$218)-SUM($L169:O169),(Input!$L$184-Input!$L$218)/A8taxstdlife))</f>
        <v>0</v>
      </c>
      <c r="Q169" s="73">
        <f>IF(A8taxstdlife="n/a","n/a",IF(Q$3&gt;(A8taxstdlife+$E169),(Input!$L$184-Input!$L$218)-SUM($L169:P169),(Input!$L$184-Input!$L$218)/A8taxstdlife))</f>
        <v>0</v>
      </c>
      <c r="R169" s="73"/>
      <c r="S169" s="107"/>
      <c r="T169" s="107"/>
      <c r="U169" s="107"/>
      <c r="V169" s="107"/>
      <c r="W169" s="107"/>
      <c r="X169" s="107"/>
      <c r="Y169" s="107"/>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01"/>
      <c r="BJ169" s="201"/>
      <c r="BK169" s="201"/>
      <c r="BL169" s="201"/>
      <c r="BM169" s="201"/>
      <c r="BN169" s="201"/>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537"/>
      <c r="E170" s="91">
        <v>6</v>
      </c>
      <c r="F170" s="27"/>
      <c r="G170" s="27"/>
      <c r="H170" s="150"/>
      <c r="I170" s="152"/>
      <c r="J170" s="152"/>
      <c r="K170" s="152"/>
      <c r="L170" s="152"/>
      <c r="M170" s="151"/>
      <c r="N170" s="73">
        <f>IF(A8taxstdlife="n/a","n/a",IF(N$3&gt;(A8taxstdlife+$E170),(Input!$M$184-Input!$M$218)-SUM($M170:M170),(Input!$M$184-Input!$M$218)/A8taxstdlife))</f>
        <v>0</v>
      </c>
      <c r="O170" s="73">
        <f>IF(A8taxstdlife="n/a","n/a",IF(O$3&gt;(A8taxstdlife+$E170),(Input!$M$184-Input!$M$218)-SUM($M170:N170),(Input!$M$184-Input!$M$218)/A8taxstdlife))</f>
        <v>0</v>
      </c>
      <c r="P170" s="73">
        <f>IF(A8taxstdlife="n/a","n/a",IF(P$3&gt;(A8taxstdlife+$E170),(Input!$M$184-Input!$M$218)-SUM($M170:O170),(Input!$M$184-Input!$M$218)/A8taxstdlife))</f>
        <v>0</v>
      </c>
      <c r="Q170" s="73">
        <f>IF(A8taxstdlife="n/a","n/a",IF(Q$3&gt;(A8taxstdlife+$E170),(Input!$M$184-Input!$M$218)-SUM($M170:P170),(Input!$M$184-Input!$M$218)/A8taxstdlife))</f>
        <v>0</v>
      </c>
      <c r="R170" s="73"/>
      <c r="S170" s="107"/>
      <c r="T170" s="107"/>
      <c r="U170" s="107"/>
      <c r="V170" s="107"/>
      <c r="W170" s="107"/>
      <c r="X170" s="107"/>
      <c r="Y170" s="107"/>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01"/>
      <c r="BJ170" s="201"/>
      <c r="BK170" s="201"/>
      <c r="BL170" s="201"/>
      <c r="BM170" s="201"/>
      <c r="BN170" s="201"/>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537"/>
      <c r="E171" s="91">
        <v>7</v>
      </c>
      <c r="F171" s="27"/>
      <c r="G171" s="27"/>
      <c r="H171" s="150"/>
      <c r="I171" s="152"/>
      <c r="J171" s="152"/>
      <c r="K171" s="152"/>
      <c r="L171" s="152"/>
      <c r="M171" s="152"/>
      <c r="N171" s="151"/>
      <c r="O171" s="73">
        <f>IF(A8taxstdlife="n/a","n/a",IF(O$3&gt;(A8taxstdlife+$E171),(Input!$N$184-Input!$N$218)-SUM($N171:N171),(Input!$N$184-Input!$N$218)/A8taxstdlife))</f>
        <v>0</v>
      </c>
      <c r="P171" s="73">
        <f>IF(A8taxstdlife="n/a","n/a",IF(P$3&gt;(A8taxstdlife+$E171),(Input!$N$184-Input!$N$218)-SUM($N171:O171),(Input!$N$184-Input!$N$218)/A8taxstdlife))</f>
        <v>0</v>
      </c>
      <c r="Q171" s="73">
        <f>IF(A8taxstdlife="n/a","n/a",IF(Q$3&gt;(A8taxstdlife+$E171),(Input!$N$184-Input!$N$218)-SUM($N171:P171),(Input!$N$184-Input!$N$218)/A8taxstdlife))</f>
        <v>0</v>
      </c>
      <c r="R171" s="73"/>
      <c r="S171" s="107"/>
      <c r="T171" s="107"/>
      <c r="U171" s="107"/>
      <c r="V171" s="107"/>
      <c r="W171" s="107"/>
      <c r="X171" s="107"/>
      <c r="Y171" s="107"/>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01"/>
      <c r="BJ171" s="201"/>
      <c r="BK171" s="201"/>
      <c r="BL171" s="201"/>
      <c r="BM171" s="201"/>
      <c r="BN171" s="20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537"/>
      <c r="E172" s="91">
        <v>8</v>
      </c>
      <c r="F172" s="27"/>
      <c r="G172" s="27"/>
      <c r="H172" s="150"/>
      <c r="I172" s="152"/>
      <c r="J172" s="152"/>
      <c r="K172" s="152"/>
      <c r="L172" s="152"/>
      <c r="M172" s="152"/>
      <c r="N172" s="152"/>
      <c r="O172" s="151"/>
      <c r="P172" s="73">
        <f>IF(A8taxstdlife="n/a","n/a",IF(P$3&gt;(A8taxstdlife+$E172),(Input!$O$184-Input!$O$218)-SUM($O172:O172),(Input!$O$184-Input!$O$218)/A8taxstdlife))</f>
        <v>0</v>
      </c>
      <c r="Q172" s="73">
        <f>IF(A8taxstdlife="n/a","n/a",IF(Q$3&gt;(A8taxstdlife+$E172),(Input!$O$184-Input!$O$218)-SUM($O172:P172),(Input!$O$184-Input!$O$218)/A8taxstdlife))</f>
        <v>0</v>
      </c>
      <c r="R172" s="73"/>
      <c r="S172" s="107"/>
      <c r="T172" s="107"/>
      <c r="U172" s="107"/>
      <c r="V172" s="107"/>
      <c r="W172" s="107"/>
      <c r="X172" s="107"/>
      <c r="Y172" s="107"/>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01"/>
      <c r="BJ172" s="201"/>
      <c r="BK172" s="201"/>
      <c r="BL172" s="201"/>
      <c r="BM172" s="201"/>
      <c r="BN172" s="201"/>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537"/>
      <c r="E173" s="91">
        <v>9</v>
      </c>
      <c r="F173" s="27"/>
      <c r="G173" s="27"/>
      <c r="H173" s="150"/>
      <c r="I173" s="152"/>
      <c r="J173" s="152"/>
      <c r="K173" s="152"/>
      <c r="L173" s="152"/>
      <c r="M173" s="152"/>
      <c r="N173" s="152"/>
      <c r="O173" s="152"/>
      <c r="P173" s="151"/>
      <c r="Q173" s="73">
        <f>IF(A8taxstdlife="n/a","n/a",IF(Q$3&gt;(A8taxstdlife+$E173),(Input!$P$184-Input!$P$218)-SUM($P173:P173),(Input!$P$184-Input!$P$218)/A8taxstdlife))</f>
        <v>0</v>
      </c>
      <c r="R173" s="73"/>
      <c r="S173" s="107"/>
      <c r="T173" s="107"/>
      <c r="U173" s="107"/>
      <c r="V173" s="107"/>
      <c r="W173" s="107"/>
      <c r="X173" s="107"/>
      <c r="Y173" s="107"/>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01"/>
      <c r="BJ173" s="201"/>
      <c r="BK173" s="201"/>
      <c r="BL173" s="201"/>
      <c r="BM173" s="201"/>
      <c r="BN173" s="201"/>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537"/>
      <c r="E174" s="92">
        <v>10</v>
      </c>
      <c r="F174" s="27"/>
      <c r="G174" s="27"/>
      <c r="H174" s="150"/>
      <c r="I174" s="152"/>
      <c r="J174" s="152"/>
      <c r="K174" s="152"/>
      <c r="L174" s="152"/>
      <c r="M174" s="152"/>
      <c r="N174" s="152"/>
      <c r="O174" s="152"/>
      <c r="P174" s="152"/>
      <c r="Q174" s="151"/>
      <c r="R174" s="73"/>
      <c r="S174" s="107"/>
      <c r="T174" s="107"/>
      <c r="U174" s="107"/>
      <c r="V174" s="107"/>
      <c r="W174" s="107"/>
      <c r="X174" s="107"/>
      <c r="Y174" s="107"/>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01"/>
      <c r="BJ174" s="201"/>
      <c r="BK174" s="201"/>
      <c r="BL174" s="201"/>
      <c r="BM174" s="201"/>
      <c r="BN174" s="201"/>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2" t="str">
        <f>Asset8</f>
        <v>Equity Raising Costs</v>
      </c>
      <c r="D175" s="9"/>
      <c r="E175" s="9"/>
      <c r="F175" s="23"/>
      <c r="G175" s="23"/>
      <c r="H175" s="298">
        <f>-SUM(H163:H174)</f>
        <v>0</v>
      </c>
      <c r="I175" s="165">
        <f>-SUM(I163:I174)</f>
        <v>-1.4831149183194219</v>
      </c>
      <c r="J175" s="165">
        <f>-SUM(J163:J174)</f>
        <v>0</v>
      </c>
      <c r="K175" s="165">
        <f>-SUM(K163:K174)</f>
        <v>0</v>
      </c>
      <c r="L175" s="165">
        <f>-SUM(L163:L174)</f>
        <v>0</v>
      </c>
      <c r="M175" s="165">
        <f>IF(COUNT($H175:L175)&gt;=Input!$Y$7,0, -SUM(M163:M174))</f>
        <v>0</v>
      </c>
      <c r="N175" s="165">
        <f>IF(COUNT($H175:M175)&gt;=Input!$Y$7,0, -SUM(N163:N174))</f>
        <v>0</v>
      </c>
      <c r="O175" s="165">
        <f>IF(COUNT($H175:N175)&gt;=Input!$Y$7,0, -SUM(O163:O174))</f>
        <v>0</v>
      </c>
      <c r="P175" s="165">
        <f>IF(COUNT($H175:O175)&gt;=Input!$Y$7,0, -SUM(P163:P174))</f>
        <v>0</v>
      </c>
      <c r="Q175" s="165">
        <f>IF(COUNT($H175:P175)&gt;=Input!$Y$7,0, -SUM(Q163:Q174))</f>
        <v>0</v>
      </c>
      <c r="R175" s="165"/>
      <c r="S175" s="106"/>
      <c r="T175" s="106"/>
      <c r="U175" s="106"/>
      <c r="V175" s="106"/>
      <c r="W175" s="106"/>
      <c r="X175" s="106"/>
      <c r="Y175" s="106"/>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01"/>
      <c r="BJ175" s="201"/>
      <c r="BK175" s="201"/>
      <c r="BL175" s="201"/>
      <c r="BM175" s="201"/>
      <c r="BN175" s="201"/>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73">
        <f>Asset9</f>
        <v>0</v>
      </c>
      <c r="C176" s="31"/>
      <c r="D176" s="32" t="s">
        <v>43</v>
      </c>
      <c r="E176" s="31"/>
      <c r="F176" s="301"/>
      <c r="G176" s="301"/>
      <c r="H176" s="72">
        <f>IF(H$3&gt;A9taxremlife,A9taxvalue-SUM($F176:F176),IF(A9taxremlife="N/A","n/a",A9taxvalue/A9taxremlife))</f>
        <v>0</v>
      </c>
      <c r="I176" s="72">
        <f>IF(I$3&gt;A9taxremlife,A9taxvalue-SUM($F176:H176),IF(A9taxremlife="N/A","n/a",A9taxvalue/A9taxremlife))</f>
        <v>0</v>
      </c>
      <c r="J176" s="72">
        <f>IF(J$3&gt;A9taxremlife,A9taxvalue-SUM($F176:I176),IF(A9taxremlife="N/A","n/a",A9taxvalue/A9taxremlife))</f>
        <v>0</v>
      </c>
      <c r="K176" s="72">
        <f>IF(K$3&gt;A9taxremlife,A9taxvalue-SUM($F176:J176),IF(A9taxremlife="N/A","n/a",A9taxvalue/A9taxremlife))</f>
        <v>0</v>
      </c>
      <c r="L176" s="72">
        <f>IF(L$3&gt;A9taxremlife,A9taxvalue-SUM($F176:K176),IF(A9taxremlife="N/A","n/a",A9taxvalue/A9taxremlife))</f>
        <v>0</v>
      </c>
      <c r="M176" s="72">
        <f>IF(M$3&gt;A9taxremlife,A9taxvalue-SUM($F176:L176),IF(A9taxremlife="N/A","n/a",A9taxvalue/A9taxremlife))</f>
        <v>0</v>
      </c>
      <c r="N176" s="72">
        <f>IF(N$3&gt;A9taxremlife,A9taxvalue-SUM($F176:M176),IF(A9taxremlife="N/A","n/a",A9taxvalue/A9taxremlife))</f>
        <v>0</v>
      </c>
      <c r="O176" s="72">
        <f>IF(O$3&gt;A9taxremlife,A9taxvalue-SUM($F176:N176),IF(A9taxremlife="N/A","n/a",A9taxvalue/A9taxremlife))</f>
        <v>0</v>
      </c>
      <c r="P176" s="72">
        <f>IF(P$3&gt;A9taxremlife,A9taxvalue-SUM($F176:O176),IF(A9taxremlife="N/A","n/a",A9taxvalue/A9taxremlife))</f>
        <v>0</v>
      </c>
      <c r="Q176" s="72">
        <f>IF(Q$3&gt;A9taxremlife,A9taxvalue-SUM($F176:P176),IF(A9taxremlife="N/A","n/a",A9taxvalue/A9taxremlife))</f>
        <v>0</v>
      </c>
      <c r="R176" s="72"/>
      <c r="S176" s="107"/>
      <c r="T176" s="107"/>
      <c r="U176" s="107"/>
      <c r="V176" s="107"/>
      <c r="W176" s="107"/>
      <c r="X176" s="107"/>
      <c r="Y176" s="107"/>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01"/>
      <c r="BJ176" s="201"/>
      <c r="BK176" s="201"/>
      <c r="BL176" s="201"/>
      <c r="BM176" s="201"/>
      <c r="BN176" s="201"/>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536" t="s">
        <v>59</v>
      </c>
      <c r="E177" s="91"/>
      <c r="F177" s="27"/>
      <c r="G177" s="27"/>
      <c r="H177" s="107"/>
      <c r="I177" s="73"/>
      <c r="J177" s="73"/>
      <c r="K177" s="73"/>
      <c r="L177" s="73"/>
      <c r="M177" s="73"/>
      <c r="N177" s="73"/>
      <c r="O177" s="73"/>
      <c r="P177" s="73"/>
      <c r="Q177" s="73"/>
      <c r="R177" s="73"/>
      <c r="S177" s="107"/>
      <c r="T177" s="107"/>
      <c r="U177" s="107"/>
      <c r="V177" s="107"/>
      <c r="W177" s="107"/>
      <c r="X177" s="107"/>
      <c r="Y177" s="107"/>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01"/>
      <c r="BJ177" s="201"/>
      <c r="BK177" s="201"/>
      <c r="BL177" s="201"/>
      <c r="BM177" s="201"/>
      <c r="BN177" s="201"/>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537"/>
      <c r="E178" s="91">
        <v>1</v>
      </c>
      <c r="F178" s="27"/>
      <c r="G178" s="27"/>
      <c r="H178" s="149"/>
      <c r="I178" s="73">
        <f>IF(A9taxstdlife="n/a","n/a",IF(I$3&gt;(A9taxstdlife+$E178),(Input!$H$185-Input!$H$219)-SUM($H178:H178),(Input!$H$185-Input!$H$219)/A9taxstdlife))</f>
        <v>0</v>
      </c>
      <c r="J178" s="73">
        <f>IF(A9taxstdlife="n/a","n/a",IF(J$3&gt;(A9taxstdlife+$E178),(Input!$H$185-Input!$H$219)-SUM($H178:I178),(Input!$H$185-Input!$H$219)/A9taxstdlife))</f>
        <v>0</v>
      </c>
      <c r="K178" s="73">
        <f>IF(A9taxstdlife="n/a","n/a",IF(K$3&gt;(A9taxstdlife+$E178),(Input!$H$185-Input!$H$219)-SUM($H178:J178),(Input!$H$185-Input!$H$219)/A9taxstdlife))</f>
        <v>0</v>
      </c>
      <c r="L178" s="73">
        <f>IF(A9taxstdlife="n/a","n/a",IF(L$3&gt;(A9taxstdlife+$E178),(Input!$H$185-Input!$H$219)-SUM($H178:K178),(Input!$H$185-Input!$H$219)/A9taxstdlife))</f>
        <v>0</v>
      </c>
      <c r="M178" s="73">
        <f>IF(A9taxstdlife="n/a","n/a",IF(M$3&gt;(A9taxstdlife+$E178),(Input!$H$185-Input!$H$219)-SUM($H178:L178),(Input!$H$185-Input!$H$219)/A9taxstdlife))</f>
        <v>0</v>
      </c>
      <c r="N178" s="73">
        <f>IF(A9taxstdlife="n/a","n/a",IF(N$3&gt;(A9taxstdlife+$E178),(Input!$H$185-Input!$H$219)-SUM($H178:M178),(Input!$H$185-Input!$H$219)/A9taxstdlife))</f>
        <v>0</v>
      </c>
      <c r="O178" s="73">
        <f>IF(A9taxstdlife="n/a","n/a",IF(O$3&gt;(A9taxstdlife+$E178),(Input!$H$185-Input!$H$219)-SUM($H178:N178),(Input!$H$185-Input!$H$219)/A9taxstdlife))</f>
        <v>0</v>
      </c>
      <c r="P178" s="73">
        <f>IF(A9taxstdlife="n/a","n/a",IF(P$3&gt;(A9taxstdlife+$E178),(Input!$H$185-Input!$H$219)-SUM($H178:O178),(Input!$H$185-Input!$H$219)/A9taxstdlife))</f>
        <v>0</v>
      </c>
      <c r="Q178" s="73">
        <f>IF(A9taxstdlife="n/a","n/a",IF(Q$3&gt;(A9taxstdlife+$E178),(Input!$H$185-Input!$H$219)-SUM($H178:P178),(Input!$H$185-Input!$H$219)/A9taxstdlife))</f>
        <v>0</v>
      </c>
      <c r="R178" s="73"/>
      <c r="S178" s="107"/>
      <c r="T178" s="107"/>
      <c r="U178" s="107"/>
      <c r="V178" s="107"/>
      <c r="W178" s="107"/>
      <c r="X178" s="107"/>
      <c r="Y178" s="107"/>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01"/>
      <c r="BJ178" s="201"/>
      <c r="BK178" s="201"/>
      <c r="BL178" s="201"/>
      <c r="BM178" s="201"/>
      <c r="BN178" s="201"/>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537"/>
      <c r="E179" s="91">
        <v>2</v>
      </c>
      <c r="F179" s="27"/>
      <c r="G179" s="27"/>
      <c r="H179" s="150"/>
      <c r="I179" s="151"/>
      <c r="J179" s="73">
        <f>IF(A9taxstdlife="n/a","n/a",IF(J$3&gt;(A9taxstdlife+$E179),(Input!$I$185-Input!$I$219)-SUM($I179:I179),(Input!$I$185-Input!$I$219)/A9taxstdlife))</f>
        <v>0</v>
      </c>
      <c r="K179" s="73">
        <f>IF(A9taxstdlife="n/a","n/a",IF(K$3&gt;(A9taxstdlife+$E179),(Input!$I$185-Input!$I$219)-SUM($I179:J179),(Input!$I$185-Input!$I$219)/A9taxstdlife))</f>
        <v>0</v>
      </c>
      <c r="L179" s="73">
        <f>IF(A9taxstdlife="n/a","n/a",IF(L$3&gt;(A9taxstdlife+$E179),(Input!$I$185-Input!$I$219)-SUM($I179:K179),(Input!$I$185-Input!$I$219)/A9taxstdlife))</f>
        <v>0</v>
      </c>
      <c r="M179" s="73">
        <f>IF(A9taxstdlife="n/a","n/a",IF(M$3&gt;(A9taxstdlife+$E179),(Input!$I$185-Input!$I$219)-SUM($I179:L179),(Input!$I$185-Input!$I$219)/A9taxstdlife))</f>
        <v>0</v>
      </c>
      <c r="N179" s="73">
        <f>IF(A9taxstdlife="n/a","n/a",IF(N$3&gt;(A9taxstdlife+$E179),(Input!$I$185-Input!$I$219)-SUM($I179:M179),(Input!$I$185-Input!$I$219)/A9taxstdlife))</f>
        <v>0</v>
      </c>
      <c r="O179" s="73">
        <f>IF(A9taxstdlife="n/a","n/a",IF(O$3&gt;(A9taxstdlife+$E179),(Input!$I$185-Input!$I$219)-SUM($I179:N179),(Input!$I$185-Input!$I$219)/A9taxstdlife))</f>
        <v>0</v>
      </c>
      <c r="P179" s="73">
        <f>IF(A9taxstdlife="n/a","n/a",IF(P$3&gt;(A9taxstdlife+$E179),(Input!$I$185-Input!$I$219)-SUM($I179:O179),(Input!$I$185-Input!$I$219)/A9taxstdlife))</f>
        <v>0</v>
      </c>
      <c r="Q179" s="73">
        <f>IF(A9taxstdlife="n/a","n/a",IF(Q$3&gt;(A9taxstdlife+$E179),(Input!$I$185-Input!$I$219)-SUM($I179:P179),(Input!$I$185-Input!$I$219)/A9taxstdlife))</f>
        <v>0</v>
      </c>
      <c r="R179" s="73"/>
      <c r="S179" s="107"/>
      <c r="T179" s="107"/>
      <c r="U179" s="107"/>
      <c r="V179" s="107"/>
      <c r="W179" s="107"/>
      <c r="X179" s="107"/>
      <c r="Y179" s="107"/>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01"/>
      <c r="BJ179" s="201"/>
      <c r="BK179" s="201"/>
      <c r="BL179" s="201"/>
      <c r="BM179" s="201"/>
      <c r="BN179" s="201"/>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537"/>
      <c r="E180" s="91">
        <v>3</v>
      </c>
      <c r="F180" s="27"/>
      <c r="G180" s="27"/>
      <c r="H180" s="150"/>
      <c r="I180" s="152"/>
      <c r="J180" s="151"/>
      <c r="K180" s="73">
        <f>IF(A9taxstdlife="n/a","n/a",IF(K$3&gt;(A9taxstdlife+$E180),(Input!$J$185-Input!$J$219)-SUM($J180:J180),(Input!$J$185-Input!$J$219)/A9taxstdlife))</f>
        <v>0</v>
      </c>
      <c r="L180" s="73">
        <f>IF(A9taxstdlife="n/a","n/a",IF(L$3&gt;(A9taxstdlife+$E180),(Input!$J$185-Input!$J$219)-SUM($J180:K180),(Input!$J$185-Input!$J$219)/A9taxstdlife))</f>
        <v>0</v>
      </c>
      <c r="M180" s="73">
        <f>IF(A9taxstdlife="n/a","n/a",IF(M$3&gt;(A9taxstdlife+$E180),(Input!$J$185-Input!$J$219)-SUM($J180:L180),(Input!$J$185-Input!$J$219)/A9taxstdlife))</f>
        <v>0</v>
      </c>
      <c r="N180" s="73">
        <f>IF(A9taxstdlife="n/a","n/a",IF(N$3&gt;(A9taxstdlife+$E180),(Input!$J$185-Input!$J$219)-SUM($J180:M180),(Input!$J$185-Input!$J$219)/A9taxstdlife))</f>
        <v>0</v>
      </c>
      <c r="O180" s="73">
        <f>IF(A9taxstdlife="n/a","n/a",IF(O$3&gt;(A9taxstdlife+$E180),(Input!$J$185-Input!$J$219)-SUM($J180:N180),(Input!$J$185-Input!$J$219)/A9taxstdlife))</f>
        <v>0</v>
      </c>
      <c r="P180" s="73">
        <f>IF(A9taxstdlife="n/a","n/a",IF(P$3&gt;(A9taxstdlife+$E180),(Input!$J$185-Input!$J$219)-SUM($J180:O180),(Input!$J$185-Input!$J$219)/A9taxstdlife))</f>
        <v>0</v>
      </c>
      <c r="Q180" s="73">
        <f>IF(A9taxstdlife="n/a","n/a",IF(Q$3&gt;(A9taxstdlife+$E180),(Input!$J$185-Input!$J$219)-SUM($J180:P180),(Input!$J$185-Input!$J$219)/A9taxstdlife))</f>
        <v>0</v>
      </c>
      <c r="R180" s="73"/>
      <c r="S180" s="107"/>
      <c r="T180" s="107"/>
      <c r="U180" s="107"/>
      <c r="V180" s="107"/>
      <c r="W180" s="107"/>
      <c r="X180" s="107"/>
      <c r="Y180" s="107"/>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01"/>
      <c r="BJ180" s="201"/>
      <c r="BK180" s="201"/>
      <c r="BL180" s="201"/>
      <c r="BM180" s="201"/>
      <c r="BN180" s="201"/>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537"/>
      <c r="E181" s="91">
        <v>4</v>
      </c>
      <c r="F181" s="27"/>
      <c r="G181" s="27"/>
      <c r="H181" s="150"/>
      <c r="I181" s="152"/>
      <c r="J181" s="152"/>
      <c r="K181" s="151"/>
      <c r="L181" s="73">
        <f>IF(A9taxstdlife="n/a","n/a",IF(L$3&gt;(A9taxstdlife+$E181),(Input!$K$185-Input!$K$219)-SUM($K181:K181),(Input!$K$185-Input!$K$219)/A9taxstdlife))</f>
        <v>0</v>
      </c>
      <c r="M181" s="73">
        <f>IF(A9taxstdlife="n/a","n/a",IF(M$3&gt;(A9taxstdlife+$E181),(Input!$K$185-Input!$K$219)-SUM($K181:L181),(Input!$K$185-Input!$K$219)/A9taxstdlife))</f>
        <v>0</v>
      </c>
      <c r="N181" s="73">
        <f>IF(A9taxstdlife="n/a","n/a",IF(N$3&gt;(A9taxstdlife+$E181),(Input!$K$185-Input!$K$219)-SUM($K181:M181),(Input!$K$185-Input!$K$219)/A9taxstdlife))</f>
        <v>0</v>
      </c>
      <c r="O181" s="73">
        <f>IF(A9taxstdlife="n/a","n/a",IF(O$3&gt;(A9taxstdlife+$E181),(Input!$K$185-Input!$K$219)-SUM($K181:N181),(Input!$K$185-Input!$K$219)/A9taxstdlife))</f>
        <v>0</v>
      </c>
      <c r="P181" s="73">
        <f>IF(A9taxstdlife="n/a","n/a",IF(P$3&gt;(A9taxstdlife+$E181),(Input!$K$185-Input!$K$219)-SUM($K181:O181),(Input!$K$185-Input!$K$219)/A9taxstdlife))</f>
        <v>0</v>
      </c>
      <c r="Q181" s="73">
        <f>IF(A9taxstdlife="n/a","n/a",IF(Q$3&gt;(A9taxstdlife+$E181),(Input!$K$185-Input!$K$219)-SUM($K181:P181),(Input!$K$185-Input!$K$219)/A9taxstdlife))</f>
        <v>0</v>
      </c>
      <c r="R181" s="73"/>
      <c r="S181" s="107"/>
      <c r="T181" s="107"/>
      <c r="U181" s="107"/>
      <c r="V181" s="107"/>
      <c r="W181" s="107"/>
      <c r="X181" s="107"/>
      <c r="Y181" s="107"/>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01"/>
      <c r="BJ181" s="201"/>
      <c r="BK181" s="201"/>
      <c r="BL181" s="201"/>
      <c r="BM181" s="201"/>
      <c r="BN181" s="20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537"/>
      <c r="E182" s="91">
        <v>5</v>
      </c>
      <c r="F182" s="27"/>
      <c r="G182" s="27"/>
      <c r="H182" s="150"/>
      <c r="I182" s="152"/>
      <c r="J182" s="152"/>
      <c r="K182" s="152"/>
      <c r="L182" s="151"/>
      <c r="M182" s="73">
        <f>IF(A9taxstdlife="n/a","n/a",IF(M$3&gt;(A9taxstdlife+$E182),(Input!$L$185-Input!$L$219)-SUM($L182:L182),(Input!$L$185-Input!$L$219)/A9taxstdlife))</f>
        <v>0</v>
      </c>
      <c r="N182" s="73">
        <f>IF(A9taxstdlife="n/a","n/a",IF(N$3&gt;(A9taxstdlife+$E182),(Input!$L$185-Input!$L$219)-SUM($L182:M182),(Input!$L$185-Input!$L$219)/A9taxstdlife))</f>
        <v>0</v>
      </c>
      <c r="O182" s="73">
        <f>IF(A9taxstdlife="n/a","n/a",IF(O$3&gt;(A9taxstdlife+$E182),(Input!$L$185-Input!$L$219)-SUM($L182:N182),(Input!$L$185-Input!$L$219)/A9taxstdlife))</f>
        <v>0</v>
      </c>
      <c r="P182" s="73">
        <f>IF(A9taxstdlife="n/a","n/a",IF(P$3&gt;(A9taxstdlife+$E182),(Input!$L$185-Input!$L$219)-SUM($L182:O182),(Input!$L$185-Input!$L$219)/A9taxstdlife))</f>
        <v>0</v>
      </c>
      <c r="Q182" s="73">
        <f>IF(A9taxstdlife="n/a","n/a",IF(Q$3&gt;(A9taxstdlife+$E182),(Input!$L$185-Input!$L$219)-SUM($L182:P182),(Input!$L$185-Input!$L$219)/A9taxstdlife))</f>
        <v>0</v>
      </c>
      <c r="R182" s="73"/>
      <c r="S182" s="107"/>
      <c r="T182" s="107"/>
      <c r="U182" s="107"/>
      <c r="V182" s="107"/>
      <c r="W182" s="107"/>
      <c r="X182" s="107"/>
      <c r="Y182" s="107"/>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2"/>
      <c r="BJ182" s="201"/>
      <c r="BK182" s="201"/>
      <c r="BL182" s="201"/>
      <c r="BM182" s="201"/>
      <c r="BN182" s="201"/>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537"/>
      <c r="E183" s="91">
        <v>6</v>
      </c>
      <c r="F183" s="27"/>
      <c r="G183" s="27"/>
      <c r="H183" s="150"/>
      <c r="I183" s="152"/>
      <c r="J183" s="152"/>
      <c r="K183" s="152"/>
      <c r="L183" s="152"/>
      <c r="M183" s="151"/>
      <c r="N183" s="73">
        <f>IF(A9taxstdlife="n/a","n/a",IF(N$3&gt;(A9taxstdlife+$E183),(Input!$M$185-Input!$M$219)-SUM($M183:M183),(Input!$M$185-Input!$M$219)/A9taxstdlife))</f>
        <v>0</v>
      </c>
      <c r="O183" s="73">
        <f>IF(A9taxstdlife="n/a","n/a",IF(O$3&gt;(A9taxstdlife+$E183),(Input!$M$185-Input!$M$219)-SUM($M183:N183),(Input!$M$185-Input!$M$219)/A9taxstdlife))</f>
        <v>0</v>
      </c>
      <c r="P183" s="73">
        <f>IF(A9taxstdlife="n/a","n/a",IF(P$3&gt;(A9taxstdlife+$E183),(Input!$M$185-Input!$M$219)-SUM($M183:O183),(Input!$M$185-Input!$M$219)/A9taxstdlife))</f>
        <v>0</v>
      </c>
      <c r="Q183" s="73">
        <f>IF(A9taxstdlife="n/a","n/a",IF(Q$3&gt;(A9taxstdlife+$E183),(Input!$M$185-Input!$M$219)-SUM($M183:P183),(Input!$M$185-Input!$M$219)/A9taxstdlife))</f>
        <v>0</v>
      </c>
      <c r="R183" s="73"/>
      <c r="S183" s="107"/>
      <c r="T183" s="107"/>
      <c r="U183" s="107"/>
      <c r="V183" s="107"/>
      <c r="W183" s="107"/>
      <c r="X183" s="107"/>
      <c r="Y183" s="107"/>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01"/>
      <c r="BJ183" s="201"/>
      <c r="BK183" s="201"/>
      <c r="BL183" s="201"/>
      <c r="BM183" s="201"/>
      <c r="BN183" s="201"/>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537"/>
      <c r="E184" s="91">
        <v>7</v>
      </c>
      <c r="F184" s="27"/>
      <c r="G184" s="27"/>
      <c r="H184" s="150"/>
      <c r="I184" s="152"/>
      <c r="J184" s="152"/>
      <c r="K184" s="152"/>
      <c r="L184" s="152"/>
      <c r="M184" s="152"/>
      <c r="N184" s="151"/>
      <c r="O184" s="73">
        <f>IF(A9taxstdlife="n/a","n/a",IF(O$3&gt;(A9taxstdlife+$E184),(Input!$N$185-Input!$N$219)-SUM($N184:N184),(Input!$N$185-Input!$N$219)/A9taxstdlife))</f>
        <v>0</v>
      </c>
      <c r="P184" s="73">
        <f>IF(A9taxstdlife="n/a","n/a",IF(P$3&gt;(A9taxstdlife+$E184),(Input!$N$185-Input!$N$219)-SUM($N184:O184),(Input!$N$185-Input!$N$219)/A9taxstdlife))</f>
        <v>0</v>
      </c>
      <c r="Q184" s="73">
        <f>IF(A9taxstdlife="n/a","n/a",IF(Q$3&gt;(A9taxstdlife+$E184),(Input!$N$185-Input!$N$219)-SUM($N184:P184),(Input!$N$185-Input!$N$219)/A9taxstdlife))</f>
        <v>0</v>
      </c>
      <c r="R184" s="73"/>
      <c r="S184" s="107"/>
      <c r="T184" s="107"/>
      <c r="U184" s="107"/>
      <c r="V184" s="107"/>
      <c r="W184" s="107"/>
      <c r="X184" s="107"/>
      <c r="Y184" s="107"/>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01"/>
      <c r="BJ184" s="201"/>
      <c r="BK184" s="201"/>
      <c r="BL184" s="201"/>
      <c r="BM184" s="201"/>
      <c r="BN184" s="201"/>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537"/>
      <c r="E185" s="91">
        <v>8</v>
      </c>
      <c r="F185" s="27"/>
      <c r="G185" s="27"/>
      <c r="H185" s="150"/>
      <c r="I185" s="152"/>
      <c r="J185" s="152"/>
      <c r="K185" s="152"/>
      <c r="L185" s="152"/>
      <c r="M185" s="152"/>
      <c r="N185" s="152"/>
      <c r="O185" s="151"/>
      <c r="P185" s="73">
        <f>IF(A9taxstdlife="n/a","n/a",IF(P$3&gt;(A9taxstdlife+$E185),(Input!$O$185-Input!$O$219)-SUM($O185:O185),(Input!$O$185-Input!$O$219)/A9taxstdlife))</f>
        <v>0</v>
      </c>
      <c r="Q185" s="73">
        <f>IF(A9taxstdlife="n/a","n/a",IF(Q$3&gt;(A9taxstdlife+$E185),(Input!$O$185-Input!$O$219)-SUM($O185:P185),(Input!$O$185-Input!$O$219)/A9taxstdlife))</f>
        <v>0</v>
      </c>
      <c r="R185" s="73"/>
      <c r="S185" s="107"/>
      <c r="T185" s="107"/>
      <c r="U185" s="107"/>
      <c r="V185" s="107"/>
      <c r="W185" s="107"/>
      <c r="X185" s="107"/>
      <c r="Y185" s="107"/>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01"/>
      <c r="BJ185" s="201"/>
      <c r="BK185" s="201"/>
      <c r="BL185" s="201"/>
      <c r="BM185" s="201"/>
      <c r="BN185" s="201"/>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537"/>
      <c r="E186" s="91">
        <v>9</v>
      </c>
      <c r="F186" s="27"/>
      <c r="G186" s="27"/>
      <c r="H186" s="150"/>
      <c r="I186" s="152"/>
      <c r="J186" s="152"/>
      <c r="K186" s="152"/>
      <c r="L186" s="152"/>
      <c r="M186" s="152"/>
      <c r="N186" s="152"/>
      <c r="O186" s="152"/>
      <c r="P186" s="151"/>
      <c r="Q186" s="73">
        <f>IF(A9taxstdlife="n/a","n/a",IF(Q$3&gt;(A9taxstdlife+$E186),(Input!$P$185-Input!$P$219)-SUM($P186:P186),(Input!$P$185-Input!$P$219)/A9taxstdlife))</f>
        <v>0</v>
      </c>
      <c r="R186" s="73"/>
      <c r="S186" s="107"/>
      <c r="T186" s="107"/>
      <c r="U186" s="107"/>
      <c r="V186" s="107"/>
      <c r="W186" s="107"/>
      <c r="X186" s="107"/>
      <c r="Y186" s="107"/>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01"/>
      <c r="BJ186" s="201"/>
      <c r="BK186" s="201"/>
      <c r="BL186" s="201"/>
      <c r="BM186" s="201"/>
      <c r="BN186" s="201"/>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537"/>
      <c r="E187" s="92">
        <v>10</v>
      </c>
      <c r="F187" s="27"/>
      <c r="G187" s="27"/>
      <c r="H187" s="150"/>
      <c r="I187" s="152"/>
      <c r="J187" s="152"/>
      <c r="K187" s="152"/>
      <c r="L187" s="152"/>
      <c r="M187" s="152"/>
      <c r="N187" s="152"/>
      <c r="O187" s="152"/>
      <c r="P187" s="152"/>
      <c r="Q187" s="151"/>
      <c r="R187" s="73"/>
      <c r="S187" s="107"/>
      <c r="T187" s="107"/>
      <c r="U187" s="107"/>
      <c r="V187" s="107"/>
      <c r="W187" s="107"/>
      <c r="X187" s="107"/>
      <c r="Y187" s="107"/>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01"/>
      <c r="BJ187" s="201"/>
      <c r="BK187" s="201"/>
      <c r="BL187" s="201"/>
      <c r="BM187" s="201"/>
      <c r="BN187" s="201"/>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2">
        <f>Asset9</f>
        <v>0</v>
      </c>
      <c r="D188" s="9"/>
      <c r="E188" s="9"/>
      <c r="F188" s="23"/>
      <c r="G188" s="23"/>
      <c r="H188" s="298">
        <f>-SUM(H176:H187)</f>
        <v>0</v>
      </c>
      <c r="I188" s="165">
        <f>-SUM(I176:I187)</f>
        <v>0</v>
      </c>
      <c r="J188" s="165">
        <f>-SUM(J176:J187)</f>
        <v>0</v>
      </c>
      <c r="K188" s="165">
        <f>-SUM(K176:K187)</f>
        <v>0</v>
      </c>
      <c r="L188" s="165">
        <f>-SUM(L176:L187)</f>
        <v>0</v>
      </c>
      <c r="M188" s="165">
        <f>IF(COUNT($H188:L188)&gt;=Input!$Y$7,0, -SUM(M176:M187))</f>
        <v>0</v>
      </c>
      <c r="N188" s="165">
        <f>IF(COUNT($H188:M188)&gt;=Input!$Y$7,0, -SUM(N176:N187))</f>
        <v>0</v>
      </c>
      <c r="O188" s="165">
        <f>IF(COUNT($H188:N188)&gt;=Input!$Y$7,0, -SUM(O176:O187))</f>
        <v>0</v>
      </c>
      <c r="P188" s="165">
        <f>IF(COUNT($H188:O188)&gt;=Input!$Y$7,0, -SUM(P176:P187))</f>
        <v>0</v>
      </c>
      <c r="Q188" s="165">
        <f>IF(COUNT($H188:P188)&gt;=Input!$Y$7,0, -SUM(Q176:Q187))</f>
        <v>0</v>
      </c>
      <c r="R188" s="165"/>
      <c r="S188" s="106"/>
      <c r="T188" s="106"/>
      <c r="U188" s="106"/>
      <c r="V188" s="106"/>
      <c r="W188" s="106"/>
      <c r="X188" s="106"/>
      <c r="Y188" s="106"/>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01"/>
      <c r="BJ188" s="201"/>
      <c r="BK188" s="201"/>
      <c r="BL188" s="201"/>
      <c r="BM188" s="201"/>
      <c r="BN188" s="201"/>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73">
        <f>Asset10</f>
        <v>0</v>
      </c>
      <c r="C189" s="31"/>
      <c r="D189" s="32" t="s">
        <v>43</v>
      </c>
      <c r="E189" s="31"/>
      <c r="F189" s="301"/>
      <c r="G189" s="301"/>
      <c r="H189" s="72">
        <f>IF(H$3&gt;A10taxremlife,A10taxvalue-SUM($F189:F189),IF(A10taxremlife="N/A","n/a",A10taxvalue/A10taxremlife))</f>
        <v>0</v>
      </c>
      <c r="I189" s="72">
        <f>IF(I$3&gt;A10taxremlife,A10taxvalue-SUM($F189:H189),IF(A10taxremlife="N/A","n/a",A10taxvalue/A10taxremlife))</f>
        <v>0</v>
      </c>
      <c r="J189" s="72">
        <f>IF(J$3&gt;A10taxremlife,A10taxvalue-SUM($F189:I189),IF(A10taxremlife="N/A","n/a",A10taxvalue/A10taxremlife))</f>
        <v>0</v>
      </c>
      <c r="K189" s="72">
        <f>IF(K$3&gt;A10taxremlife,A10taxvalue-SUM($F189:J189),IF(A10taxremlife="N/A","n/a",A10taxvalue/A10taxremlife))</f>
        <v>0</v>
      </c>
      <c r="L189" s="72">
        <f>IF(L$3&gt;A10taxremlife,A10taxvalue-SUM($F189:K189),IF(A10taxremlife="N/A","n/a",A10taxvalue/A10taxremlife))</f>
        <v>0</v>
      </c>
      <c r="M189" s="72">
        <f>IF(M$3&gt;A10taxremlife,A10taxvalue-SUM($F189:L189),IF(A10taxremlife="N/A","n/a",A10taxvalue/A10taxremlife))</f>
        <v>0</v>
      </c>
      <c r="N189" s="72">
        <f>IF(N$3&gt;A10taxremlife,A10taxvalue-SUM($F189:M189),IF(A10taxremlife="N/A","n/a",A10taxvalue/A10taxremlife))</f>
        <v>0</v>
      </c>
      <c r="O189" s="72">
        <f>IF(O$3&gt;A10taxremlife,A10taxvalue-SUM($F189:N189),IF(A10taxremlife="N/A","n/a",A10taxvalue/A10taxremlife))</f>
        <v>0</v>
      </c>
      <c r="P189" s="72">
        <f>IF(P$3&gt;A10taxremlife,A10taxvalue-SUM($F189:O189),IF(A10taxremlife="N/A","n/a",A10taxvalue/A10taxremlife))</f>
        <v>0</v>
      </c>
      <c r="Q189" s="72">
        <f>IF(Q$3&gt;A10taxremlife,A10taxvalue-SUM($F189:P189),IF(A10taxremlife="N/A","n/a",A10taxvalue/A10taxremlife))</f>
        <v>0</v>
      </c>
      <c r="R189" s="72"/>
      <c r="S189" s="107"/>
      <c r="T189" s="107"/>
      <c r="U189" s="107"/>
      <c r="V189" s="107"/>
      <c r="W189" s="107"/>
      <c r="X189" s="107"/>
      <c r="Y189" s="107"/>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01"/>
      <c r="BJ189" s="201"/>
      <c r="BK189" s="201"/>
      <c r="BL189" s="201"/>
      <c r="BM189" s="201"/>
      <c r="BN189" s="201"/>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536" t="s">
        <v>59</v>
      </c>
      <c r="E190" s="91"/>
      <c r="F190" s="27"/>
      <c r="G190" s="27"/>
      <c r="H190" s="107"/>
      <c r="I190" s="73"/>
      <c r="J190" s="73"/>
      <c r="K190" s="73"/>
      <c r="L190" s="73"/>
      <c r="M190" s="73"/>
      <c r="N190" s="73"/>
      <c r="O190" s="73"/>
      <c r="P190" s="73"/>
      <c r="Q190" s="73"/>
      <c r="R190" s="73"/>
      <c r="S190" s="107"/>
      <c r="T190" s="107"/>
      <c r="U190" s="107"/>
      <c r="V190" s="107"/>
      <c r="W190" s="107"/>
      <c r="X190" s="107"/>
      <c r="Y190" s="107"/>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01"/>
      <c r="BJ190" s="201"/>
      <c r="BK190" s="201"/>
      <c r="BL190" s="201"/>
      <c r="BM190" s="201"/>
      <c r="BN190" s="201"/>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537"/>
      <c r="E191" s="91">
        <v>1</v>
      </c>
      <c r="F191" s="27"/>
      <c r="G191" s="27"/>
      <c r="H191" s="149"/>
      <c r="I191" s="73">
        <f>IF(A10taxstdlife="n/a","n/a",IF(I$3&gt;(A10taxstdlife+$E191),(Input!$H$186-Input!$H$220)-SUM($H191:H191),(Input!$H$186-Input!$H$220)/A10taxstdlife))</f>
        <v>0</v>
      </c>
      <c r="J191" s="73">
        <f>IF(A10taxstdlife="n/a","n/a",IF(J$3&gt;(A10taxstdlife+$E191),(Input!$H$186-Input!$H$220)-SUM($H191:I191),(Input!$H$186-Input!$H$220)/A10taxstdlife))</f>
        <v>0</v>
      </c>
      <c r="K191" s="73">
        <f>IF(A10taxstdlife="n/a","n/a",IF(K$3&gt;(A10taxstdlife+$E191),(Input!$H$186-Input!$H$220)-SUM($H191:J191),(Input!$H$186-Input!$H$220)/A10taxstdlife))</f>
        <v>0</v>
      </c>
      <c r="L191" s="73">
        <f>IF(A10taxstdlife="n/a","n/a",IF(L$3&gt;(A10taxstdlife+$E191),(Input!$H$186-Input!$H$220)-SUM($H191:K191),(Input!$H$186-Input!$H$220)/A10taxstdlife))</f>
        <v>0</v>
      </c>
      <c r="M191" s="73">
        <f>IF(A10taxstdlife="n/a","n/a",IF(M$3&gt;(A10taxstdlife+$E191),(Input!$H$186-Input!$H$220)-SUM($H191:L191),(Input!$H$186-Input!$H$220)/A10taxstdlife))</f>
        <v>0</v>
      </c>
      <c r="N191" s="73">
        <f>IF(A10taxstdlife="n/a","n/a",IF(N$3&gt;(A10taxstdlife+$E191),(Input!$H$186-Input!$H$220)-SUM($H191:M191),(Input!$H$186-Input!$H$220)/A10taxstdlife))</f>
        <v>0</v>
      </c>
      <c r="O191" s="73">
        <f>IF(A10taxstdlife="n/a","n/a",IF(O$3&gt;(A10taxstdlife+$E191),(Input!$H$186-Input!$H$220)-SUM($H191:N191),(Input!$H$186-Input!$H$220)/A10taxstdlife))</f>
        <v>0</v>
      </c>
      <c r="P191" s="73">
        <f>IF(A10taxstdlife="n/a","n/a",IF(P$3&gt;(A10taxstdlife+$E191),(Input!$H$186-Input!$H$220)-SUM($H191:O191),(Input!$H$186-Input!$H$220)/A10taxstdlife))</f>
        <v>0</v>
      </c>
      <c r="Q191" s="73">
        <f>IF(A10taxstdlife="n/a","n/a",IF(Q$3&gt;(A10taxstdlife+$E191),(Input!$H$186-Input!$H$220)-SUM($H191:P191),(Input!$H$186-Input!$H$220)/A10taxstdlife))</f>
        <v>0</v>
      </c>
      <c r="R191" s="73"/>
      <c r="S191" s="107"/>
      <c r="T191" s="107"/>
      <c r="U191" s="107"/>
      <c r="V191" s="107"/>
      <c r="W191" s="107"/>
      <c r="X191" s="107"/>
      <c r="Y191" s="107"/>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01"/>
      <c r="BJ191" s="201"/>
      <c r="BK191" s="201"/>
      <c r="BL191" s="201"/>
      <c r="BM191" s="201"/>
      <c r="BN191" s="20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537"/>
      <c r="E192" s="91">
        <v>2</v>
      </c>
      <c r="F192" s="27"/>
      <c r="G192" s="27"/>
      <c r="H192" s="150"/>
      <c r="I192" s="151"/>
      <c r="J192" s="73">
        <f>IF(A10taxstdlife="n/a","n/a",IF(J$3&gt;(A10taxstdlife+$E192),(Input!$I$186-Input!$I$220)-SUM($I192:I192),(Input!$I$186-Input!$I$220)/A10taxstdlife))</f>
        <v>0</v>
      </c>
      <c r="K192" s="73">
        <f>IF(A10taxstdlife="n/a","n/a",IF(K$3&gt;(A10taxstdlife+$E192),(Input!$I$186-Input!$I$220)-SUM($I192:J192),(Input!$I$186-Input!$I$220)/A10taxstdlife))</f>
        <v>0</v>
      </c>
      <c r="L192" s="73">
        <f>IF(A10taxstdlife="n/a","n/a",IF(L$3&gt;(A10taxstdlife+$E192),(Input!$I$186-Input!$I$220)-SUM($I192:K192),(Input!$I$186-Input!$I$220)/A10taxstdlife))</f>
        <v>0</v>
      </c>
      <c r="M192" s="73">
        <f>IF(A10taxstdlife="n/a","n/a",IF(M$3&gt;(A10taxstdlife+$E192),(Input!$I$186-Input!$I$220)-SUM($I192:L192),(Input!$I$186-Input!$I$220)/A10taxstdlife))</f>
        <v>0</v>
      </c>
      <c r="N192" s="73">
        <f>IF(A10taxstdlife="n/a","n/a",IF(N$3&gt;(A10taxstdlife+$E192),(Input!$I$186-Input!$I$220)-SUM($I192:M192),(Input!$I$186-Input!$I$220)/A10taxstdlife))</f>
        <v>0</v>
      </c>
      <c r="O192" s="73">
        <f>IF(A10taxstdlife="n/a","n/a",IF(O$3&gt;(A10taxstdlife+$E192),(Input!$I$186-Input!$I$220)-SUM($I192:N192),(Input!$I$186-Input!$I$220)/A10taxstdlife))</f>
        <v>0</v>
      </c>
      <c r="P192" s="73">
        <f>IF(A10taxstdlife="n/a","n/a",IF(P$3&gt;(A10taxstdlife+$E192),(Input!$I$186-Input!$I$220)-SUM($I192:O192),(Input!$I$186-Input!$I$220)/A10taxstdlife))</f>
        <v>0</v>
      </c>
      <c r="Q192" s="73">
        <f>IF(A10taxstdlife="n/a","n/a",IF(Q$3&gt;(A10taxstdlife+$E192),(Input!$I$186-Input!$I$220)-SUM($I192:P192),(Input!$I$186-Input!$I$220)/A10taxstdlife))</f>
        <v>0</v>
      </c>
      <c r="R192" s="73"/>
      <c r="S192" s="107"/>
      <c r="T192" s="107"/>
      <c r="U192" s="107"/>
      <c r="V192" s="107"/>
      <c r="W192" s="107"/>
      <c r="X192" s="107"/>
      <c r="Y192" s="107"/>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01"/>
      <c r="BJ192" s="201"/>
      <c r="BK192" s="201"/>
      <c r="BL192" s="201"/>
      <c r="BM192" s="201"/>
      <c r="BN192" s="201"/>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537"/>
      <c r="E193" s="91">
        <v>3</v>
      </c>
      <c r="F193" s="27"/>
      <c r="G193" s="27"/>
      <c r="H193" s="150"/>
      <c r="I193" s="152"/>
      <c r="J193" s="151"/>
      <c r="K193" s="73">
        <f>IF(A10taxstdlife="n/a","n/a",IF(K$3&gt;(A10taxstdlife+$E193),(Input!$J$186-Input!$J$220)-SUM($J193:J193),(Input!$J$186-Input!$J$220)/A10taxstdlife))</f>
        <v>0</v>
      </c>
      <c r="L193" s="73">
        <f>IF(A10taxstdlife="n/a","n/a",IF(L$3&gt;(A10taxstdlife+$E193),(Input!$J$186-Input!$J$220)-SUM($J193:K193),(Input!$J$186-Input!$J$220)/A10taxstdlife))</f>
        <v>0</v>
      </c>
      <c r="M193" s="73">
        <f>IF(A10taxstdlife="n/a","n/a",IF(M$3&gt;(A10taxstdlife+$E193),(Input!$J$186-Input!$J$220)-SUM($J193:L193),(Input!$J$186-Input!$J$220)/A10taxstdlife))</f>
        <v>0</v>
      </c>
      <c r="N193" s="73">
        <f>IF(A10taxstdlife="n/a","n/a",IF(N$3&gt;(A10taxstdlife+$E193),(Input!$J$186-Input!$J$220)-SUM($J193:M193),(Input!$J$186-Input!$J$220)/A10taxstdlife))</f>
        <v>0</v>
      </c>
      <c r="O193" s="73">
        <f>IF(A10taxstdlife="n/a","n/a",IF(O$3&gt;(A10taxstdlife+$E193),(Input!$J$186-Input!$J$220)-SUM($J193:N193),(Input!$J$186-Input!$J$220)/A10taxstdlife))</f>
        <v>0</v>
      </c>
      <c r="P193" s="73">
        <f>IF(A10taxstdlife="n/a","n/a",IF(P$3&gt;(A10taxstdlife+$E193),(Input!$J$186-Input!$J$220)-SUM($J193:O193),(Input!$J$186-Input!$J$220)/A10taxstdlife))</f>
        <v>0</v>
      </c>
      <c r="Q193" s="73">
        <f>IF(A10taxstdlife="n/a","n/a",IF(Q$3&gt;(A10taxstdlife+$E193),(Input!$J$186-Input!$J$220)-SUM($J193:P193),(Input!$J$186-Input!$J$220)/A10taxstdlife))</f>
        <v>0</v>
      </c>
      <c r="R193" s="73"/>
      <c r="S193" s="107"/>
      <c r="T193" s="107"/>
      <c r="U193" s="107"/>
      <c r="V193" s="107"/>
      <c r="W193" s="107"/>
      <c r="X193" s="107"/>
      <c r="Y193" s="107"/>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01"/>
      <c r="BJ193" s="201"/>
      <c r="BK193" s="201"/>
      <c r="BL193" s="201"/>
      <c r="BM193" s="201"/>
      <c r="BN193" s="201"/>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537"/>
      <c r="E194" s="91">
        <v>4</v>
      </c>
      <c r="F194" s="27"/>
      <c r="G194" s="27"/>
      <c r="H194" s="150"/>
      <c r="I194" s="152"/>
      <c r="J194" s="152"/>
      <c r="K194" s="151"/>
      <c r="L194" s="73">
        <f>IF(A10taxstdlife="n/a","n/a",IF(L$3&gt;(A10taxstdlife+$E194),(Input!$K$186-Input!$K$220)-SUM($K194:K194),(Input!$K$186-Input!$K$220)/A10taxstdlife))</f>
        <v>0</v>
      </c>
      <c r="M194" s="73">
        <f>IF(A10taxstdlife="n/a","n/a",IF(M$3&gt;(A10taxstdlife+$E194),(Input!$K$186-Input!$K$220)-SUM($K194:L194),(Input!$K$186-Input!$K$220)/A10taxstdlife))</f>
        <v>0</v>
      </c>
      <c r="N194" s="73">
        <f>IF(A10taxstdlife="n/a","n/a",IF(N$3&gt;(A10taxstdlife+$E194),(Input!$K$186-Input!$K$220)-SUM($K194:M194),(Input!$K$186-Input!$K$220)/A10taxstdlife))</f>
        <v>0</v>
      </c>
      <c r="O194" s="73">
        <f>IF(A10taxstdlife="n/a","n/a",IF(O$3&gt;(A10taxstdlife+$E194),(Input!$K$186-Input!$K$220)-SUM($K194:N194),(Input!$K$186-Input!$K$220)/A10taxstdlife))</f>
        <v>0</v>
      </c>
      <c r="P194" s="73">
        <f>IF(A10taxstdlife="n/a","n/a",IF(P$3&gt;(A10taxstdlife+$E194),(Input!$K$186-Input!$K$220)-SUM($K194:O194),(Input!$K$186-Input!$K$220)/A10taxstdlife))</f>
        <v>0</v>
      </c>
      <c r="Q194" s="73">
        <f>IF(A10taxstdlife="n/a","n/a",IF(Q$3&gt;(A10taxstdlife+$E194),(Input!$K$186-Input!$K$220)-SUM($K194:P194),(Input!$K$186-Input!$K$220)/A10taxstdlife))</f>
        <v>0</v>
      </c>
      <c r="R194" s="73"/>
      <c r="S194" s="107"/>
      <c r="T194" s="107"/>
      <c r="U194" s="107"/>
      <c r="V194" s="107"/>
      <c r="W194" s="107"/>
      <c r="X194" s="107"/>
      <c r="Y194" s="107"/>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01"/>
      <c r="BJ194" s="201"/>
      <c r="BK194" s="201"/>
      <c r="BL194" s="201"/>
      <c r="BM194" s="201"/>
      <c r="BN194" s="201"/>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537"/>
      <c r="E195" s="91">
        <v>5</v>
      </c>
      <c r="F195" s="27"/>
      <c r="G195" s="27"/>
      <c r="H195" s="150"/>
      <c r="I195" s="152"/>
      <c r="J195" s="152"/>
      <c r="K195" s="152"/>
      <c r="L195" s="151"/>
      <c r="M195" s="73">
        <f>IF(A10taxstdlife="n/a","n/a",IF(M$3&gt;(A10taxstdlife+$E195),(Input!$L$186-Input!$L$220)-SUM($L195:L195),(Input!$L$186-Input!$L$220)/A10taxstdlife))</f>
        <v>0</v>
      </c>
      <c r="N195" s="73">
        <f>IF(A10taxstdlife="n/a","n/a",IF(N$3&gt;(A10taxstdlife+$E195),(Input!$L$186-Input!$L$220)-SUM($L195:M195),(Input!$L$186-Input!$L$220)/A10taxstdlife))</f>
        <v>0</v>
      </c>
      <c r="O195" s="73">
        <f>IF(A10taxstdlife="n/a","n/a",IF(O$3&gt;(A10taxstdlife+$E195),(Input!$L$186-Input!$L$220)-SUM($L195:N195),(Input!$L$186-Input!$L$220)/A10taxstdlife))</f>
        <v>0</v>
      </c>
      <c r="P195" s="73">
        <f>IF(A10taxstdlife="n/a","n/a",IF(P$3&gt;(A10taxstdlife+$E195),(Input!$L$186-Input!$L$220)-SUM($L195:O195),(Input!$L$186-Input!$L$220)/A10taxstdlife))</f>
        <v>0</v>
      </c>
      <c r="Q195" s="73">
        <f>IF(A10taxstdlife="n/a","n/a",IF(Q$3&gt;(A10taxstdlife+$E195),(Input!$L$186-Input!$L$220)-SUM($L195:P195),(Input!$L$186-Input!$L$220)/A10taxstdlife))</f>
        <v>0</v>
      </c>
      <c r="R195" s="73"/>
      <c r="S195" s="107"/>
      <c r="T195" s="107"/>
      <c r="U195" s="107"/>
      <c r="V195" s="107"/>
      <c r="W195" s="107"/>
      <c r="X195" s="107"/>
      <c r="Y195" s="107"/>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01"/>
      <c r="BJ195" s="201"/>
      <c r="BK195" s="201"/>
      <c r="BL195" s="201"/>
      <c r="BM195" s="201"/>
      <c r="BN195" s="201"/>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537"/>
      <c r="E196" s="91">
        <v>6</v>
      </c>
      <c r="F196" s="27"/>
      <c r="G196" s="27"/>
      <c r="H196" s="150"/>
      <c r="I196" s="152"/>
      <c r="J196" s="152"/>
      <c r="K196" s="152"/>
      <c r="L196" s="152"/>
      <c r="M196" s="151"/>
      <c r="N196" s="73">
        <f>IF(A10taxstdlife="n/a","n/a",IF(N$3&gt;(A10taxstdlife+$E196),(Input!$M$186-Input!$M$220)-SUM($M196:M196),(Input!$M$186-Input!$M$220)/A10taxstdlife))</f>
        <v>0</v>
      </c>
      <c r="O196" s="73">
        <f>IF(A10taxstdlife="n/a","n/a",IF(O$3&gt;(A10taxstdlife+$E196),(Input!$M$186-Input!$M$220)-SUM($M196:N196),(Input!$M$186-Input!$M$220)/A10taxstdlife))</f>
        <v>0</v>
      </c>
      <c r="P196" s="73">
        <f>IF(A10taxstdlife="n/a","n/a",IF(P$3&gt;(A10taxstdlife+$E196),(Input!$M$186-Input!$M$220)-SUM($M196:O196),(Input!$M$186-Input!$M$220)/A10taxstdlife))</f>
        <v>0</v>
      </c>
      <c r="Q196" s="73">
        <f>IF(A10taxstdlife="n/a","n/a",IF(Q$3&gt;(A10taxstdlife+$E196),(Input!$M$186-Input!$M$220)-SUM($M196:P196),(Input!$M$186-Input!$M$220)/A10taxstdlife))</f>
        <v>0</v>
      </c>
      <c r="R196" s="73"/>
      <c r="S196" s="107"/>
      <c r="T196" s="107"/>
      <c r="U196" s="107"/>
      <c r="V196" s="107"/>
      <c r="W196" s="107"/>
      <c r="X196" s="107"/>
      <c r="Y196" s="107"/>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01"/>
      <c r="BJ196" s="201"/>
      <c r="BK196" s="201"/>
      <c r="BL196" s="201"/>
      <c r="BM196" s="201"/>
      <c r="BN196" s="201"/>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537"/>
      <c r="E197" s="91">
        <v>7</v>
      </c>
      <c r="F197" s="27"/>
      <c r="G197" s="27"/>
      <c r="H197" s="150"/>
      <c r="I197" s="152"/>
      <c r="J197" s="152"/>
      <c r="K197" s="152"/>
      <c r="L197" s="152"/>
      <c r="M197" s="152"/>
      <c r="N197" s="151"/>
      <c r="O197" s="73">
        <f>IF(A10taxstdlife="n/a","n/a",IF(O$3&gt;(A10taxstdlife+$E197),(Input!$N$186-Input!$N$220)-SUM($N197:N197),(Input!$N$186-Input!$N$220)/A10taxstdlife))</f>
        <v>0</v>
      </c>
      <c r="P197" s="73">
        <f>IF(A10taxstdlife="n/a","n/a",IF(P$3&gt;(A10taxstdlife+$E197),(Input!$N$186-Input!$N$220)-SUM($N197:O197),(Input!$N$186-Input!$N$220)/A10taxstdlife))</f>
        <v>0</v>
      </c>
      <c r="Q197" s="73">
        <f>IF(A10taxstdlife="n/a","n/a",IF(Q$3&gt;(A10taxstdlife+$E197),(Input!$N$186-Input!$N$220)-SUM($N197:P197),(Input!$N$186-Input!$N$220)/A10taxstdlife))</f>
        <v>0</v>
      </c>
      <c r="R197" s="73"/>
      <c r="S197" s="107"/>
      <c r="T197" s="107"/>
      <c r="U197" s="107"/>
      <c r="V197" s="107"/>
      <c r="W197" s="107"/>
      <c r="X197" s="107"/>
      <c r="Y197" s="107"/>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01"/>
      <c r="BJ197" s="201"/>
      <c r="BK197" s="201"/>
      <c r="BL197" s="201"/>
      <c r="BM197" s="201"/>
      <c r="BN197" s="201"/>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537"/>
      <c r="E198" s="91">
        <v>8</v>
      </c>
      <c r="F198" s="27"/>
      <c r="G198" s="27"/>
      <c r="H198" s="150"/>
      <c r="I198" s="152"/>
      <c r="J198" s="152"/>
      <c r="K198" s="152"/>
      <c r="L198" s="152"/>
      <c r="M198" s="152"/>
      <c r="N198" s="152"/>
      <c r="O198" s="151"/>
      <c r="P198" s="73">
        <f>IF(A10taxstdlife="n/a","n/a",IF(P$3&gt;(A10taxstdlife+$E198),(Input!$O$186-Input!$O$220)-SUM($O198:O198),(Input!$O$186-Input!$O$220)/A10taxstdlife))</f>
        <v>0</v>
      </c>
      <c r="Q198" s="73">
        <f>IF(A10taxstdlife="n/a","n/a",IF(Q$3&gt;(A10taxstdlife+$E198),(Input!$O$186-Input!$O$220)-SUM($O198:P198),(Input!$O$186-Input!$O$220)/A10taxstdlife))</f>
        <v>0</v>
      </c>
      <c r="R198" s="73"/>
      <c r="S198" s="107"/>
      <c r="T198" s="107"/>
      <c r="U198" s="107"/>
      <c r="V198" s="107"/>
      <c r="W198" s="107"/>
      <c r="X198" s="107"/>
      <c r="Y198" s="107"/>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01"/>
      <c r="BJ198" s="201"/>
      <c r="BK198" s="201"/>
      <c r="BL198" s="201"/>
      <c r="BM198" s="201"/>
      <c r="BN198" s="201"/>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537"/>
      <c r="E199" s="91">
        <v>9</v>
      </c>
      <c r="F199" s="27"/>
      <c r="G199" s="27"/>
      <c r="H199" s="150"/>
      <c r="I199" s="152"/>
      <c r="J199" s="152"/>
      <c r="K199" s="152"/>
      <c r="L199" s="152"/>
      <c r="M199" s="152"/>
      <c r="N199" s="152"/>
      <c r="O199" s="152"/>
      <c r="P199" s="151"/>
      <c r="Q199" s="73">
        <f>IF(A10taxstdlife="n/a","n/a",IF(Q$3&gt;(A10taxstdlife+$E199),(Input!$P$186-Input!$P$220)-SUM($P199:P199),(Input!$P$186-Input!$P$220)/A10taxstdlife))</f>
        <v>0</v>
      </c>
      <c r="R199" s="73"/>
      <c r="S199" s="107"/>
      <c r="T199" s="107"/>
      <c r="U199" s="107"/>
      <c r="V199" s="107"/>
      <c r="W199" s="107"/>
      <c r="X199" s="107"/>
      <c r="Y199" s="107"/>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3"/>
      <c r="BJ199" s="201"/>
      <c r="BK199" s="201"/>
      <c r="BL199" s="201"/>
      <c r="BM199" s="201"/>
      <c r="BN199" s="201"/>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537"/>
      <c r="E200" s="92">
        <v>10</v>
      </c>
      <c r="F200" s="27"/>
      <c r="G200" s="27"/>
      <c r="H200" s="150"/>
      <c r="I200" s="152"/>
      <c r="J200" s="152"/>
      <c r="K200" s="152"/>
      <c r="L200" s="152"/>
      <c r="M200" s="152"/>
      <c r="N200" s="152"/>
      <c r="O200" s="152"/>
      <c r="P200" s="152"/>
      <c r="Q200" s="151"/>
      <c r="R200" s="73"/>
      <c r="S200" s="107"/>
      <c r="T200" s="107"/>
      <c r="U200" s="107"/>
      <c r="V200" s="107"/>
      <c r="W200" s="107"/>
      <c r="X200" s="107"/>
      <c r="Y200" s="107"/>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01"/>
      <c r="BJ200" s="201"/>
      <c r="BK200" s="201"/>
      <c r="BL200" s="201"/>
      <c r="BM200" s="201"/>
      <c r="BN200" s="201"/>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2">
        <f>Asset10</f>
        <v>0</v>
      </c>
      <c r="D201" s="9"/>
      <c r="E201" s="9"/>
      <c r="F201" s="23"/>
      <c r="G201" s="23"/>
      <c r="H201" s="298">
        <f>-SUM(H189:H200)</f>
        <v>0</v>
      </c>
      <c r="I201" s="165">
        <f>-SUM(I189:I200)</f>
        <v>0</v>
      </c>
      <c r="J201" s="165">
        <f>-SUM(J189:J200)</f>
        <v>0</v>
      </c>
      <c r="K201" s="165">
        <f>-SUM(K189:K200)</f>
        <v>0</v>
      </c>
      <c r="L201" s="165">
        <f>-SUM(L189:L200)</f>
        <v>0</v>
      </c>
      <c r="M201" s="165">
        <f>IF(COUNT($H201:L201)&gt;=Input!$Y$7,0, -SUM(M189:M200))</f>
        <v>0</v>
      </c>
      <c r="N201" s="165">
        <f>IF(COUNT($H201:M201)&gt;=Input!$Y$7,0, -SUM(N189:N200))</f>
        <v>0</v>
      </c>
      <c r="O201" s="165">
        <f>IF(COUNT($H201:N201)&gt;=Input!$Y$7,0, -SUM(O189:O200))</f>
        <v>0</v>
      </c>
      <c r="P201" s="165">
        <f>IF(COUNT($H201:O201)&gt;=Input!$Y$7,0, -SUM(P189:P200))</f>
        <v>0</v>
      </c>
      <c r="Q201" s="165">
        <f>IF(COUNT($H201:P201)&gt;=Input!$Y$7,0, -SUM(Q189:Q200))</f>
        <v>0</v>
      </c>
      <c r="R201" s="165"/>
      <c r="S201" s="106"/>
      <c r="T201" s="106"/>
      <c r="U201" s="106"/>
      <c r="V201" s="106"/>
      <c r="W201" s="106"/>
      <c r="X201" s="106"/>
      <c r="Y201" s="106"/>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01"/>
      <c r="BJ201" s="201"/>
      <c r="BK201" s="201"/>
      <c r="BL201" s="201"/>
      <c r="BM201" s="201"/>
      <c r="BN201" s="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73">
        <f>Asset11</f>
        <v>0</v>
      </c>
      <c r="C202" s="31"/>
      <c r="D202" s="32" t="s">
        <v>43</v>
      </c>
      <c r="E202" s="31"/>
      <c r="F202" s="301"/>
      <c r="G202" s="301"/>
      <c r="H202" s="72">
        <f>IF(H$3&gt;A11taxremlife,A11taxvalue-SUM($F202:F202),IF(A11taxremlife="N/A","n/a",A11taxvalue/A11taxremlife))</f>
        <v>0</v>
      </c>
      <c r="I202" s="72">
        <f>IF(I$3&gt;A11taxremlife,A11taxvalue-SUM($F202:H202),IF(A11taxremlife="N/A","n/a",A11taxvalue/A11taxremlife))</f>
        <v>0</v>
      </c>
      <c r="J202" s="72">
        <f>IF(J$3&gt;A11taxremlife,A11taxvalue-SUM($F202:I202),IF(A11taxremlife="N/A","n/a",A11taxvalue/A11taxremlife))</f>
        <v>0</v>
      </c>
      <c r="K202" s="72">
        <f>IF(K$3&gt;A11taxremlife,A11taxvalue-SUM($F202:J202),IF(A11taxremlife="N/A","n/a",A11taxvalue/A11taxremlife))</f>
        <v>0</v>
      </c>
      <c r="L202" s="72">
        <f>IF(L$3&gt;A11taxremlife,A11taxvalue-SUM($F202:K202),IF(A11taxremlife="N/A","n/a",A11taxvalue/A11taxremlife))</f>
        <v>0</v>
      </c>
      <c r="M202" s="72">
        <f>IF(M$3&gt;A11taxremlife,A11taxvalue-SUM($F202:L202),IF(A11taxremlife="N/A","n/a",A11taxvalue/A11taxremlife))</f>
        <v>0</v>
      </c>
      <c r="N202" s="72">
        <f>IF(N$3&gt;A11taxremlife,A11taxvalue-SUM($F202:M202),IF(A11taxremlife="N/A","n/a",A11taxvalue/A11taxremlife))</f>
        <v>0</v>
      </c>
      <c r="O202" s="72">
        <f>IF(O$3&gt;A11taxremlife,A11taxvalue-SUM($F202:N202),IF(A11taxremlife="N/A","n/a",A11taxvalue/A11taxremlife))</f>
        <v>0</v>
      </c>
      <c r="P202" s="72">
        <f>IF(P$3&gt;A11taxremlife,A11taxvalue-SUM($F202:O202),IF(A11taxremlife="N/A","n/a",A11taxvalue/A11taxremlife))</f>
        <v>0</v>
      </c>
      <c r="Q202" s="72">
        <f>IF(Q$3&gt;A11taxremlife,A11taxvalue-SUM($F202:P202),IF(A11taxremlife="N/A","n/a",A11taxvalue/A11taxremlife))</f>
        <v>0</v>
      </c>
      <c r="R202" s="72"/>
      <c r="S202" s="107"/>
      <c r="T202" s="107"/>
      <c r="U202" s="107"/>
      <c r="V202" s="107"/>
      <c r="W202" s="107"/>
      <c r="X202" s="107"/>
      <c r="Y202" s="107"/>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01"/>
      <c r="BJ202" s="201"/>
      <c r="BK202" s="201"/>
      <c r="BL202" s="201"/>
      <c r="BM202" s="201"/>
      <c r="BN202" s="201"/>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536" t="s">
        <v>59</v>
      </c>
      <c r="E203" s="91"/>
      <c r="F203" s="27"/>
      <c r="G203" s="27"/>
      <c r="H203" s="107"/>
      <c r="I203" s="73"/>
      <c r="J203" s="73"/>
      <c r="K203" s="73"/>
      <c r="L203" s="73"/>
      <c r="M203" s="73"/>
      <c r="N203" s="73"/>
      <c r="O203" s="73"/>
      <c r="P203" s="73"/>
      <c r="Q203" s="73"/>
      <c r="R203" s="73"/>
      <c r="S203" s="107"/>
      <c r="T203" s="107"/>
      <c r="U203" s="107"/>
      <c r="V203" s="107"/>
      <c r="W203" s="107"/>
      <c r="X203" s="107"/>
      <c r="Y203" s="107"/>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01"/>
      <c r="BJ203" s="201"/>
      <c r="BK203" s="201"/>
      <c r="BL203" s="201"/>
      <c r="BM203" s="201"/>
      <c r="BN203" s="201"/>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537"/>
      <c r="E204" s="91">
        <v>1</v>
      </c>
      <c r="F204" s="27"/>
      <c r="G204" s="27"/>
      <c r="H204" s="149"/>
      <c r="I204" s="73">
        <f>IF(A11taxstdlife="n/a","n/a",IF(I$3&gt;(A11taxstdlife+$E204),(Input!$H$187-Input!$H$221)-SUM($H204:H204),(Input!$H$187-Input!$H$221)/A11taxstdlife))</f>
        <v>0</v>
      </c>
      <c r="J204" s="73">
        <f>IF(A11taxstdlife="n/a","n/a",IF(J$3&gt;(A11taxstdlife+$E204),(Input!$H$187-Input!$H$221)-SUM($H204:I204),(Input!$H$187-Input!$H$221)/A11taxstdlife))</f>
        <v>0</v>
      </c>
      <c r="K204" s="73">
        <f>IF(A11taxstdlife="n/a","n/a",IF(K$3&gt;(A11taxstdlife+$E204),(Input!$H$187-Input!$H$221)-SUM($H204:J204),(Input!$H$187-Input!$H$221)/A11taxstdlife))</f>
        <v>0</v>
      </c>
      <c r="L204" s="73">
        <f>IF(A11taxstdlife="n/a","n/a",IF(L$3&gt;(A11taxstdlife+$E204),(Input!$H$187-Input!$H$221)-SUM($H204:K204),(Input!$H$187-Input!$H$221)/A11taxstdlife))</f>
        <v>0</v>
      </c>
      <c r="M204" s="73">
        <f>IF(A11taxstdlife="n/a","n/a",IF(M$3&gt;(A11taxstdlife+$E204),(Input!$H$187-Input!$H$221)-SUM($H204:L204),(Input!$H$187-Input!$H$221)/A11taxstdlife))</f>
        <v>0</v>
      </c>
      <c r="N204" s="73">
        <f>IF(A11taxstdlife="n/a","n/a",IF(N$3&gt;(A11taxstdlife+$E204),(Input!$H$187-Input!$H$221)-SUM($H204:M204),(Input!$H$187-Input!$H$221)/A11taxstdlife))</f>
        <v>0</v>
      </c>
      <c r="O204" s="73">
        <f>IF(A11taxstdlife="n/a","n/a",IF(O$3&gt;(A11taxstdlife+$E204),(Input!$H$187-Input!$H$221)-SUM($H204:N204),(Input!$H$187-Input!$H$221)/A11taxstdlife))</f>
        <v>0</v>
      </c>
      <c r="P204" s="73">
        <f>IF(A11taxstdlife="n/a","n/a",IF(P$3&gt;(A11taxstdlife+$E204),(Input!$H$187-Input!$H$221)-SUM($H204:O204),(Input!$H$187-Input!$H$221)/A11taxstdlife))</f>
        <v>0</v>
      </c>
      <c r="Q204" s="73">
        <f>IF(A11taxstdlife="n/a","n/a",IF(Q$3&gt;(A11taxstdlife+$E204),(Input!$H$187-Input!$H$221)-SUM($H204:P204),(Input!$H$187-Input!$H$221)/A11taxstdlife))</f>
        <v>0</v>
      </c>
      <c r="R204" s="73"/>
      <c r="S204" s="107"/>
      <c r="T204" s="107"/>
      <c r="U204" s="107"/>
      <c r="V204" s="107"/>
      <c r="W204" s="107"/>
      <c r="X204" s="107"/>
      <c r="Y204" s="107"/>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01"/>
      <c r="BJ204" s="201"/>
      <c r="BK204" s="201"/>
      <c r="BL204" s="201"/>
      <c r="BM204" s="201"/>
      <c r="BN204" s="201"/>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537"/>
      <c r="E205" s="91">
        <v>2</v>
      </c>
      <c r="F205" s="27"/>
      <c r="G205" s="27"/>
      <c r="H205" s="150"/>
      <c r="I205" s="151"/>
      <c r="J205" s="73">
        <f>IF(A11taxstdlife="n/a","n/a",IF(J$3&gt;(A11taxstdlife+$E205),(Input!$I$187-Input!$I$221)-SUM($I205:I205),(Input!$I$187-Input!$I$221)/A11taxstdlife))</f>
        <v>0</v>
      </c>
      <c r="K205" s="73">
        <f>IF(A11taxstdlife="n/a","n/a",IF(K$3&gt;(A11taxstdlife+$E205),(Input!$I$187-Input!$I$221)-SUM($I205:J205),(Input!$I$187-Input!$I$221)/A11taxstdlife))</f>
        <v>0</v>
      </c>
      <c r="L205" s="73">
        <f>IF(A11taxstdlife="n/a","n/a",IF(L$3&gt;(A11taxstdlife+$E205),(Input!$I$187-Input!$I$221)-SUM($I205:K205),(Input!$I$187-Input!$I$221)/A11taxstdlife))</f>
        <v>0</v>
      </c>
      <c r="M205" s="73">
        <f>IF(A11taxstdlife="n/a","n/a",IF(M$3&gt;(A11taxstdlife+$E205),(Input!$I$187-Input!$I$221)-SUM($I205:L205),(Input!$I$187-Input!$I$221)/A11taxstdlife))</f>
        <v>0</v>
      </c>
      <c r="N205" s="73">
        <f>IF(A11taxstdlife="n/a","n/a",IF(N$3&gt;(A11taxstdlife+$E205),(Input!$I$187-Input!$I$221)-SUM($I205:M205),(Input!$I$187-Input!$I$221)/A11taxstdlife))</f>
        <v>0</v>
      </c>
      <c r="O205" s="73">
        <f>IF(A11taxstdlife="n/a","n/a",IF(O$3&gt;(A11taxstdlife+$E205),(Input!$I$187-Input!$I$221)-SUM($I205:N205),(Input!$I$187-Input!$I$221)/A11taxstdlife))</f>
        <v>0</v>
      </c>
      <c r="P205" s="73">
        <f>IF(A11taxstdlife="n/a","n/a",IF(P$3&gt;(A11taxstdlife+$E205),(Input!$I$187-Input!$I$221)-SUM($I205:O205),(Input!$I$187-Input!$I$221)/A11taxstdlife))</f>
        <v>0</v>
      </c>
      <c r="Q205" s="73">
        <f>IF(A11taxstdlife="n/a","n/a",IF(Q$3&gt;(A11taxstdlife+$E205),(Input!$I$187-Input!$I$221)-SUM($I205:P205),(Input!$I$187-Input!$I$221)/A11taxstdlife))</f>
        <v>0</v>
      </c>
      <c r="R205" s="73"/>
      <c r="S205" s="107"/>
      <c r="T205" s="107"/>
      <c r="U205" s="107"/>
      <c r="V205" s="107"/>
      <c r="W205" s="107"/>
      <c r="X205" s="107"/>
      <c r="Y205" s="107"/>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01"/>
      <c r="BJ205" s="201"/>
      <c r="BK205" s="201"/>
      <c r="BL205" s="201"/>
      <c r="BM205" s="201"/>
      <c r="BN205" s="201"/>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537"/>
      <c r="E206" s="91">
        <v>3</v>
      </c>
      <c r="F206" s="27"/>
      <c r="G206" s="27"/>
      <c r="H206" s="150"/>
      <c r="I206" s="152"/>
      <c r="J206" s="151"/>
      <c r="K206" s="73">
        <f>IF(A11taxstdlife="n/a","n/a",IF(K$3&gt;(A11taxstdlife+$E206),(Input!$J$187-Input!$J$221)-SUM($J206:J206),(Input!$J$187-Input!$J$221)/A11taxstdlife))</f>
        <v>0</v>
      </c>
      <c r="L206" s="73">
        <f>IF(A11taxstdlife="n/a","n/a",IF(L$3&gt;(A11taxstdlife+$E206),(Input!$J$187-Input!$J$221)-SUM($J206:K206),(Input!$J$187-Input!$J$221)/A11taxstdlife))</f>
        <v>0</v>
      </c>
      <c r="M206" s="73">
        <f>IF(A11taxstdlife="n/a","n/a",IF(M$3&gt;(A11taxstdlife+$E206),(Input!$J$187-Input!$J$221)-SUM($J206:L206),(Input!$J$187-Input!$J$221)/A11taxstdlife))</f>
        <v>0</v>
      </c>
      <c r="N206" s="73">
        <f>IF(A11taxstdlife="n/a","n/a",IF(N$3&gt;(A11taxstdlife+$E206),(Input!$J$187-Input!$J$221)-SUM($J206:M206),(Input!$J$187-Input!$J$221)/A11taxstdlife))</f>
        <v>0</v>
      </c>
      <c r="O206" s="73">
        <f>IF(A11taxstdlife="n/a","n/a",IF(O$3&gt;(A11taxstdlife+$E206),(Input!$J$187-Input!$J$221)-SUM($J206:N206),(Input!$J$187-Input!$J$221)/A11taxstdlife))</f>
        <v>0</v>
      </c>
      <c r="P206" s="73">
        <f>IF(A11taxstdlife="n/a","n/a",IF(P$3&gt;(A11taxstdlife+$E206),(Input!$J$187-Input!$J$221)-SUM($J206:O206),(Input!$J$187-Input!$J$221)/A11taxstdlife))</f>
        <v>0</v>
      </c>
      <c r="Q206" s="73">
        <f>IF(A11taxstdlife="n/a","n/a",IF(Q$3&gt;(A11taxstdlife+$E206),(Input!$J$187-Input!$J$221)-SUM($J206:P206),(Input!$J$187-Input!$J$221)/A11taxstdlife))</f>
        <v>0</v>
      </c>
      <c r="R206" s="73"/>
      <c r="S206" s="107"/>
      <c r="T206" s="107"/>
      <c r="U206" s="107"/>
      <c r="V206" s="107"/>
      <c r="W206" s="107"/>
      <c r="X206" s="107"/>
      <c r="Y206" s="107"/>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01"/>
      <c r="BJ206" s="201"/>
      <c r="BK206" s="201"/>
      <c r="BL206" s="201"/>
      <c r="BM206" s="201"/>
      <c r="BN206" s="201"/>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537"/>
      <c r="E207" s="91">
        <v>4</v>
      </c>
      <c r="F207" s="27"/>
      <c r="G207" s="27"/>
      <c r="H207" s="150"/>
      <c r="I207" s="152"/>
      <c r="J207" s="152"/>
      <c r="K207" s="151"/>
      <c r="L207" s="73">
        <f>IF(A11taxstdlife="n/a","n/a",IF(L$3&gt;(A11taxstdlife+$E207),(Input!$K$187-Input!$K$221)-SUM($K207:K207),(Input!$K$187-Input!$K$221)/A11taxstdlife))</f>
        <v>0</v>
      </c>
      <c r="M207" s="73">
        <f>IF(A11taxstdlife="n/a","n/a",IF(M$3&gt;(A11taxstdlife+$E207),(Input!$K$187-Input!$K$221)-SUM($K207:L207),(Input!$K$187-Input!$K$221)/A11taxstdlife))</f>
        <v>0</v>
      </c>
      <c r="N207" s="73">
        <f>IF(A11taxstdlife="n/a","n/a",IF(N$3&gt;(A11taxstdlife+$E207),(Input!$K$187-Input!$K$221)-SUM($K207:M207),(Input!$K$187-Input!$K$221)/A11taxstdlife))</f>
        <v>0</v>
      </c>
      <c r="O207" s="73">
        <f>IF(A11taxstdlife="n/a","n/a",IF(O$3&gt;(A11taxstdlife+$E207),(Input!$K$187-Input!$K$221)-SUM($K207:N207),(Input!$K$187-Input!$K$221)/A11taxstdlife))</f>
        <v>0</v>
      </c>
      <c r="P207" s="73">
        <f>IF(A11taxstdlife="n/a","n/a",IF(P$3&gt;(A11taxstdlife+$E207),(Input!$K$187-Input!$K$221)-SUM($K207:O207),(Input!$K$187-Input!$K$221)/A11taxstdlife))</f>
        <v>0</v>
      </c>
      <c r="Q207" s="73">
        <f>IF(A11taxstdlife="n/a","n/a",IF(Q$3&gt;(A11taxstdlife+$E207),(Input!$K$187-Input!$K$221)-SUM($K207:P207),(Input!$K$187-Input!$K$221)/A11taxstdlife))</f>
        <v>0</v>
      </c>
      <c r="R207" s="73"/>
      <c r="S207" s="107"/>
      <c r="T207" s="107"/>
      <c r="U207" s="107"/>
      <c r="V207" s="107"/>
      <c r="W207" s="107"/>
      <c r="X207" s="107"/>
      <c r="Y207" s="107"/>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01"/>
      <c r="BJ207" s="201"/>
      <c r="BK207" s="201"/>
      <c r="BL207" s="201"/>
      <c r="BM207" s="201"/>
      <c r="BN207" s="201"/>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537"/>
      <c r="E208" s="91">
        <v>5</v>
      </c>
      <c r="F208" s="27"/>
      <c r="G208" s="27"/>
      <c r="H208" s="150"/>
      <c r="I208" s="152"/>
      <c r="J208" s="152"/>
      <c r="K208" s="152"/>
      <c r="L208" s="151"/>
      <c r="M208" s="73">
        <f>IF(A11taxstdlife="n/a","n/a",IF(M$3&gt;(A11taxstdlife+$E208),(Input!$L$187-Input!$L$221)-SUM($L208:L208),(Input!$L$187-Input!$L$221)/A11taxstdlife))</f>
        <v>0</v>
      </c>
      <c r="N208" s="73">
        <f>IF(A11taxstdlife="n/a","n/a",IF(N$3&gt;(A11taxstdlife+$E208),(Input!$L$187-Input!$L$221)-SUM($L208:M208),(Input!$L$187-Input!$L$221)/A11taxstdlife))</f>
        <v>0</v>
      </c>
      <c r="O208" s="73">
        <f>IF(A11taxstdlife="n/a","n/a",IF(O$3&gt;(A11taxstdlife+$E208),(Input!$L$187-Input!$L$221)-SUM($L208:N208),(Input!$L$187-Input!$L$221)/A11taxstdlife))</f>
        <v>0</v>
      </c>
      <c r="P208" s="73">
        <f>IF(A11taxstdlife="n/a","n/a",IF(P$3&gt;(A11taxstdlife+$E208),(Input!$L$187-Input!$L$221)-SUM($L208:O208),(Input!$L$187-Input!$L$221)/A11taxstdlife))</f>
        <v>0</v>
      </c>
      <c r="Q208" s="73">
        <f>IF(A11taxstdlife="n/a","n/a",IF(Q$3&gt;(A11taxstdlife+$E208),(Input!$L$187-Input!$L$221)-SUM($L208:P208),(Input!$L$187-Input!$L$221)/A11taxstdlife))</f>
        <v>0</v>
      </c>
      <c r="R208" s="73"/>
      <c r="S208" s="107"/>
      <c r="T208" s="107"/>
      <c r="U208" s="107"/>
      <c r="V208" s="107"/>
      <c r="W208" s="107"/>
      <c r="X208" s="107"/>
      <c r="Y208" s="107"/>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01"/>
      <c r="BJ208" s="201"/>
      <c r="BK208" s="201"/>
      <c r="BL208" s="201"/>
      <c r="BM208" s="201"/>
      <c r="BN208" s="201"/>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537"/>
      <c r="E209" s="91">
        <v>6</v>
      </c>
      <c r="F209" s="27"/>
      <c r="G209" s="27"/>
      <c r="H209" s="150"/>
      <c r="I209" s="152"/>
      <c r="J209" s="152"/>
      <c r="K209" s="152"/>
      <c r="L209" s="152"/>
      <c r="M209" s="151"/>
      <c r="N209" s="73">
        <f>IF(A11taxstdlife="n/a","n/a",IF(N$3&gt;(A11taxstdlife+$E209),(Input!$M$187-Input!$M$221)-SUM($M209:M209),(Input!$M$187-Input!$M$221)/A11taxstdlife))</f>
        <v>0</v>
      </c>
      <c r="O209" s="73">
        <f>IF(A11taxstdlife="n/a","n/a",IF(O$3&gt;(A11taxstdlife+$E209),(Input!$M$187-Input!$M$221)-SUM($M209:N209),(Input!$M$187-Input!$M$221)/A11taxstdlife))</f>
        <v>0</v>
      </c>
      <c r="P209" s="73">
        <f>IF(A11taxstdlife="n/a","n/a",IF(P$3&gt;(A11taxstdlife+$E209),(Input!$M$187-Input!$M$221)-SUM($M209:O209),(Input!$M$187-Input!$M$221)/A11taxstdlife))</f>
        <v>0</v>
      </c>
      <c r="Q209" s="73">
        <f>IF(A11taxstdlife="n/a","n/a",IF(Q$3&gt;(A11taxstdlife+$E209),(Input!$M$187-Input!$M$221)-SUM($M209:P209),(Input!$M$187-Input!$M$221)/A11taxstdlife))</f>
        <v>0</v>
      </c>
      <c r="R209" s="73"/>
      <c r="S209" s="107"/>
      <c r="T209" s="107"/>
      <c r="U209" s="107"/>
      <c r="V209" s="107"/>
      <c r="W209" s="107"/>
      <c r="X209" s="107"/>
      <c r="Y209" s="107"/>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01"/>
      <c r="BJ209" s="201"/>
      <c r="BK209" s="201"/>
      <c r="BL209" s="201"/>
      <c r="BM209" s="201"/>
      <c r="BN209" s="201"/>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537"/>
      <c r="E210" s="91">
        <v>7</v>
      </c>
      <c r="F210" s="27"/>
      <c r="G210" s="27"/>
      <c r="H210" s="150"/>
      <c r="I210" s="152"/>
      <c r="J210" s="152"/>
      <c r="K210" s="152"/>
      <c r="L210" s="152"/>
      <c r="M210" s="152"/>
      <c r="N210" s="151"/>
      <c r="O210" s="73">
        <f>IF(A11taxstdlife="n/a","n/a",IF(O$3&gt;(A11taxstdlife+$E210),(Input!$N$187-Input!$N$221)-SUM($N210:N210),(Input!$N$187-Input!$N$221)/A11taxstdlife))</f>
        <v>0</v>
      </c>
      <c r="P210" s="73">
        <f>IF(A11taxstdlife="n/a","n/a",IF(P$3&gt;(A11taxstdlife+$E210),(Input!$N$187-Input!$N$221)-SUM($N210:O210),(Input!$N$187-Input!$N$221)/A11taxstdlife))</f>
        <v>0</v>
      </c>
      <c r="Q210" s="73">
        <f>IF(A11taxstdlife="n/a","n/a",IF(Q$3&gt;(A11taxstdlife+$E210),(Input!$N$187-Input!$N$221)-SUM($N210:P210),(Input!$N$187-Input!$N$221)/A11taxstdlife))</f>
        <v>0</v>
      </c>
      <c r="R210" s="73"/>
      <c r="S210" s="107"/>
      <c r="T210" s="107"/>
      <c r="U210" s="107"/>
      <c r="V210" s="107"/>
      <c r="W210" s="107"/>
      <c r="X210" s="107"/>
      <c r="Y210" s="107"/>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01"/>
      <c r="BJ210" s="201"/>
      <c r="BK210" s="201"/>
      <c r="BL210" s="201"/>
      <c r="BM210" s="201"/>
      <c r="BN210" s="201"/>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537"/>
      <c r="E211" s="91">
        <v>8</v>
      </c>
      <c r="F211" s="27"/>
      <c r="G211" s="27"/>
      <c r="H211" s="150"/>
      <c r="I211" s="152"/>
      <c r="J211" s="152"/>
      <c r="K211" s="152"/>
      <c r="L211" s="152"/>
      <c r="M211" s="152"/>
      <c r="N211" s="152"/>
      <c r="O211" s="151"/>
      <c r="P211" s="73">
        <f>IF(A11taxstdlife="n/a","n/a",IF(P$3&gt;(A11taxstdlife+$E211),(Input!$O$187-Input!$O$221)-SUM($O211:O211),(Input!$O$187-Input!$O$221)/A11taxstdlife))</f>
        <v>0</v>
      </c>
      <c r="Q211" s="73">
        <f>IF(A11taxstdlife="n/a","n/a",IF(Q$3&gt;(A11taxstdlife+$E211),(Input!$O$187-Input!$O$221)-SUM($O211:P211),(Input!$O$187-Input!$O$221)/A11taxstdlife))</f>
        <v>0</v>
      </c>
      <c r="R211" s="73"/>
      <c r="S211" s="107"/>
      <c r="T211" s="107"/>
      <c r="U211" s="107"/>
      <c r="V211" s="107"/>
      <c r="W211" s="107"/>
      <c r="X211" s="107"/>
      <c r="Y211" s="107"/>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01"/>
      <c r="BJ211" s="201"/>
      <c r="BK211" s="201"/>
      <c r="BL211" s="201"/>
      <c r="BM211" s="201"/>
      <c r="BN211" s="20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537"/>
      <c r="E212" s="91">
        <v>9</v>
      </c>
      <c r="F212" s="27"/>
      <c r="G212" s="27"/>
      <c r="H212" s="150"/>
      <c r="I212" s="152"/>
      <c r="J212" s="152"/>
      <c r="K212" s="152"/>
      <c r="L212" s="152"/>
      <c r="M212" s="152"/>
      <c r="N212" s="152"/>
      <c r="O212" s="152"/>
      <c r="P212" s="151"/>
      <c r="Q212" s="73">
        <f>IF(A11taxstdlife="n/a","n/a",IF(Q$3&gt;(A11taxstdlife+$E212),(Input!$P$187-Input!$P$221)-SUM($P212:P212),(Input!$P$187-Input!$P$221)/A11taxstdlife))</f>
        <v>0</v>
      </c>
      <c r="R212" s="73"/>
      <c r="S212" s="107"/>
      <c r="T212" s="107"/>
      <c r="U212" s="107"/>
      <c r="V212" s="107"/>
      <c r="W212" s="107"/>
      <c r="X212" s="107"/>
      <c r="Y212" s="107"/>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01"/>
      <c r="BJ212" s="201"/>
      <c r="BK212" s="201"/>
      <c r="BL212" s="201"/>
      <c r="BM212" s="201"/>
      <c r="BN212" s="201"/>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537"/>
      <c r="E213" s="92">
        <v>10</v>
      </c>
      <c r="F213" s="27"/>
      <c r="G213" s="27"/>
      <c r="H213" s="150"/>
      <c r="I213" s="152"/>
      <c r="J213" s="152"/>
      <c r="K213" s="152"/>
      <c r="L213" s="152"/>
      <c r="M213" s="152"/>
      <c r="N213" s="152"/>
      <c r="O213" s="152"/>
      <c r="P213" s="152"/>
      <c r="Q213" s="151"/>
      <c r="R213" s="73"/>
      <c r="S213" s="107"/>
      <c r="T213" s="107"/>
      <c r="U213" s="107"/>
      <c r="V213" s="107"/>
      <c r="W213" s="107"/>
      <c r="X213" s="107"/>
      <c r="Y213" s="107"/>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01"/>
      <c r="BJ213" s="201"/>
      <c r="BK213" s="201"/>
      <c r="BL213" s="201"/>
      <c r="BM213" s="201"/>
      <c r="BN213" s="201"/>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2">
        <f>Asset11</f>
        <v>0</v>
      </c>
      <c r="D214" s="9"/>
      <c r="E214" s="9"/>
      <c r="F214" s="23"/>
      <c r="G214" s="23"/>
      <c r="H214" s="298">
        <f>-SUM(H202:H213)</f>
        <v>0</v>
      </c>
      <c r="I214" s="165">
        <f>-SUM(I202:I213)</f>
        <v>0</v>
      </c>
      <c r="J214" s="165">
        <f>-SUM(J202:J213)</f>
        <v>0</v>
      </c>
      <c r="K214" s="165">
        <f>-SUM(K202:K213)</f>
        <v>0</v>
      </c>
      <c r="L214" s="165">
        <f>-SUM(L202:L213)</f>
        <v>0</v>
      </c>
      <c r="M214" s="165">
        <f>IF(COUNT($H214:L214)&gt;=Input!$Y$7,0, -SUM(M202:M213))</f>
        <v>0</v>
      </c>
      <c r="N214" s="165">
        <f>IF(COUNT($H214:M214)&gt;=Input!$Y$7,0, -SUM(N202:N213))</f>
        <v>0</v>
      </c>
      <c r="O214" s="165">
        <f>IF(COUNT($H214:N214)&gt;=Input!$Y$7,0, -SUM(O202:O213))</f>
        <v>0</v>
      </c>
      <c r="P214" s="165">
        <f>IF(COUNT($H214:O214)&gt;=Input!$Y$7,0, -SUM(P202:P213))</f>
        <v>0</v>
      </c>
      <c r="Q214" s="165">
        <f>IF(COUNT($H214:P214)&gt;=Input!$Y$7,0, -SUM(Q202:Q213))</f>
        <v>0</v>
      </c>
      <c r="R214" s="165"/>
      <c r="S214" s="106"/>
      <c r="T214" s="106"/>
      <c r="U214" s="106"/>
      <c r="V214" s="106"/>
      <c r="W214" s="106"/>
      <c r="X214" s="106"/>
      <c r="Y214" s="106"/>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01"/>
      <c r="BJ214" s="201"/>
      <c r="BK214" s="201"/>
      <c r="BL214" s="201"/>
      <c r="BM214" s="201"/>
      <c r="BN214" s="201"/>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73">
        <f>Asset12</f>
        <v>0</v>
      </c>
      <c r="C215" s="31"/>
      <c r="D215" s="32" t="s">
        <v>43</v>
      </c>
      <c r="E215" s="31"/>
      <c r="F215" s="301"/>
      <c r="G215" s="301"/>
      <c r="H215" s="72">
        <f>IF(H$3&gt;A12taxremlife,A12taxvalue-SUM($F215:F215),IF(A12taxremlife="N/A","n/a",A12taxvalue/A12taxremlife))</f>
        <v>0</v>
      </c>
      <c r="I215" s="72">
        <f>IF(I$3&gt;A12taxremlife,A12taxvalue-SUM($F215:H215),IF(A12taxremlife="N/A","n/a",A12taxvalue/A12taxremlife))</f>
        <v>0</v>
      </c>
      <c r="J215" s="72">
        <f>IF(J$3&gt;A12taxremlife,A12taxvalue-SUM($F215:I215),IF(A12taxremlife="N/A","n/a",A12taxvalue/A12taxremlife))</f>
        <v>0</v>
      </c>
      <c r="K215" s="72">
        <f>IF(K$3&gt;A12taxremlife,A12taxvalue-SUM($F215:J215),IF(A12taxremlife="N/A","n/a",A12taxvalue/A12taxremlife))</f>
        <v>0</v>
      </c>
      <c r="L215" s="72">
        <f>IF(L$3&gt;A12taxremlife,A12taxvalue-SUM($F215:K215),IF(A12taxremlife="N/A","n/a",A12taxvalue/A12taxremlife))</f>
        <v>0</v>
      </c>
      <c r="M215" s="72">
        <f>IF(M$3&gt;A12taxremlife,A12taxvalue-SUM($F215:L215),IF(A12taxremlife="N/A","n/a",A12taxvalue/A12taxremlife))</f>
        <v>0</v>
      </c>
      <c r="N215" s="72">
        <f>IF(N$3&gt;A12taxremlife,A12taxvalue-SUM($F215:M215),IF(A12taxremlife="N/A","n/a",A12taxvalue/A12taxremlife))</f>
        <v>0</v>
      </c>
      <c r="O215" s="72">
        <f>IF(O$3&gt;A12taxremlife,A12taxvalue-SUM($F215:N215),IF(A12taxremlife="N/A","n/a",A12taxvalue/A12taxremlife))</f>
        <v>0</v>
      </c>
      <c r="P215" s="72">
        <f>IF(P$3&gt;A12taxremlife,A12taxvalue-SUM($F215:O215),IF(A12taxremlife="N/A","n/a",A12taxvalue/A12taxremlife))</f>
        <v>0</v>
      </c>
      <c r="Q215" s="72">
        <f>IF(Q$3&gt;A12taxremlife,A12taxvalue-SUM($F215:P215),IF(A12taxremlife="N/A","n/a",A12taxvalue/A12taxremlife))</f>
        <v>0</v>
      </c>
      <c r="R215" s="72"/>
      <c r="S215" s="107"/>
      <c r="T215" s="107"/>
      <c r="U215" s="107"/>
      <c r="V215" s="107"/>
      <c r="W215" s="107"/>
      <c r="X215" s="107"/>
      <c r="Y215" s="107"/>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01"/>
      <c r="BJ215" s="201"/>
      <c r="BK215" s="201"/>
      <c r="BL215" s="201"/>
      <c r="BM215" s="201"/>
      <c r="BN215" s="201"/>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536" t="s">
        <v>59</v>
      </c>
      <c r="E216" s="91"/>
      <c r="F216" s="27"/>
      <c r="G216" s="27"/>
      <c r="H216" s="107"/>
      <c r="I216" s="73"/>
      <c r="J216" s="73"/>
      <c r="K216" s="73"/>
      <c r="L216" s="73"/>
      <c r="M216" s="73"/>
      <c r="N216" s="73"/>
      <c r="O216" s="73"/>
      <c r="P216" s="73"/>
      <c r="Q216" s="73"/>
      <c r="R216" s="73"/>
      <c r="S216" s="107"/>
      <c r="T216" s="107"/>
      <c r="U216" s="107"/>
      <c r="V216" s="107"/>
      <c r="W216" s="107"/>
      <c r="X216" s="107"/>
      <c r="Y216" s="107"/>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01"/>
      <c r="BJ216" s="201"/>
      <c r="BK216" s="201"/>
      <c r="BL216" s="201"/>
      <c r="BM216" s="201"/>
      <c r="BN216" s="201"/>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537"/>
      <c r="E217" s="91">
        <v>1</v>
      </c>
      <c r="F217" s="27"/>
      <c r="G217" s="27"/>
      <c r="H217" s="149"/>
      <c r="I217" s="73">
        <f>IF(A12taxstdlife="n/a","n/a",IF(I$3&gt;(A12taxstdlife+$E217),(Input!$H$188-Input!$H$222)-SUM($H217:H217),(Input!$H$188-Input!$H$222)/A12taxstdlife))</f>
        <v>0</v>
      </c>
      <c r="J217" s="73">
        <f>IF(A12taxstdlife="n/a","n/a",IF(J$3&gt;(A12taxstdlife+$E217),(Input!$H$188-Input!$H$222)-SUM($H217:I217),(Input!$H$188-Input!$H$222)/A12taxstdlife))</f>
        <v>0</v>
      </c>
      <c r="K217" s="73">
        <f>IF(A12taxstdlife="n/a","n/a",IF(K$3&gt;(A12taxstdlife+$E217),(Input!$H$188-Input!$H$222)-SUM($H217:J217),(Input!$H$188-Input!$H$222)/A12taxstdlife))</f>
        <v>0</v>
      </c>
      <c r="L217" s="73">
        <f>IF(A12taxstdlife="n/a","n/a",IF(L$3&gt;(A12taxstdlife+$E217),(Input!$H$188-Input!$H$222)-SUM($H217:K217),(Input!$H$188-Input!$H$222)/A12taxstdlife))</f>
        <v>0</v>
      </c>
      <c r="M217" s="73">
        <f>IF(A12taxstdlife="n/a","n/a",IF(M$3&gt;(A12taxstdlife+$E217),(Input!$H$188-Input!$H$222)-SUM($H217:L217),(Input!$H$188-Input!$H$222)/A12taxstdlife))</f>
        <v>0</v>
      </c>
      <c r="N217" s="73">
        <f>IF(A12taxstdlife="n/a","n/a",IF(N$3&gt;(A12taxstdlife+$E217),(Input!$H$188-Input!$H$222)-SUM($H217:M217),(Input!$H$188-Input!$H$222)/A12taxstdlife))</f>
        <v>0</v>
      </c>
      <c r="O217" s="73">
        <f>IF(A12taxstdlife="n/a","n/a",IF(O$3&gt;(A12taxstdlife+$E217),(Input!$H$188-Input!$H$222)-SUM($H217:N217),(Input!$H$188-Input!$H$222)/A12taxstdlife))</f>
        <v>0</v>
      </c>
      <c r="P217" s="73">
        <f>IF(A12taxstdlife="n/a","n/a",IF(P$3&gt;(A12taxstdlife+$E217),(Input!$H$188-Input!$H$222)-SUM($H217:O217),(Input!$H$188-Input!$H$222)/A12taxstdlife))</f>
        <v>0</v>
      </c>
      <c r="Q217" s="73">
        <f>IF(A12taxstdlife="n/a","n/a",IF(Q$3&gt;(A12taxstdlife+$E217),(Input!$H$188-Input!$H$222)-SUM($H217:P217),(Input!$H$188-Input!$H$222)/A12taxstdlife))</f>
        <v>0</v>
      </c>
      <c r="R217" s="73"/>
      <c r="S217" s="107"/>
      <c r="T217" s="107"/>
      <c r="U217" s="107"/>
      <c r="V217" s="107"/>
      <c r="W217" s="107"/>
      <c r="X217" s="107"/>
      <c r="Y217" s="107"/>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01"/>
      <c r="BJ217" s="201"/>
      <c r="BK217" s="201"/>
      <c r="BL217" s="201"/>
      <c r="BM217" s="201"/>
      <c r="BN217" s="201"/>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537"/>
      <c r="E218" s="91">
        <v>2</v>
      </c>
      <c r="F218" s="27"/>
      <c r="G218" s="27"/>
      <c r="H218" s="150"/>
      <c r="I218" s="151"/>
      <c r="J218" s="73">
        <f>IF(A12taxstdlife="n/a","n/a",IF(J$3&gt;(A12taxstdlife+$E218),(Input!$I$188-Input!$I$222)-SUM($I218:I218),(Input!$I$188-Input!$I$222)/A12taxstdlife))</f>
        <v>0</v>
      </c>
      <c r="K218" s="73">
        <f>IF(A12taxstdlife="n/a","n/a",IF(K$3&gt;(A12taxstdlife+$E218),(Input!$I$188-Input!$I$222)-SUM($I218:J218),(Input!$I$188-Input!$I$222)/A12taxstdlife))</f>
        <v>0</v>
      </c>
      <c r="L218" s="73">
        <f>IF(A12taxstdlife="n/a","n/a",IF(L$3&gt;(A12taxstdlife+$E218),(Input!$I$188-Input!$I$222)-SUM($I218:K218),(Input!$I$188-Input!$I$222)/A12taxstdlife))</f>
        <v>0</v>
      </c>
      <c r="M218" s="73">
        <f>IF(A12taxstdlife="n/a","n/a",IF(M$3&gt;(A12taxstdlife+$E218),(Input!$I$188-Input!$I$222)-SUM($I218:L218),(Input!$I$188-Input!$I$222)/A12taxstdlife))</f>
        <v>0</v>
      </c>
      <c r="N218" s="73">
        <f>IF(A12taxstdlife="n/a","n/a",IF(N$3&gt;(A12taxstdlife+$E218),(Input!$I$188-Input!$I$222)-SUM($I218:M218),(Input!$I$188-Input!$I$222)/A12taxstdlife))</f>
        <v>0</v>
      </c>
      <c r="O218" s="73">
        <f>IF(A12taxstdlife="n/a","n/a",IF(O$3&gt;(A12taxstdlife+$E218),(Input!$I$188-Input!$I$222)-SUM($I218:N218),(Input!$I$188-Input!$I$222)/A12taxstdlife))</f>
        <v>0</v>
      </c>
      <c r="P218" s="73">
        <f>IF(A12taxstdlife="n/a","n/a",IF(P$3&gt;(A12taxstdlife+$E218),(Input!$I$188-Input!$I$222)-SUM($I218:O218),(Input!$I$188-Input!$I$222)/A12taxstdlife))</f>
        <v>0</v>
      </c>
      <c r="Q218" s="73">
        <f>IF(A12taxstdlife="n/a","n/a",IF(Q$3&gt;(A12taxstdlife+$E218),(Input!$I$188-Input!$I$222)-SUM($I218:P218),(Input!$I$188-Input!$I$222)/A12taxstdlife))</f>
        <v>0</v>
      </c>
      <c r="R218" s="73"/>
      <c r="S218" s="107"/>
      <c r="T218" s="107"/>
      <c r="U218" s="107"/>
      <c r="V218" s="107"/>
      <c r="W218" s="107"/>
      <c r="X218" s="107"/>
      <c r="Y218" s="107"/>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01"/>
      <c r="BJ218" s="201"/>
      <c r="BK218" s="201"/>
      <c r="BL218" s="201"/>
      <c r="BM218" s="201"/>
      <c r="BN218" s="201"/>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537"/>
      <c r="E219" s="91">
        <v>3</v>
      </c>
      <c r="F219" s="27"/>
      <c r="G219" s="27"/>
      <c r="H219" s="150"/>
      <c r="I219" s="152"/>
      <c r="J219" s="151"/>
      <c r="K219" s="73">
        <f>IF(A12taxstdlife="n/a","n/a",IF(K$3&gt;(A12taxstdlife+$E219),(Input!$J$188-Input!$J$222)-SUM($J219:J219),(Input!$J$188-Input!$J$222)/A12taxstdlife))</f>
        <v>0</v>
      </c>
      <c r="L219" s="73">
        <f>IF(A12taxstdlife="n/a","n/a",IF(L$3&gt;(A12taxstdlife+$E219),(Input!$J$188-Input!$J$222)-SUM($J219:K219),(Input!$J$188-Input!$J$222)/A12taxstdlife))</f>
        <v>0</v>
      </c>
      <c r="M219" s="73">
        <f>IF(A12taxstdlife="n/a","n/a",IF(M$3&gt;(A12taxstdlife+$E219),(Input!$J$188-Input!$J$222)-SUM($J219:L219),(Input!$J$188-Input!$J$222)/A12taxstdlife))</f>
        <v>0</v>
      </c>
      <c r="N219" s="73">
        <f>IF(A12taxstdlife="n/a","n/a",IF(N$3&gt;(A12taxstdlife+$E219),(Input!$J$188-Input!$J$222)-SUM($J219:M219),(Input!$J$188-Input!$J$222)/A12taxstdlife))</f>
        <v>0</v>
      </c>
      <c r="O219" s="73">
        <f>IF(A12taxstdlife="n/a","n/a",IF(O$3&gt;(A12taxstdlife+$E219),(Input!$J$188-Input!$J$222)-SUM($J219:N219),(Input!$J$188-Input!$J$222)/A12taxstdlife))</f>
        <v>0</v>
      </c>
      <c r="P219" s="73">
        <f>IF(A12taxstdlife="n/a","n/a",IF(P$3&gt;(A12taxstdlife+$E219),(Input!$J$188-Input!$J$222)-SUM($J219:O219),(Input!$J$188-Input!$J$222)/A12taxstdlife))</f>
        <v>0</v>
      </c>
      <c r="Q219" s="73">
        <f>IF(A12taxstdlife="n/a","n/a",IF(Q$3&gt;(A12taxstdlife+$E219),(Input!$J$188-Input!$J$222)-SUM($J219:P219),(Input!$J$188-Input!$J$222)/A12taxstdlife))</f>
        <v>0</v>
      </c>
      <c r="R219" s="73"/>
      <c r="S219" s="107"/>
      <c r="T219" s="107"/>
      <c r="U219" s="107"/>
      <c r="V219" s="107"/>
      <c r="W219" s="107"/>
      <c r="X219" s="107"/>
      <c r="Y219" s="107"/>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01"/>
      <c r="BJ219" s="201"/>
      <c r="BK219" s="201"/>
      <c r="BL219" s="201"/>
      <c r="BM219" s="201"/>
      <c r="BN219" s="201"/>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537"/>
      <c r="E220" s="91">
        <v>4</v>
      </c>
      <c r="F220" s="27"/>
      <c r="G220" s="27"/>
      <c r="H220" s="150"/>
      <c r="I220" s="152"/>
      <c r="J220" s="152"/>
      <c r="K220" s="151"/>
      <c r="L220" s="73">
        <f>IF(A12taxstdlife="n/a","n/a",IF(L$3&gt;(A12taxstdlife+$E220),(Input!$K$188-Input!$K$222)-SUM($K220:K220),(Input!$K$188-Input!$K$222)/A12taxstdlife))</f>
        <v>0</v>
      </c>
      <c r="M220" s="73">
        <f>IF(A12taxstdlife="n/a","n/a",IF(M$3&gt;(A12taxstdlife+$E220),(Input!$K$188-Input!$K$222)-SUM($K220:L220),(Input!$K$188-Input!$K$222)/A12taxstdlife))</f>
        <v>0</v>
      </c>
      <c r="N220" s="73">
        <f>IF(A12taxstdlife="n/a","n/a",IF(N$3&gt;(A12taxstdlife+$E220),(Input!$K$188-Input!$K$222)-SUM($K220:M220),(Input!$K$188-Input!$K$222)/A12taxstdlife))</f>
        <v>0</v>
      </c>
      <c r="O220" s="73">
        <f>IF(A12taxstdlife="n/a","n/a",IF(O$3&gt;(A12taxstdlife+$E220),(Input!$K$188-Input!$K$222)-SUM($K220:N220),(Input!$K$188-Input!$K$222)/A12taxstdlife))</f>
        <v>0</v>
      </c>
      <c r="P220" s="73">
        <f>IF(A12taxstdlife="n/a","n/a",IF(P$3&gt;(A12taxstdlife+$E220),(Input!$K$188-Input!$K$222)-SUM($K220:O220),(Input!$K$188-Input!$K$222)/A12taxstdlife))</f>
        <v>0</v>
      </c>
      <c r="Q220" s="73">
        <f>IF(A12taxstdlife="n/a","n/a",IF(Q$3&gt;(A12taxstdlife+$E220),(Input!$K$188-Input!$K$222)-SUM($K220:P220),(Input!$K$188-Input!$K$222)/A12taxstdlife))</f>
        <v>0</v>
      </c>
      <c r="R220" s="73"/>
      <c r="S220" s="107"/>
      <c r="T220" s="107"/>
      <c r="U220" s="107"/>
      <c r="V220" s="107"/>
      <c r="W220" s="107"/>
      <c r="X220" s="107"/>
      <c r="Y220" s="107"/>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01"/>
      <c r="BJ220" s="201"/>
      <c r="BK220" s="201"/>
      <c r="BL220" s="201"/>
      <c r="BM220" s="201"/>
      <c r="BN220" s="201"/>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537"/>
      <c r="E221" s="91">
        <v>5</v>
      </c>
      <c r="F221" s="27"/>
      <c r="G221" s="27"/>
      <c r="H221" s="150"/>
      <c r="I221" s="152"/>
      <c r="J221" s="152"/>
      <c r="K221" s="152"/>
      <c r="L221" s="151"/>
      <c r="M221" s="73">
        <f>IF(A12taxstdlife="n/a","n/a",IF(M$3&gt;(A12taxstdlife+$E221),(Input!$L$188-Input!$L$222)-SUM($L221:L221),(Input!$L$188-Input!$L$222)/A12taxstdlife))</f>
        <v>0</v>
      </c>
      <c r="N221" s="73">
        <f>IF(A12taxstdlife="n/a","n/a",IF(N$3&gt;(A12taxstdlife+$E221),(Input!$L$188-Input!$L$222)-SUM($L221:M221),(Input!$L$188-Input!$L$222)/A12taxstdlife))</f>
        <v>0</v>
      </c>
      <c r="O221" s="73">
        <f>IF(A12taxstdlife="n/a","n/a",IF(O$3&gt;(A12taxstdlife+$E221),(Input!$L$188-Input!$L$222)-SUM($L221:N221),(Input!$L$188-Input!$L$222)/A12taxstdlife))</f>
        <v>0</v>
      </c>
      <c r="P221" s="73">
        <f>IF(A12taxstdlife="n/a","n/a",IF(P$3&gt;(A12taxstdlife+$E221),(Input!$L$188-Input!$L$222)-SUM($L221:O221),(Input!$L$188-Input!$L$222)/A12taxstdlife))</f>
        <v>0</v>
      </c>
      <c r="Q221" s="73">
        <f>IF(A12taxstdlife="n/a","n/a",IF(Q$3&gt;(A12taxstdlife+$E221),(Input!$L$188-Input!$L$222)-SUM($L221:P221),(Input!$L$188-Input!$L$222)/A12taxstdlife))</f>
        <v>0</v>
      </c>
      <c r="R221" s="73"/>
      <c r="S221" s="107"/>
      <c r="T221" s="107"/>
      <c r="U221" s="107"/>
      <c r="V221" s="107"/>
      <c r="W221" s="107"/>
      <c r="X221" s="107"/>
      <c r="Y221" s="107"/>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01"/>
      <c r="BJ221" s="201"/>
      <c r="BK221" s="201"/>
      <c r="BL221" s="201"/>
      <c r="BM221" s="201"/>
      <c r="BN221" s="20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537"/>
      <c r="E222" s="91">
        <v>6</v>
      </c>
      <c r="F222" s="27"/>
      <c r="G222" s="27"/>
      <c r="H222" s="150"/>
      <c r="I222" s="152"/>
      <c r="J222" s="152"/>
      <c r="K222" s="152"/>
      <c r="L222" s="152"/>
      <c r="M222" s="151"/>
      <c r="N222" s="73">
        <f>IF(A12taxstdlife="n/a","n/a",IF(N$3&gt;(A12taxstdlife+$E222),(Input!$M$188-Input!$M$222)-SUM($M222:M222),(Input!$M$188-Input!$M$222)/A12taxstdlife))</f>
        <v>0</v>
      </c>
      <c r="O222" s="73">
        <f>IF(A12taxstdlife="n/a","n/a",IF(O$3&gt;(A12taxstdlife+$E222),(Input!$M$188-Input!$M$222)-SUM($M222:N222),(Input!$M$188-Input!$M$222)/A12taxstdlife))</f>
        <v>0</v>
      </c>
      <c r="P222" s="73">
        <f>IF(A12taxstdlife="n/a","n/a",IF(P$3&gt;(A12taxstdlife+$E222),(Input!$M$188-Input!$M$222)-SUM($M222:O222),(Input!$M$188-Input!$M$222)/A12taxstdlife))</f>
        <v>0</v>
      </c>
      <c r="Q222" s="73">
        <f>IF(A12taxstdlife="n/a","n/a",IF(Q$3&gt;(A12taxstdlife+$E222),(Input!$M$188-Input!$M$222)-SUM($M222:P222),(Input!$M$188-Input!$M$222)/A12taxstdlife))</f>
        <v>0</v>
      </c>
      <c r="R222" s="73"/>
      <c r="S222" s="107"/>
      <c r="T222" s="107"/>
      <c r="U222" s="107"/>
      <c r="V222" s="107"/>
      <c r="W222" s="107"/>
      <c r="X222" s="107"/>
      <c r="Y222" s="107"/>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01"/>
      <c r="BJ222" s="201"/>
      <c r="BK222" s="201"/>
      <c r="BL222" s="201"/>
      <c r="BM222" s="201"/>
      <c r="BN222" s="201"/>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537"/>
      <c r="E223" s="91">
        <v>7</v>
      </c>
      <c r="F223" s="27"/>
      <c r="G223" s="27"/>
      <c r="H223" s="150"/>
      <c r="I223" s="152"/>
      <c r="J223" s="152"/>
      <c r="K223" s="152"/>
      <c r="L223" s="152"/>
      <c r="M223" s="152"/>
      <c r="N223" s="151"/>
      <c r="O223" s="73">
        <f>IF(A12taxstdlife="n/a","n/a",IF(O$3&gt;(A12taxstdlife+$E223),(Input!$N$188-Input!$N$222)-SUM($N223:N223),(Input!$N$188-Input!$N$222)/A12taxstdlife))</f>
        <v>0</v>
      </c>
      <c r="P223" s="73">
        <f>IF(A12taxstdlife="n/a","n/a",IF(P$3&gt;(A12taxstdlife+$E223),(Input!$N$188-Input!$N$222)-SUM($N223:O223),(Input!$N$188-Input!$N$222)/A12taxstdlife))</f>
        <v>0</v>
      </c>
      <c r="Q223" s="73">
        <f>IF(A12taxstdlife="n/a","n/a",IF(Q$3&gt;(A12taxstdlife+$E223),(Input!$N$188-Input!$N$222)-SUM($N223:P223),(Input!$N$188-Input!$N$222)/A12taxstdlife))</f>
        <v>0</v>
      </c>
      <c r="R223" s="73"/>
      <c r="S223" s="107"/>
      <c r="T223" s="107"/>
      <c r="U223" s="107"/>
      <c r="V223" s="107"/>
      <c r="W223" s="107"/>
      <c r="X223" s="107"/>
      <c r="Y223" s="107"/>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01"/>
      <c r="BJ223" s="201"/>
      <c r="BK223" s="201"/>
      <c r="BL223" s="201"/>
      <c r="BM223" s="201"/>
      <c r="BN223" s="201"/>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537"/>
      <c r="E224" s="91">
        <v>8</v>
      </c>
      <c r="F224" s="27"/>
      <c r="G224" s="27"/>
      <c r="H224" s="150"/>
      <c r="I224" s="152"/>
      <c r="J224" s="152"/>
      <c r="K224" s="152"/>
      <c r="L224" s="152"/>
      <c r="M224" s="152"/>
      <c r="N224" s="152"/>
      <c r="O224" s="151"/>
      <c r="P224" s="73">
        <f>IF(A12taxstdlife="n/a","n/a",IF(P$3&gt;(A12taxstdlife+$E224),(Input!$O$188-Input!$O$222)-SUM($O224:O224),(Input!$O$188-Input!$O$222)/A12taxstdlife))</f>
        <v>0</v>
      </c>
      <c r="Q224" s="73">
        <f>IF(A12taxstdlife="n/a","n/a",IF(Q$3&gt;(A12taxstdlife+$E224),(Input!$O$188-Input!$O$222)-SUM($O224:P224),(Input!$O$188-Input!$O$222)/A12taxstdlife))</f>
        <v>0</v>
      </c>
      <c r="R224" s="73"/>
      <c r="S224" s="107"/>
      <c r="T224" s="107"/>
      <c r="U224" s="107"/>
      <c r="V224" s="107"/>
      <c r="W224" s="107"/>
      <c r="X224" s="107"/>
      <c r="Y224" s="107"/>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01"/>
      <c r="BJ224" s="201"/>
      <c r="BK224" s="201"/>
      <c r="BL224" s="201"/>
      <c r="BM224" s="201"/>
      <c r="BN224" s="201"/>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537"/>
      <c r="E225" s="91">
        <v>9</v>
      </c>
      <c r="F225" s="27"/>
      <c r="G225" s="27"/>
      <c r="H225" s="150"/>
      <c r="I225" s="152"/>
      <c r="J225" s="152"/>
      <c r="K225" s="152"/>
      <c r="L225" s="152"/>
      <c r="M225" s="152"/>
      <c r="N225" s="152"/>
      <c r="O225" s="152"/>
      <c r="P225" s="151"/>
      <c r="Q225" s="73">
        <f>IF(A12taxstdlife="n/a","n/a",IF(Q$3&gt;(A12taxstdlife+$E225),(Input!$P$188-Input!$P$222)-SUM($P225:P225),(Input!$P$188-Input!$P$222)/A12taxstdlife))</f>
        <v>0</v>
      </c>
      <c r="R225" s="73"/>
      <c r="S225" s="107"/>
      <c r="T225" s="107"/>
      <c r="U225" s="107"/>
      <c r="V225" s="107"/>
      <c r="W225" s="107"/>
      <c r="X225" s="107"/>
      <c r="Y225" s="107"/>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01"/>
      <c r="BJ225" s="201"/>
      <c r="BK225" s="201"/>
      <c r="BL225" s="201"/>
      <c r="BM225" s="201"/>
      <c r="BN225" s="201"/>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537"/>
      <c r="E226" s="92">
        <v>10</v>
      </c>
      <c r="F226" s="27"/>
      <c r="G226" s="27"/>
      <c r="H226" s="150"/>
      <c r="I226" s="152"/>
      <c r="J226" s="152"/>
      <c r="K226" s="152"/>
      <c r="L226" s="152"/>
      <c r="M226" s="152"/>
      <c r="N226" s="152"/>
      <c r="O226" s="152"/>
      <c r="P226" s="152"/>
      <c r="Q226" s="151"/>
      <c r="R226" s="73"/>
      <c r="S226" s="107"/>
      <c r="T226" s="107"/>
      <c r="U226" s="107"/>
      <c r="V226" s="107"/>
      <c r="W226" s="107"/>
      <c r="X226" s="107"/>
      <c r="Y226" s="107"/>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01"/>
      <c r="BJ226" s="201"/>
      <c r="BK226" s="201"/>
      <c r="BL226" s="201"/>
      <c r="BM226" s="201"/>
      <c r="BN226" s="201"/>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2">
        <f>Asset12</f>
        <v>0</v>
      </c>
      <c r="D227" s="9"/>
      <c r="E227" s="9"/>
      <c r="F227" s="23"/>
      <c r="G227" s="23"/>
      <c r="H227" s="298">
        <f>-SUM(H215:H226)</f>
        <v>0</v>
      </c>
      <c r="I227" s="165">
        <f>-SUM(I215:I226)</f>
        <v>0</v>
      </c>
      <c r="J227" s="165">
        <f>-SUM(J215:J226)</f>
        <v>0</v>
      </c>
      <c r="K227" s="165">
        <f>-SUM(K215:K226)</f>
        <v>0</v>
      </c>
      <c r="L227" s="165">
        <f>-SUM(L215:L226)</f>
        <v>0</v>
      </c>
      <c r="M227" s="165">
        <f>IF(COUNT($H227:L227)&gt;=Input!$Y$7,0, -SUM(M215:M226))</f>
        <v>0</v>
      </c>
      <c r="N227" s="165">
        <f>IF(COUNT($H227:M227)&gt;=Input!$Y$7,0, -SUM(N215:N226))</f>
        <v>0</v>
      </c>
      <c r="O227" s="165">
        <f>IF(COUNT($H227:N227)&gt;=Input!$Y$7,0, -SUM(O215:O226))</f>
        <v>0</v>
      </c>
      <c r="P227" s="165">
        <f>IF(COUNT($H227:O227)&gt;=Input!$Y$7,0, -SUM(P215:P226))</f>
        <v>0</v>
      </c>
      <c r="Q227" s="165">
        <f>IF(COUNT($H227:P227)&gt;=Input!$Y$7,0, -SUM(Q215:Q226))</f>
        <v>0</v>
      </c>
      <c r="R227" s="165"/>
      <c r="S227" s="106"/>
      <c r="T227" s="106"/>
      <c r="U227" s="106"/>
      <c r="V227" s="106"/>
      <c r="W227" s="106"/>
      <c r="X227" s="106"/>
      <c r="Y227" s="106"/>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01"/>
      <c r="BJ227" s="201"/>
      <c r="BK227" s="201"/>
      <c r="BL227" s="201"/>
      <c r="BM227" s="201"/>
      <c r="BN227" s="201"/>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73">
        <f>Asset13</f>
        <v>0</v>
      </c>
      <c r="C228" s="31"/>
      <c r="D228" s="32" t="s">
        <v>43</v>
      </c>
      <c r="E228" s="31"/>
      <c r="F228" s="301"/>
      <c r="G228" s="301"/>
      <c r="H228" s="72">
        <f>IF(H$3&gt;A13taxremlife,A13taxvalue-SUM($F228:F228),IF(A13taxremlife="N/A","n/a",A13taxvalue/A13taxremlife))</f>
        <v>0</v>
      </c>
      <c r="I228" s="72">
        <f>IF(I$3&gt;A13taxremlife,A13taxvalue-SUM($F228:H228),IF(A13taxremlife="N/A","n/a",A13taxvalue/A13taxremlife))</f>
        <v>0</v>
      </c>
      <c r="J228" s="72">
        <f>IF(J$3&gt;A13taxremlife,A13taxvalue-SUM($F228:I228),IF(A13taxremlife="N/A","n/a",A13taxvalue/A13taxremlife))</f>
        <v>0</v>
      </c>
      <c r="K228" s="72">
        <f>IF(K$3&gt;A13taxremlife,A13taxvalue-SUM($F228:J228),IF(A13taxremlife="N/A","n/a",A13taxvalue/A13taxremlife))</f>
        <v>0</v>
      </c>
      <c r="L228" s="72">
        <f>IF(L$3&gt;A13taxremlife,A13taxvalue-SUM($F228:K228),IF(A13taxremlife="N/A","n/a",A13taxvalue/A13taxremlife))</f>
        <v>0</v>
      </c>
      <c r="M228" s="72">
        <f>IF(M$3&gt;A13taxremlife,A13taxvalue-SUM($F228:L228),IF(A13taxremlife="N/A","n/a",A13taxvalue/A13taxremlife))</f>
        <v>0</v>
      </c>
      <c r="N228" s="72">
        <f>IF(N$3&gt;A13taxremlife,A13taxvalue-SUM($F228:M228),IF(A13taxremlife="N/A","n/a",A13taxvalue/A13taxremlife))</f>
        <v>0</v>
      </c>
      <c r="O228" s="72">
        <f>IF(O$3&gt;A13taxremlife,A13taxvalue-SUM($F228:N228),IF(A13taxremlife="N/A","n/a",A13taxvalue/A13taxremlife))</f>
        <v>0</v>
      </c>
      <c r="P228" s="72">
        <f>IF(P$3&gt;A13taxremlife,A13taxvalue-SUM($F228:O228),IF(A13taxremlife="N/A","n/a",A13taxvalue/A13taxremlife))</f>
        <v>0</v>
      </c>
      <c r="Q228" s="72">
        <f>IF(Q$3&gt;A13taxremlife,A13taxvalue-SUM($F228:P228),IF(A13taxremlife="N/A","n/a",A13taxvalue/A13taxremlife))</f>
        <v>0</v>
      </c>
      <c r="R228" s="72"/>
      <c r="S228" s="107"/>
      <c r="T228" s="107"/>
      <c r="U228" s="107"/>
      <c r="V228" s="107"/>
      <c r="W228" s="107"/>
      <c r="X228" s="107"/>
      <c r="Y228" s="107"/>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01"/>
      <c r="BJ228" s="201"/>
      <c r="BK228" s="201"/>
      <c r="BL228" s="201"/>
      <c r="BM228" s="201"/>
      <c r="BN228" s="201"/>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536" t="s">
        <v>59</v>
      </c>
      <c r="E229" s="91"/>
      <c r="F229" s="27"/>
      <c r="G229" s="27"/>
      <c r="H229" s="107"/>
      <c r="I229" s="73"/>
      <c r="J229" s="73"/>
      <c r="K229" s="73"/>
      <c r="L229" s="73"/>
      <c r="M229" s="73"/>
      <c r="N229" s="73"/>
      <c r="O229" s="73"/>
      <c r="P229" s="73"/>
      <c r="Q229" s="73"/>
      <c r="R229" s="73"/>
      <c r="S229" s="107"/>
      <c r="T229" s="107"/>
      <c r="U229" s="107"/>
      <c r="V229" s="107"/>
      <c r="W229" s="107"/>
      <c r="X229" s="107"/>
      <c r="Y229" s="107"/>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01"/>
      <c r="BJ229" s="201"/>
      <c r="BK229" s="201"/>
      <c r="BL229" s="201"/>
      <c r="BM229" s="201"/>
      <c r="BN229" s="201"/>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537"/>
      <c r="E230" s="91">
        <v>1</v>
      </c>
      <c r="F230" s="27"/>
      <c r="G230" s="27"/>
      <c r="H230" s="149"/>
      <c r="I230" s="73">
        <f>IF(A13taxstdlife="n/a","n/a",IF(I$3&gt;(A13taxstdlife+$E230),(Input!$H$189-Input!$H$223)-SUM($H230:H230),(Input!$H$189-Input!$H$223)/A13taxstdlife))</f>
        <v>0</v>
      </c>
      <c r="J230" s="73">
        <f>IF(A13taxstdlife="n/a","n/a",IF(J$3&gt;(A13taxstdlife+$E230),(Input!$H$189-Input!$H$223)-SUM($H230:I230),(Input!$H$189-Input!$H$223)/A13taxstdlife))</f>
        <v>0</v>
      </c>
      <c r="K230" s="73">
        <f>IF(A13taxstdlife="n/a","n/a",IF(K$3&gt;(A13taxstdlife+$E230),(Input!$H$189-Input!$H$223)-SUM($H230:J230),(Input!$H$189-Input!$H$223)/A13taxstdlife))</f>
        <v>0</v>
      </c>
      <c r="L230" s="73">
        <f>IF(A13taxstdlife="n/a","n/a",IF(L$3&gt;(A13taxstdlife+$E230),(Input!$H$189-Input!$H$223)-SUM($H230:K230),(Input!$H$189-Input!$H$223)/A13taxstdlife))</f>
        <v>0</v>
      </c>
      <c r="M230" s="73">
        <f>IF(A13taxstdlife="n/a","n/a",IF(M$3&gt;(A13taxstdlife+$E230),(Input!$H$189-Input!$H$223)-SUM($H230:L230),(Input!$H$189-Input!$H$223)/A13taxstdlife))</f>
        <v>0</v>
      </c>
      <c r="N230" s="73">
        <f>IF(A13taxstdlife="n/a","n/a",IF(N$3&gt;(A13taxstdlife+$E230),(Input!$H$189-Input!$H$223)-SUM($H230:M230),(Input!$H$189-Input!$H$223)/A13taxstdlife))</f>
        <v>0</v>
      </c>
      <c r="O230" s="73">
        <f>IF(A13taxstdlife="n/a","n/a",IF(O$3&gt;(A13taxstdlife+$E230),(Input!$H$189-Input!$H$223)-SUM($H230:N230),(Input!$H$189-Input!$H$223)/A13taxstdlife))</f>
        <v>0</v>
      </c>
      <c r="P230" s="73">
        <f>IF(A13taxstdlife="n/a","n/a",IF(P$3&gt;(A13taxstdlife+$E230),(Input!$H$189-Input!$H$223)-SUM($H230:O230),(Input!$H$189-Input!$H$223)/A13taxstdlife))</f>
        <v>0</v>
      </c>
      <c r="Q230" s="73">
        <f>IF(A13taxstdlife="n/a","n/a",IF(Q$3&gt;(A13taxstdlife+$E230),(Input!$H$189-Input!$H$223)-SUM($H230:P230),(Input!$H$189-Input!$H$223)/A13taxstdlife))</f>
        <v>0</v>
      </c>
      <c r="R230" s="73"/>
      <c r="S230" s="107"/>
      <c r="T230" s="107"/>
      <c r="U230" s="107"/>
      <c r="V230" s="107"/>
      <c r="W230" s="107"/>
      <c r="X230" s="107"/>
      <c r="Y230" s="107"/>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01"/>
      <c r="BJ230" s="201"/>
      <c r="BK230" s="201"/>
      <c r="BL230" s="201"/>
      <c r="BM230" s="201"/>
      <c r="BN230" s="201"/>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537"/>
      <c r="E231" s="91">
        <v>2</v>
      </c>
      <c r="F231" s="27"/>
      <c r="G231" s="27"/>
      <c r="H231" s="150"/>
      <c r="I231" s="151"/>
      <c r="J231" s="73">
        <f>IF(A13taxstdlife="n/a","n/a",IF(J$3&gt;(A13taxstdlife+$E231),(Input!$I$189-Input!$I$223)-SUM($I231:I231),(Input!$I$189-Input!$I$223)/A13taxstdlife))</f>
        <v>0</v>
      </c>
      <c r="K231" s="73">
        <f>IF(A13taxstdlife="n/a","n/a",IF(K$3&gt;(A13taxstdlife+$E231),(Input!$I$189-Input!$I$223)-SUM($I231:J231),(Input!$I$189-Input!$I$223)/A13taxstdlife))</f>
        <v>0</v>
      </c>
      <c r="L231" s="73">
        <f>IF(A13taxstdlife="n/a","n/a",IF(L$3&gt;(A13taxstdlife+$E231),(Input!$I$189-Input!$I$223)-SUM($I231:K231),(Input!$I$189-Input!$I$223)/A13taxstdlife))</f>
        <v>0</v>
      </c>
      <c r="M231" s="73">
        <f>IF(A13taxstdlife="n/a","n/a",IF(M$3&gt;(A13taxstdlife+$E231),(Input!$I$189-Input!$I$223)-SUM($I231:L231),(Input!$I$189-Input!$I$223)/A13taxstdlife))</f>
        <v>0</v>
      </c>
      <c r="N231" s="73">
        <f>IF(A13taxstdlife="n/a","n/a",IF(N$3&gt;(A13taxstdlife+$E231),(Input!$I$189-Input!$I$223)-SUM($I231:M231),(Input!$I$189-Input!$I$223)/A13taxstdlife))</f>
        <v>0</v>
      </c>
      <c r="O231" s="73">
        <f>IF(A13taxstdlife="n/a","n/a",IF(O$3&gt;(A13taxstdlife+$E231),(Input!$I$189-Input!$I$223)-SUM($I231:N231),(Input!$I$189-Input!$I$223)/A13taxstdlife))</f>
        <v>0</v>
      </c>
      <c r="P231" s="73">
        <f>IF(A13taxstdlife="n/a","n/a",IF(P$3&gt;(A13taxstdlife+$E231),(Input!$I$189-Input!$I$223)-SUM($I231:O231),(Input!$I$189-Input!$I$223)/A13taxstdlife))</f>
        <v>0</v>
      </c>
      <c r="Q231" s="73">
        <f>IF(A13taxstdlife="n/a","n/a",IF(Q$3&gt;(A13taxstdlife+$E231),(Input!$I$189-Input!$I$223)-SUM($I231:P231),(Input!$I$189-Input!$I$223)/A13taxstdlife))</f>
        <v>0</v>
      </c>
      <c r="R231" s="73"/>
      <c r="S231" s="107"/>
      <c r="T231" s="107"/>
      <c r="U231" s="107"/>
      <c r="V231" s="107"/>
      <c r="W231" s="107"/>
      <c r="X231" s="107"/>
      <c r="Y231" s="107"/>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01"/>
      <c r="BJ231" s="201"/>
      <c r="BK231" s="201"/>
      <c r="BL231" s="201"/>
      <c r="BM231" s="201"/>
      <c r="BN231" s="20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537"/>
      <c r="E232" s="91">
        <v>3</v>
      </c>
      <c r="F232" s="27"/>
      <c r="G232" s="27"/>
      <c r="H232" s="150"/>
      <c r="I232" s="152"/>
      <c r="J232" s="151"/>
      <c r="K232" s="73">
        <f>IF(A13taxstdlife="n/a","n/a",IF(K$3&gt;(A13taxstdlife+$E232),(Input!$J$189-Input!$J$223)-SUM($J232:J232),(Input!$J$189-Input!$J$223)/A13taxstdlife))</f>
        <v>0</v>
      </c>
      <c r="L232" s="73">
        <f>IF(A13taxstdlife="n/a","n/a",IF(L$3&gt;(A13taxstdlife+$E232),(Input!$J$189-Input!$J$223)-SUM($J232:K232),(Input!$J$189-Input!$J$223)/A13taxstdlife))</f>
        <v>0</v>
      </c>
      <c r="M232" s="73">
        <f>IF(A13taxstdlife="n/a","n/a",IF(M$3&gt;(A13taxstdlife+$E232),(Input!$J$189-Input!$J$223)-SUM($J232:L232),(Input!$J$189-Input!$J$223)/A13taxstdlife))</f>
        <v>0</v>
      </c>
      <c r="N232" s="73">
        <f>IF(A13taxstdlife="n/a","n/a",IF(N$3&gt;(A13taxstdlife+$E232),(Input!$J$189-Input!$J$223)-SUM($J232:M232),(Input!$J$189-Input!$J$223)/A13taxstdlife))</f>
        <v>0</v>
      </c>
      <c r="O232" s="73">
        <f>IF(A13taxstdlife="n/a","n/a",IF(O$3&gt;(A13taxstdlife+$E232),(Input!$J$189-Input!$J$223)-SUM($J232:N232),(Input!$J$189-Input!$J$223)/A13taxstdlife))</f>
        <v>0</v>
      </c>
      <c r="P232" s="73">
        <f>IF(A13taxstdlife="n/a","n/a",IF(P$3&gt;(A13taxstdlife+$E232),(Input!$J$189-Input!$J$223)-SUM($J232:O232),(Input!$J$189-Input!$J$223)/A13taxstdlife))</f>
        <v>0</v>
      </c>
      <c r="Q232" s="73">
        <f>IF(A13taxstdlife="n/a","n/a",IF(Q$3&gt;(A13taxstdlife+$E232),(Input!$J$189-Input!$J$223)-SUM($J232:P232),(Input!$J$189-Input!$J$223)/A13taxstdlife))</f>
        <v>0</v>
      </c>
      <c r="R232" s="73"/>
      <c r="S232" s="107"/>
      <c r="T232" s="107"/>
      <c r="U232" s="107"/>
      <c r="V232" s="107"/>
      <c r="W232" s="107"/>
      <c r="X232" s="107"/>
      <c r="Y232" s="107"/>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01"/>
      <c r="BJ232" s="201"/>
      <c r="BK232" s="201"/>
      <c r="BL232" s="201"/>
      <c r="BM232" s="201"/>
      <c r="BN232" s="201"/>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537"/>
      <c r="E233" s="91">
        <v>4</v>
      </c>
      <c r="F233" s="27"/>
      <c r="G233" s="27"/>
      <c r="H233" s="150"/>
      <c r="I233" s="152"/>
      <c r="J233" s="152"/>
      <c r="K233" s="151"/>
      <c r="L233" s="73">
        <f>IF(A13taxstdlife="n/a","n/a",IF(L$3&gt;(A13taxstdlife+$E233),(Input!$K$189-Input!$K$223)-SUM($K233:K233),(Input!$K$189-Input!$K$223)/A13taxstdlife))</f>
        <v>0</v>
      </c>
      <c r="M233" s="73">
        <f>IF(A13taxstdlife="n/a","n/a",IF(M$3&gt;(A13taxstdlife+$E233),(Input!$K$189-Input!$K$223)-SUM($K233:L233),(Input!$K$189-Input!$K$223)/A13taxstdlife))</f>
        <v>0</v>
      </c>
      <c r="N233" s="73">
        <f>IF(A13taxstdlife="n/a","n/a",IF(N$3&gt;(A13taxstdlife+$E233),(Input!$K$189-Input!$K$223)-SUM($K233:M233),(Input!$K$189-Input!$K$223)/A13taxstdlife))</f>
        <v>0</v>
      </c>
      <c r="O233" s="73">
        <f>IF(A13taxstdlife="n/a","n/a",IF(O$3&gt;(A13taxstdlife+$E233),(Input!$K$189-Input!$K$223)-SUM($K233:N233),(Input!$K$189-Input!$K$223)/A13taxstdlife))</f>
        <v>0</v>
      </c>
      <c r="P233" s="73">
        <f>IF(A13taxstdlife="n/a","n/a",IF(P$3&gt;(A13taxstdlife+$E233),(Input!$K$189-Input!$K$223)-SUM($K233:O233),(Input!$K$189-Input!$K$223)/A13taxstdlife))</f>
        <v>0</v>
      </c>
      <c r="Q233" s="73">
        <f>IF(A13taxstdlife="n/a","n/a",IF(Q$3&gt;(A13taxstdlife+$E233),(Input!$K$189-Input!$K$223)-SUM($K233:P233),(Input!$K$189-Input!$K$223)/A13taxstdlife))</f>
        <v>0</v>
      </c>
      <c r="R233" s="73"/>
      <c r="S233" s="107"/>
      <c r="T233" s="107"/>
      <c r="U233" s="107"/>
      <c r="V233" s="107"/>
      <c r="W233" s="107"/>
      <c r="X233" s="107"/>
      <c r="Y233" s="107"/>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01"/>
      <c r="BJ233" s="201"/>
      <c r="BK233" s="201"/>
      <c r="BL233" s="201"/>
      <c r="BM233" s="201"/>
      <c r="BN233" s="201"/>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537"/>
      <c r="E234" s="91">
        <v>5</v>
      </c>
      <c r="F234" s="27"/>
      <c r="G234" s="27"/>
      <c r="H234" s="150"/>
      <c r="I234" s="152"/>
      <c r="J234" s="152"/>
      <c r="K234" s="152"/>
      <c r="L234" s="151"/>
      <c r="M234" s="73">
        <f>IF(A13taxstdlife="n/a","n/a",IF(M$3&gt;(A13taxstdlife+$E234),(Input!$L$189-Input!$L$223)-SUM($L234:L234),(Input!$L$189-Input!$L$223)/A13taxstdlife))</f>
        <v>0</v>
      </c>
      <c r="N234" s="73">
        <f>IF(A13taxstdlife="n/a","n/a",IF(N$3&gt;(A13taxstdlife+$E234),(Input!$L$189-Input!$L$223)-SUM($L234:M234),(Input!$L$189-Input!$L$223)/A13taxstdlife))</f>
        <v>0</v>
      </c>
      <c r="O234" s="73">
        <f>IF(A13taxstdlife="n/a","n/a",IF(O$3&gt;(A13taxstdlife+$E234),(Input!$L$189-Input!$L$223)-SUM($L234:N234),(Input!$L$189-Input!$L$223)/A13taxstdlife))</f>
        <v>0</v>
      </c>
      <c r="P234" s="73">
        <f>IF(A13taxstdlife="n/a","n/a",IF(P$3&gt;(A13taxstdlife+$E234),(Input!$L$189-Input!$L$223)-SUM($L234:O234),(Input!$L$189-Input!$L$223)/A13taxstdlife))</f>
        <v>0</v>
      </c>
      <c r="Q234" s="73">
        <f>IF(A13taxstdlife="n/a","n/a",IF(Q$3&gt;(A13taxstdlife+$E234),(Input!$L$189-Input!$L$223)-SUM($L234:P234),(Input!$L$189-Input!$L$223)/A13taxstdlife))</f>
        <v>0</v>
      </c>
      <c r="R234" s="73"/>
      <c r="S234" s="107"/>
      <c r="T234" s="107"/>
      <c r="U234" s="107"/>
      <c r="V234" s="107"/>
      <c r="W234" s="107"/>
      <c r="X234" s="107"/>
      <c r="Y234" s="107"/>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01"/>
      <c r="BJ234" s="201"/>
      <c r="BK234" s="201"/>
      <c r="BL234" s="201"/>
      <c r="BM234" s="201"/>
      <c r="BN234" s="201"/>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537"/>
      <c r="E235" s="91">
        <v>6</v>
      </c>
      <c r="F235" s="27"/>
      <c r="G235" s="27"/>
      <c r="H235" s="150"/>
      <c r="I235" s="152"/>
      <c r="J235" s="152"/>
      <c r="K235" s="152"/>
      <c r="L235" s="152"/>
      <c r="M235" s="151"/>
      <c r="N235" s="73">
        <f>IF(A13taxstdlife="n/a","n/a",IF(N$3&gt;(A13taxstdlife+$E235),(Input!$M$189-Input!$M$223)-SUM($M235:M235),(Input!$M$189-Input!$M$223)/A13taxstdlife))</f>
        <v>0</v>
      </c>
      <c r="O235" s="73">
        <f>IF(A13taxstdlife="n/a","n/a",IF(O$3&gt;(A13taxstdlife+$E235),(Input!$M$189-Input!$M$223)-SUM($M235:N235),(Input!$M$189-Input!$M$223)/A13taxstdlife))</f>
        <v>0</v>
      </c>
      <c r="P235" s="73">
        <f>IF(A13taxstdlife="n/a","n/a",IF(P$3&gt;(A13taxstdlife+$E235),(Input!$M$189-Input!$M$223)-SUM($M235:O235),(Input!$M$189-Input!$M$223)/A13taxstdlife))</f>
        <v>0</v>
      </c>
      <c r="Q235" s="73">
        <f>IF(A13taxstdlife="n/a","n/a",IF(Q$3&gt;(A13taxstdlife+$E235),(Input!$M$189-Input!$M$223)-SUM($M235:P235),(Input!$M$189-Input!$M$223)/A13taxstdlife))</f>
        <v>0</v>
      </c>
      <c r="R235" s="73"/>
      <c r="S235" s="107"/>
      <c r="T235" s="107"/>
      <c r="U235" s="107"/>
      <c r="V235" s="107"/>
      <c r="W235" s="107"/>
      <c r="X235" s="107"/>
      <c r="Y235" s="107"/>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01"/>
      <c r="BJ235" s="201"/>
      <c r="BK235" s="201"/>
      <c r="BL235" s="201"/>
      <c r="BM235" s="201"/>
      <c r="BN235" s="201"/>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537"/>
      <c r="E236" s="91">
        <v>7</v>
      </c>
      <c r="F236" s="27"/>
      <c r="G236" s="27"/>
      <c r="H236" s="150"/>
      <c r="I236" s="152"/>
      <c r="J236" s="152"/>
      <c r="K236" s="152"/>
      <c r="L236" s="152"/>
      <c r="M236" s="152"/>
      <c r="N236" s="151"/>
      <c r="O236" s="73">
        <f>IF(A13taxstdlife="n/a","n/a",IF(O$3&gt;(A13taxstdlife+$E236),(Input!$N$189-Input!$N$223)-SUM($N236:N236),(Input!$N$189-Input!$N$223)/A13taxstdlife))</f>
        <v>0</v>
      </c>
      <c r="P236" s="73">
        <f>IF(A13taxstdlife="n/a","n/a",IF(P$3&gt;(A13taxstdlife+$E236),(Input!$N$189-Input!$N$223)-SUM($N236:O236),(Input!$N$189-Input!$N$223)/A13taxstdlife))</f>
        <v>0</v>
      </c>
      <c r="Q236" s="73">
        <f>IF(A13taxstdlife="n/a","n/a",IF(Q$3&gt;(A13taxstdlife+$E236),(Input!$N$189-Input!$N$223)-SUM($N236:P236),(Input!$N$189-Input!$N$223)/A13taxstdlife))</f>
        <v>0</v>
      </c>
      <c r="R236" s="73"/>
      <c r="S236" s="107"/>
      <c r="T236" s="107"/>
      <c r="U236" s="107"/>
      <c r="V236" s="107"/>
      <c r="W236" s="107"/>
      <c r="X236" s="107"/>
      <c r="Y236" s="107"/>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01"/>
      <c r="BJ236" s="201"/>
      <c r="BK236" s="201"/>
      <c r="BL236" s="201"/>
      <c r="BM236" s="201"/>
      <c r="BN236" s="201"/>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537"/>
      <c r="E237" s="91">
        <v>8</v>
      </c>
      <c r="F237" s="27"/>
      <c r="G237" s="27"/>
      <c r="H237" s="150"/>
      <c r="I237" s="152"/>
      <c r="J237" s="152"/>
      <c r="K237" s="152"/>
      <c r="L237" s="152"/>
      <c r="M237" s="152"/>
      <c r="N237" s="152"/>
      <c r="O237" s="151"/>
      <c r="P237" s="73">
        <f>IF(A13taxstdlife="n/a","n/a",IF(P$3&gt;(A13taxstdlife+$E237),(Input!$O$189-Input!$O$223)-SUM($O237:O237),(Input!$O$189-Input!$O$223)/A13taxstdlife))</f>
        <v>0</v>
      </c>
      <c r="Q237" s="73">
        <f>IF(A13taxstdlife="n/a","n/a",IF(Q$3&gt;(A13taxstdlife+$E237),(Input!$O$189-Input!$O$223)-SUM($O237:P237),(Input!$O$189-Input!$O$223)/A13taxstdlife))</f>
        <v>0</v>
      </c>
      <c r="R237" s="73"/>
      <c r="S237" s="107"/>
      <c r="T237" s="107"/>
      <c r="U237" s="107"/>
      <c r="V237" s="107"/>
      <c r="W237" s="107"/>
      <c r="X237" s="107"/>
      <c r="Y237" s="107"/>
      <c r="Z237" s="220"/>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01"/>
      <c r="BJ237" s="201"/>
      <c r="BK237" s="201"/>
      <c r="BL237" s="201"/>
      <c r="BM237" s="201"/>
      <c r="BN237" s="201"/>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537"/>
      <c r="E238" s="91">
        <v>9</v>
      </c>
      <c r="F238" s="27"/>
      <c r="G238" s="27"/>
      <c r="H238" s="150"/>
      <c r="I238" s="152"/>
      <c r="J238" s="152"/>
      <c r="K238" s="152"/>
      <c r="L238" s="152"/>
      <c r="M238" s="152"/>
      <c r="N238" s="152"/>
      <c r="O238" s="152"/>
      <c r="P238" s="151"/>
      <c r="Q238" s="73">
        <f>IF(A13taxstdlife="n/a","n/a",IF(Q$3&gt;(A13taxstdlife+$E238),(Input!$P$189-Input!$P$223)-SUM($P238:P238),(Input!$P$189-Input!$P$223)/A13taxstdlife))</f>
        <v>0</v>
      </c>
      <c r="R238" s="73"/>
      <c r="S238" s="107"/>
      <c r="T238" s="107"/>
      <c r="U238" s="107"/>
      <c r="V238" s="107"/>
      <c r="W238" s="107"/>
      <c r="X238" s="107"/>
      <c r="Y238" s="107"/>
      <c r="Z238" s="220"/>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01"/>
      <c r="BJ238" s="201"/>
      <c r="BK238" s="201"/>
      <c r="BL238" s="201"/>
      <c r="BM238" s="201"/>
      <c r="BN238" s="201"/>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537"/>
      <c r="E239" s="92">
        <v>10</v>
      </c>
      <c r="F239" s="27"/>
      <c r="G239" s="27"/>
      <c r="H239" s="150"/>
      <c r="I239" s="152"/>
      <c r="J239" s="152"/>
      <c r="K239" s="152"/>
      <c r="L239" s="152"/>
      <c r="M239" s="152"/>
      <c r="N239" s="152"/>
      <c r="O239" s="152"/>
      <c r="P239" s="152"/>
      <c r="Q239" s="151"/>
      <c r="R239" s="73"/>
      <c r="S239" s="107"/>
      <c r="T239" s="107"/>
      <c r="U239" s="107"/>
      <c r="V239" s="107"/>
      <c r="W239" s="107"/>
      <c r="X239" s="107"/>
      <c r="Y239" s="107"/>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01"/>
      <c r="BJ239" s="201"/>
      <c r="BK239" s="201"/>
      <c r="BL239" s="201"/>
      <c r="BM239" s="201"/>
      <c r="BN239" s="201"/>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2">
        <f>Asset13</f>
        <v>0</v>
      </c>
      <c r="D240" s="9"/>
      <c r="E240" s="9"/>
      <c r="F240" s="23"/>
      <c r="G240" s="23"/>
      <c r="H240" s="298">
        <f>-SUM(H228:H239)</f>
        <v>0</v>
      </c>
      <c r="I240" s="165">
        <f>-SUM(I228:I239)</f>
        <v>0</v>
      </c>
      <c r="J240" s="165">
        <f>-SUM(J228:J239)</f>
        <v>0</v>
      </c>
      <c r="K240" s="165">
        <f>-SUM(K228:K239)</f>
        <v>0</v>
      </c>
      <c r="L240" s="165">
        <f>-SUM(L228:L239)</f>
        <v>0</v>
      </c>
      <c r="M240" s="165">
        <f>IF(COUNT($H240:L240)&gt;=Input!$Y$7,0, -SUM(M228:M239))</f>
        <v>0</v>
      </c>
      <c r="N240" s="165">
        <f>IF(COUNT($H240:M240)&gt;=Input!$Y$7,0, -SUM(N228:N239))</f>
        <v>0</v>
      </c>
      <c r="O240" s="165">
        <f>IF(COUNT($H240:N240)&gt;=Input!$Y$7,0, -SUM(O228:O239))</f>
        <v>0</v>
      </c>
      <c r="P240" s="165">
        <f>IF(COUNT($H240:O240)&gt;=Input!$Y$7,0, -SUM(P228:P239))</f>
        <v>0</v>
      </c>
      <c r="Q240" s="165">
        <f>IF(COUNT($H240:P240)&gt;=Input!$Y$7,0, -SUM(Q228:Q239))</f>
        <v>0</v>
      </c>
      <c r="R240" s="165"/>
      <c r="S240" s="106"/>
      <c r="T240" s="106"/>
      <c r="U240" s="106"/>
      <c r="V240" s="106"/>
      <c r="W240" s="106"/>
      <c r="X240" s="106"/>
      <c r="Y240" s="106"/>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01"/>
      <c r="BJ240" s="201"/>
      <c r="BK240" s="201"/>
      <c r="BL240" s="201"/>
      <c r="BM240" s="201"/>
      <c r="BN240" s="201"/>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73">
        <f>Asset14</f>
        <v>0</v>
      </c>
      <c r="C241" s="31"/>
      <c r="D241" s="32" t="s">
        <v>43</v>
      </c>
      <c r="E241" s="31"/>
      <c r="F241" s="301"/>
      <c r="G241" s="301"/>
      <c r="H241" s="72">
        <f>IF(H$3&gt;A14taxremlife,A14taxvalue-SUM($F241:F241),IF(A14taxremlife="N/A","n/a",A14taxvalue/A14taxremlife))</f>
        <v>0</v>
      </c>
      <c r="I241" s="72">
        <f>IF(I$3&gt;A14taxremlife,A14taxvalue-SUM($F241:H241),IF(A14taxremlife="N/A","n/a",A14taxvalue/A14taxremlife))</f>
        <v>0</v>
      </c>
      <c r="J241" s="72">
        <f>IF(J$3&gt;A14taxremlife,A14taxvalue-SUM($F241:I241),IF(A14taxremlife="N/A","n/a",A14taxvalue/A14taxremlife))</f>
        <v>0</v>
      </c>
      <c r="K241" s="72">
        <f>IF(K$3&gt;A14taxremlife,A14taxvalue-SUM($F241:J241),IF(A14taxremlife="N/A","n/a",A14taxvalue/A14taxremlife))</f>
        <v>0</v>
      </c>
      <c r="L241" s="72">
        <f>IF(L$3&gt;A14taxremlife,A14taxvalue-SUM($F241:K241),IF(A14taxremlife="N/A","n/a",A14taxvalue/A14taxremlife))</f>
        <v>0</v>
      </c>
      <c r="M241" s="72">
        <f>IF(M$3&gt;A14taxremlife,A14taxvalue-SUM($F241:L241),IF(A14taxremlife="N/A","n/a",A14taxvalue/A14taxremlife))</f>
        <v>0</v>
      </c>
      <c r="N241" s="72">
        <f>IF(N$3&gt;A14taxremlife,A14taxvalue-SUM($F241:M241),IF(A14taxremlife="N/A","n/a",A14taxvalue/A14taxremlife))</f>
        <v>0</v>
      </c>
      <c r="O241" s="72">
        <f>IF(O$3&gt;A14taxremlife,A14taxvalue-SUM($F241:N241),IF(A14taxremlife="N/A","n/a",A14taxvalue/A14taxremlife))</f>
        <v>0</v>
      </c>
      <c r="P241" s="72">
        <f>IF(P$3&gt;A14taxremlife,A14taxvalue-SUM($F241:O241),IF(A14taxremlife="N/A","n/a",A14taxvalue/A14taxremlife))</f>
        <v>0</v>
      </c>
      <c r="Q241" s="72">
        <f>IF(Q$3&gt;A14taxremlife,A14taxvalue-SUM($F241:P241),IF(A14taxremlife="N/A","n/a",A14taxvalue/A14taxremlife))</f>
        <v>0</v>
      </c>
      <c r="R241" s="72"/>
      <c r="S241" s="107"/>
      <c r="T241" s="107"/>
      <c r="U241" s="107"/>
      <c r="V241" s="107"/>
      <c r="W241" s="107"/>
      <c r="X241" s="107"/>
      <c r="Y241" s="107"/>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01"/>
      <c r="BJ241" s="201"/>
      <c r="BK241" s="201"/>
      <c r="BL241" s="201"/>
      <c r="BM241" s="201"/>
      <c r="BN241" s="20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536" t="s">
        <v>59</v>
      </c>
      <c r="E242" s="91"/>
      <c r="F242" s="27"/>
      <c r="G242" s="27"/>
      <c r="H242" s="107"/>
      <c r="I242" s="73"/>
      <c r="J242" s="73"/>
      <c r="K242" s="73"/>
      <c r="L242" s="73"/>
      <c r="M242" s="73"/>
      <c r="N242" s="73"/>
      <c r="O242" s="73"/>
      <c r="P242" s="73"/>
      <c r="Q242" s="73"/>
      <c r="R242" s="73"/>
      <c r="S242" s="107"/>
      <c r="T242" s="107"/>
      <c r="U242" s="107"/>
      <c r="V242" s="107"/>
      <c r="W242" s="107"/>
      <c r="X242" s="107"/>
      <c r="Y242" s="107"/>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01"/>
      <c r="BJ242" s="201"/>
      <c r="BK242" s="201"/>
      <c r="BL242" s="201"/>
      <c r="BM242" s="201"/>
      <c r="BN242" s="201"/>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537"/>
      <c r="E243" s="91">
        <v>1</v>
      </c>
      <c r="F243" s="27"/>
      <c r="G243" s="27"/>
      <c r="H243" s="149"/>
      <c r="I243" s="73">
        <f>IF(A14taxstdlife="n/a","n/a",IF(I$3&gt;(A14taxstdlife+$E243),(Input!$H$190-Input!$H$224)-SUM($H243:H243),(Input!$H$190-Input!$H$224)/A14taxstdlife))</f>
        <v>0</v>
      </c>
      <c r="J243" s="73">
        <f>IF(A14taxstdlife="n/a","n/a",IF(J$3&gt;(A14taxstdlife+$E243),(Input!$H$190-Input!$H$224)-SUM($H243:I243),(Input!$H$190-Input!$H$224)/A14taxstdlife))</f>
        <v>0</v>
      </c>
      <c r="K243" s="73">
        <f>IF(A14taxstdlife="n/a","n/a",IF(K$3&gt;(A14taxstdlife+$E243),(Input!$H$190-Input!$H$224)-SUM($H243:J243),(Input!$H$190-Input!$H$224)/A14taxstdlife))</f>
        <v>0</v>
      </c>
      <c r="L243" s="73">
        <f>IF(A14taxstdlife="n/a","n/a",IF(L$3&gt;(A14taxstdlife+$E243),(Input!$H$190-Input!$H$224)-SUM($H243:K243),(Input!$H$190-Input!$H$224)/A14taxstdlife))</f>
        <v>0</v>
      </c>
      <c r="M243" s="73">
        <f>IF(A14taxstdlife="n/a","n/a",IF(M$3&gt;(A14taxstdlife+$E243),(Input!$H$190-Input!$H$224)-SUM($H243:L243),(Input!$H$190-Input!$H$224)/A14taxstdlife))</f>
        <v>0</v>
      </c>
      <c r="N243" s="73">
        <f>IF(A14taxstdlife="n/a","n/a",IF(N$3&gt;(A14taxstdlife+$E243),(Input!$H$190-Input!$H$224)-SUM($H243:M243),(Input!$H$190-Input!$H$224)/A14taxstdlife))</f>
        <v>0</v>
      </c>
      <c r="O243" s="73">
        <f>IF(A14taxstdlife="n/a","n/a",IF(O$3&gt;(A14taxstdlife+$E243),(Input!$H$190-Input!$H$224)-SUM($H243:N243),(Input!$H$190-Input!$H$224)/A14taxstdlife))</f>
        <v>0</v>
      </c>
      <c r="P243" s="73">
        <f>IF(A14taxstdlife="n/a","n/a",IF(P$3&gt;(A14taxstdlife+$E243),(Input!$H$190-Input!$H$224)-SUM($H243:O243),(Input!$H$190-Input!$H$224)/A14taxstdlife))</f>
        <v>0</v>
      </c>
      <c r="Q243" s="73">
        <f>IF(A14taxstdlife="n/a","n/a",IF(Q$3&gt;(A14taxstdlife+$E243),(Input!$H$190-Input!$H$224)-SUM($H243:P243),(Input!$H$190-Input!$H$224)/A14taxstdlife))</f>
        <v>0</v>
      </c>
      <c r="R243" s="73"/>
      <c r="S243" s="107"/>
      <c r="T243" s="107"/>
      <c r="U243" s="107"/>
      <c r="V243" s="107"/>
      <c r="W243" s="107"/>
      <c r="X243" s="107"/>
      <c r="Y243" s="107"/>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01"/>
      <c r="BJ243" s="201"/>
      <c r="BK243" s="201"/>
      <c r="BL243" s="201"/>
      <c r="BM243" s="201"/>
      <c r="BN243" s="201"/>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537"/>
      <c r="E244" s="91">
        <v>2</v>
      </c>
      <c r="F244" s="27"/>
      <c r="G244" s="27"/>
      <c r="H244" s="150"/>
      <c r="I244" s="151"/>
      <c r="J244" s="73">
        <f>IF(A14taxstdlife="n/a","n/a",IF(J$3&gt;(A14taxstdlife+$E244),(Input!$I$190-Input!$I$224)-SUM($I244:I244),(Input!$I$190-Input!$I$224)/A14taxstdlife))</f>
        <v>0</v>
      </c>
      <c r="K244" s="73">
        <f>IF(A14taxstdlife="n/a","n/a",IF(K$3&gt;(A14taxstdlife+$E244),(Input!$I$190-Input!$I$224)-SUM($I244:J244),(Input!$I$190-Input!$I$224)/A14taxstdlife))</f>
        <v>0</v>
      </c>
      <c r="L244" s="73">
        <f>IF(A14taxstdlife="n/a","n/a",IF(L$3&gt;(A14taxstdlife+$E244),(Input!$I$190-Input!$I$224)-SUM($I244:K244),(Input!$I$190-Input!$I$224)/A14taxstdlife))</f>
        <v>0</v>
      </c>
      <c r="M244" s="73">
        <f>IF(A14taxstdlife="n/a","n/a",IF(M$3&gt;(A14taxstdlife+$E244),(Input!$I$190-Input!$I$224)-SUM($I244:L244),(Input!$I$190-Input!$I$224)/A14taxstdlife))</f>
        <v>0</v>
      </c>
      <c r="N244" s="73">
        <f>IF(A14taxstdlife="n/a","n/a",IF(N$3&gt;(A14taxstdlife+$E244),(Input!$I$190-Input!$I$224)-SUM($I244:M244),(Input!$I$190-Input!$I$224)/A14taxstdlife))</f>
        <v>0</v>
      </c>
      <c r="O244" s="73">
        <f>IF(A14taxstdlife="n/a","n/a",IF(O$3&gt;(A14taxstdlife+$E244),(Input!$I$190-Input!$I$224)-SUM($I244:N244),(Input!$I$190-Input!$I$224)/A14taxstdlife))</f>
        <v>0</v>
      </c>
      <c r="P244" s="73">
        <f>IF(A14taxstdlife="n/a","n/a",IF(P$3&gt;(A14taxstdlife+$E244),(Input!$I$190-Input!$I$224)-SUM($I244:O244),(Input!$I$190-Input!$I$224)/A14taxstdlife))</f>
        <v>0</v>
      </c>
      <c r="Q244" s="73">
        <f>IF(A14taxstdlife="n/a","n/a",IF(Q$3&gt;(A14taxstdlife+$E244),(Input!$I$190-Input!$I$224)-SUM($I244:P244),(Input!$I$190-Input!$I$224)/A14taxstdlife))</f>
        <v>0</v>
      </c>
      <c r="R244" s="73"/>
      <c r="S244" s="107"/>
      <c r="T244" s="107"/>
      <c r="U244" s="107"/>
      <c r="V244" s="107"/>
      <c r="W244" s="107"/>
      <c r="X244" s="107"/>
      <c r="Y244" s="107"/>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01"/>
      <c r="BJ244" s="201"/>
      <c r="BK244" s="201"/>
      <c r="BL244" s="201"/>
      <c r="BM244" s="201"/>
      <c r="BN244" s="201"/>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537"/>
      <c r="E245" s="91">
        <v>3</v>
      </c>
      <c r="F245" s="27"/>
      <c r="G245" s="27"/>
      <c r="H245" s="150"/>
      <c r="I245" s="152"/>
      <c r="J245" s="151"/>
      <c r="K245" s="73">
        <f>IF(A14taxstdlife="n/a","n/a",IF(K$3&gt;(A14taxstdlife+$E245),(Input!$J$190-Input!$J$224)-SUM($J245:J245),(Input!$J$190-Input!$J$224)/A14taxstdlife))</f>
        <v>0</v>
      </c>
      <c r="L245" s="73">
        <f>IF(A14taxstdlife="n/a","n/a",IF(L$3&gt;(A14taxstdlife+$E245),(Input!$J$190-Input!$J$224)-SUM($J245:K245),(Input!$J$190-Input!$J$224)/A14taxstdlife))</f>
        <v>0</v>
      </c>
      <c r="M245" s="73">
        <f>IF(A14taxstdlife="n/a","n/a",IF(M$3&gt;(A14taxstdlife+$E245),(Input!$J$190-Input!$J$224)-SUM($J245:L245),(Input!$J$190-Input!$J$224)/A14taxstdlife))</f>
        <v>0</v>
      </c>
      <c r="N245" s="73">
        <f>IF(A14taxstdlife="n/a","n/a",IF(N$3&gt;(A14taxstdlife+$E245),(Input!$J$190-Input!$J$224)-SUM($J245:M245),(Input!$J$190-Input!$J$224)/A14taxstdlife))</f>
        <v>0</v>
      </c>
      <c r="O245" s="73">
        <f>IF(A14taxstdlife="n/a","n/a",IF(O$3&gt;(A14taxstdlife+$E245),(Input!$J$190-Input!$J$224)-SUM($J245:N245),(Input!$J$190-Input!$J$224)/A14taxstdlife))</f>
        <v>0</v>
      </c>
      <c r="P245" s="73">
        <f>IF(A14taxstdlife="n/a","n/a",IF(P$3&gt;(A14taxstdlife+$E245),(Input!$J$190-Input!$J$224)-SUM($J245:O245),(Input!$J$190-Input!$J$224)/A14taxstdlife))</f>
        <v>0</v>
      </c>
      <c r="Q245" s="73">
        <f>IF(A14taxstdlife="n/a","n/a",IF(Q$3&gt;(A14taxstdlife+$E245),(Input!$J$190-Input!$J$224)-SUM($J245:P245),(Input!$J$190-Input!$J$224)/A14taxstdlife))</f>
        <v>0</v>
      </c>
      <c r="R245" s="73"/>
      <c r="S245" s="107"/>
      <c r="T245" s="107"/>
      <c r="U245" s="107"/>
      <c r="V245" s="107"/>
      <c r="W245" s="107"/>
      <c r="X245" s="107"/>
      <c r="Y245" s="107"/>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01"/>
      <c r="BJ245" s="201"/>
      <c r="BK245" s="201"/>
      <c r="BL245" s="201"/>
      <c r="BM245" s="201"/>
      <c r="BN245" s="201"/>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537"/>
      <c r="E246" s="91">
        <v>4</v>
      </c>
      <c r="F246" s="27"/>
      <c r="G246" s="27"/>
      <c r="H246" s="150"/>
      <c r="I246" s="152"/>
      <c r="J246" s="152"/>
      <c r="K246" s="151"/>
      <c r="L246" s="73">
        <f>IF(A14taxstdlife="n/a","n/a",IF(L$3&gt;(A14taxstdlife+$E246),(Input!$K$190-Input!$K$224)-SUM($K246:K246),(Input!$K$190-Input!$K$224)/A14taxstdlife))</f>
        <v>0</v>
      </c>
      <c r="M246" s="73">
        <f>IF(A14taxstdlife="n/a","n/a",IF(M$3&gt;(A14taxstdlife+$E246),(Input!$K$190-Input!$K$224)-SUM($K246:L246),(Input!$K$190-Input!$K$224)/A14taxstdlife))</f>
        <v>0</v>
      </c>
      <c r="N246" s="73">
        <f>IF(A14taxstdlife="n/a","n/a",IF(N$3&gt;(A14taxstdlife+$E246),(Input!$K$190-Input!$K$224)-SUM($K246:M246),(Input!$K$190-Input!$K$224)/A14taxstdlife))</f>
        <v>0</v>
      </c>
      <c r="O246" s="73">
        <f>IF(A14taxstdlife="n/a","n/a",IF(O$3&gt;(A14taxstdlife+$E246),(Input!$K$190-Input!$K$224)-SUM($K246:N246),(Input!$K$190-Input!$K$224)/A14taxstdlife))</f>
        <v>0</v>
      </c>
      <c r="P246" s="73">
        <f>IF(A14taxstdlife="n/a","n/a",IF(P$3&gt;(A14taxstdlife+$E246),(Input!$K$190-Input!$K$224)-SUM($K246:O246),(Input!$K$190-Input!$K$224)/A14taxstdlife))</f>
        <v>0</v>
      </c>
      <c r="Q246" s="73">
        <f>IF(A14taxstdlife="n/a","n/a",IF(Q$3&gt;(A14taxstdlife+$E246),(Input!$K$190-Input!$K$224)-SUM($K246:P246),(Input!$K$190-Input!$K$224)/A14taxstdlife))</f>
        <v>0</v>
      </c>
      <c r="R246" s="73"/>
      <c r="S246" s="107"/>
      <c r="T246" s="107"/>
      <c r="U246" s="107"/>
      <c r="V246" s="107"/>
      <c r="W246" s="107"/>
      <c r="X246" s="107"/>
      <c r="Y246" s="107"/>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01"/>
      <c r="BJ246" s="201"/>
      <c r="BK246" s="201"/>
      <c r="BL246" s="201"/>
      <c r="BM246" s="201"/>
      <c r="BN246" s="201"/>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537"/>
      <c r="E247" s="91">
        <v>5</v>
      </c>
      <c r="F247" s="27"/>
      <c r="G247" s="27"/>
      <c r="H247" s="150"/>
      <c r="I247" s="152"/>
      <c r="J247" s="152"/>
      <c r="K247" s="152"/>
      <c r="L247" s="151"/>
      <c r="M247" s="73">
        <f>IF(A14taxstdlife="n/a","n/a",IF(M$3&gt;(A14taxstdlife+$E247),(Input!$L$190-Input!$L$224)-SUM($L247:L247),(Input!$L$190-Input!$L$224)/A14taxstdlife))</f>
        <v>0</v>
      </c>
      <c r="N247" s="73">
        <f>IF(A14taxstdlife="n/a","n/a",IF(N$3&gt;(A14taxstdlife+$E247),(Input!$L$190-Input!$L$224)-SUM($L247:M247),(Input!$L$190-Input!$L$224)/A14taxstdlife))</f>
        <v>0</v>
      </c>
      <c r="O247" s="73">
        <f>IF(A14taxstdlife="n/a","n/a",IF(O$3&gt;(A14taxstdlife+$E247),(Input!$L$190-Input!$L$224)-SUM($L247:N247),(Input!$L$190-Input!$L$224)/A14taxstdlife))</f>
        <v>0</v>
      </c>
      <c r="P247" s="73">
        <f>IF(A14taxstdlife="n/a","n/a",IF(P$3&gt;(A14taxstdlife+$E247),(Input!$L$190-Input!$L$224)-SUM($L247:O247),(Input!$L$190-Input!$L$224)/A14taxstdlife))</f>
        <v>0</v>
      </c>
      <c r="Q247" s="73">
        <f>IF(A14taxstdlife="n/a","n/a",IF(Q$3&gt;(A14taxstdlife+$E247),(Input!$L$190-Input!$L$224)-SUM($L247:P247),(Input!$L$190-Input!$L$224)/A14taxstdlife))</f>
        <v>0</v>
      </c>
      <c r="R247" s="73"/>
      <c r="S247" s="107"/>
      <c r="T247" s="107"/>
      <c r="U247" s="107"/>
      <c r="V247" s="107"/>
      <c r="W247" s="107"/>
      <c r="X247" s="107"/>
      <c r="Y247" s="107"/>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01"/>
      <c r="BJ247" s="201"/>
      <c r="BK247" s="201"/>
      <c r="BL247" s="201"/>
      <c r="BM247" s="201"/>
      <c r="BN247" s="201"/>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537"/>
      <c r="E248" s="91">
        <v>6</v>
      </c>
      <c r="F248" s="27"/>
      <c r="G248" s="27"/>
      <c r="H248" s="150"/>
      <c r="I248" s="152"/>
      <c r="J248" s="152"/>
      <c r="K248" s="152"/>
      <c r="L248" s="152"/>
      <c r="M248" s="151"/>
      <c r="N248" s="73">
        <f>IF(A14taxstdlife="n/a","n/a",IF(N$3&gt;(A14taxstdlife+$E248),(Input!$M$190-Input!$M$224)-SUM($M248:M248),(Input!$M$190-Input!$M$224)/A14taxstdlife))</f>
        <v>0</v>
      </c>
      <c r="O248" s="73">
        <f>IF(A14taxstdlife="n/a","n/a",IF(O$3&gt;(A14taxstdlife+$E248),(Input!$M$190-Input!$M$224)-SUM($M248:N248),(Input!$M$190-Input!$M$224)/A14taxstdlife))</f>
        <v>0</v>
      </c>
      <c r="P248" s="73">
        <f>IF(A14taxstdlife="n/a","n/a",IF(P$3&gt;(A14taxstdlife+$E248),(Input!$M$190-Input!$M$224)-SUM($M248:O248),(Input!$M$190-Input!$M$224)/A14taxstdlife))</f>
        <v>0</v>
      </c>
      <c r="Q248" s="73">
        <f>IF(A14taxstdlife="n/a","n/a",IF(Q$3&gt;(A14taxstdlife+$E248),(Input!$M$190-Input!$M$224)-SUM($M248:P248),(Input!$M$190-Input!$M$224)/A14taxstdlife))</f>
        <v>0</v>
      </c>
      <c r="R248" s="73"/>
      <c r="S248" s="107"/>
      <c r="T248" s="107"/>
      <c r="U248" s="107"/>
      <c r="V248" s="107"/>
      <c r="W248" s="107"/>
      <c r="X248" s="107"/>
      <c r="Y248" s="107"/>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01"/>
      <c r="BJ248" s="201"/>
      <c r="BK248" s="201"/>
      <c r="BL248" s="201"/>
      <c r="BM248" s="201"/>
      <c r="BN248" s="201"/>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537"/>
      <c r="E249" s="91">
        <v>7</v>
      </c>
      <c r="F249" s="27"/>
      <c r="G249" s="27"/>
      <c r="H249" s="150"/>
      <c r="I249" s="152"/>
      <c r="J249" s="152"/>
      <c r="K249" s="152"/>
      <c r="L249" s="152"/>
      <c r="M249" s="152"/>
      <c r="N249" s="151"/>
      <c r="O249" s="73">
        <f>IF(A14taxstdlife="n/a","n/a",IF(O$3&gt;(A14taxstdlife+$E249),(Input!$N$190-Input!$N$224)-SUM($N249:N249),(Input!$N$190-Input!$N$224)/A14taxstdlife))</f>
        <v>0</v>
      </c>
      <c r="P249" s="73">
        <f>IF(A14taxstdlife="n/a","n/a",IF(P$3&gt;(A14taxstdlife+$E249),(Input!$N$190-Input!$N$224)-SUM($N249:O249),(Input!$N$190-Input!$N$224)/A14taxstdlife))</f>
        <v>0</v>
      </c>
      <c r="Q249" s="73">
        <f>IF(A14taxstdlife="n/a","n/a",IF(Q$3&gt;(A14taxstdlife+$E249),(Input!$N$190-Input!$N$224)-SUM($N249:P249),(Input!$N$190-Input!$N$224)/A14taxstdlife))</f>
        <v>0</v>
      </c>
      <c r="R249" s="73"/>
      <c r="S249" s="107"/>
      <c r="T249" s="107"/>
      <c r="U249" s="107"/>
      <c r="V249" s="107"/>
      <c r="W249" s="107"/>
      <c r="X249" s="107"/>
      <c r="Y249" s="107"/>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01"/>
      <c r="BJ249" s="201"/>
      <c r="BK249" s="201"/>
      <c r="BL249" s="201"/>
      <c r="BM249" s="201"/>
      <c r="BN249" s="201"/>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537"/>
      <c r="E250" s="91">
        <v>8</v>
      </c>
      <c r="F250" s="27"/>
      <c r="G250" s="27"/>
      <c r="H250" s="150"/>
      <c r="I250" s="152"/>
      <c r="J250" s="152"/>
      <c r="K250" s="152"/>
      <c r="L250" s="152"/>
      <c r="M250" s="152"/>
      <c r="N250" s="152"/>
      <c r="O250" s="151"/>
      <c r="P250" s="73">
        <f>IF(A14taxstdlife="n/a","n/a",IF(P$3&gt;(A14taxstdlife+$E250),(Input!$O$190-Input!$O$224)-SUM($O250:O250),(Input!$O$190-Input!$O$224)/A14taxstdlife))</f>
        <v>0</v>
      </c>
      <c r="Q250" s="73">
        <f>IF(A14taxstdlife="n/a","n/a",IF(Q$3&gt;(A14taxstdlife+$E250),(Input!$O$190-Input!$O$224)-SUM($O250:P250),(Input!$O$190-Input!$O$224)/A14taxstdlife))</f>
        <v>0</v>
      </c>
      <c r="R250" s="73"/>
      <c r="S250" s="107"/>
      <c r="T250" s="107"/>
      <c r="U250" s="107"/>
      <c r="V250" s="107"/>
      <c r="W250" s="107"/>
      <c r="X250" s="107"/>
      <c r="Y250" s="107"/>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01"/>
      <c r="BJ250" s="201"/>
      <c r="BK250" s="201"/>
      <c r="BL250" s="201"/>
      <c r="BM250" s="201"/>
      <c r="BN250" s="201"/>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537"/>
      <c r="E251" s="91">
        <v>9</v>
      </c>
      <c r="F251" s="27"/>
      <c r="G251" s="27"/>
      <c r="H251" s="150"/>
      <c r="I251" s="152"/>
      <c r="J251" s="152"/>
      <c r="K251" s="152"/>
      <c r="L251" s="152"/>
      <c r="M251" s="152"/>
      <c r="N251" s="152"/>
      <c r="O251" s="152"/>
      <c r="P251" s="151"/>
      <c r="Q251" s="73">
        <f>IF(A14taxstdlife="n/a","n/a",IF(Q$3&gt;(A14taxstdlife+$E251),(Input!$P$190-Input!$P$224)-SUM($P251:P251),(Input!$P$190-Input!$P$224)/A14taxstdlife))</f>
        <v>0</v>
      </c>
      <c r="R251" s="73"/>
      <c r="S251" s="107"/>
      <c r="T251" s="107"/>
      <c r="U251" s="107"/>
      <c r="V251" s="107"/>
      <c r="W251" s="107"/>
      <c r="X251" s="107"/>
      <c r="Y251" s="107"/>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01"/>
      <c r="BJ251" s="201"/>
      <c r="BK251" s="201"/>
      <c r="BL251" s="201"/>
      <c r="BM251" s="201"/>
      <c r="BN251" s="20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537"/>
      <c r="E252" s="92">
        <v>10</v>
      </c>
      <c r="F252" s="27"/>
      <c r="G252" s="27"/>
      <c r="H252" s="150"/>
      <c r="I252" s="152"/>
      <c r="J252" s="152"/>
      <c r="K252" s="152"/>
      <c r="L252" s="152"/>
      <c r="M252" s="152"/>
      <c r="N252" s="152"/>
      <c r="O252" s="152"/>
      <c r="P252" s="152"/>
      <c r="Q252" s="151"/>
      <c r="R252" s="73"/>
      <c r="S252" s="107"/>
      <c r="T252" s="107"/>
      <c r="U252" s="107"/>
      <c r="V252" s="107"/>
      <c r="W252" s="107"/>
      <c r="X252" s="107"/>
      <c r="Y252" s="107"/>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01"/>
      <c r="BJ252" s="201"/>
      <c r="BK252" s="201"/>
      <c r="BL252" s="201"/>
      <c r="BM252" s="201"/>
      <c r="BN252" s="201"/>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2">
        <f>Asset14</f>
        <v>0</v>
      </c>
      <c r="D253" s="9"/>
      <c r="E253" s="9"/>
      <c r="F253" s="23"/>
      <c r="G253" s="23"/>
      <c r="H253" s="298">
        <f>-SUM(H241:H252)</f>
        <v>0</v>
      </c>
      <c r="I253" s="165">
        <f>-SUM(I241:I252)</f>
        <v>0</v>
      </c>
      <c r="J253" s="165">
        <f>-SUM(J241:J252)</f>
        <v>0</v>
      </c>
      <c r="K253" s="165">
        <f>-SUM(K241:K252)</f>
        <v>0</v>
      </c>
      <c r="L253" s="165">
        <f>-SUM(L241:L252)</f>
        <v>0</v>
      </c>
      <c r="M253" s="165">
        <f>IF(COUNT($H253:L253)&gt;=Input!$Y$7,0, -SUM(M241:M252))</f>
        <v>0</v>
      </c>
      <c r="N253" s="165">
        <f>IF(COUNT($H253:M253)&gt;=Input!$Y$7,0, -SUM(N241:N252))</f>
        <v>0</v>
      </c>
      <c r="O253" s="165">
        <f>IF(COUNT($H253:N253)&gt;=Input!$Y$7,0, -SUM(O241:O252))</f>
        <v>0</v>
      </c>
      <c r="P253" s="165">
        <f>IF(COUNT($H253:O253)&gt;=Input!$Y$7,0, -SUM(P241:P252))</f>
        <v>0</v>
      </c>
      <c r="Q253" s="165">
        <f>IF(COUNT($H253:P253)&gt;=Input!$Y$7,0, -SUM(Q241:Q252))</f>
        <v>0</v>
      </c>
      <c r="R253" s="165"/>
      <c r="S253" s="106"/>
      <c r="T253" s="106"/>
      <c r="U253" s="106"/>
      <c r="V253" s="106"/>
      <c r="W253" s="106"/>
      <c r="X253" s="106"/>
      <c r="Y253" s="106"/>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01"/>
      <c r="BJ253" s="201"/>
      <c r="BK253" s="201"/>
      <c r="BL253" s="201"/>
      <c r="BM253" s="201"/>
      <c r="BN253" s="201"/>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73">
        <f>Asset15</f>
        <v>0</v>
      </c>
      <c r="C254" s="31"/>
      <c r="D254" s="32" t="s">
        <v>43</v>
      </c>
      <c r="E254" s="31"/>
      <c r="F254" s="301"/>
      <c r="G254" s="301"/>
      <c r="H254" s="72">
        <f>IF(H$3&gt;A15taxremlife,A15taxvalue-SUM($F254:F254),IF(A15taxremlife="N/A","n/a",A15taxvalue/A15taxremlife))</f>
        <v>0</v>
      </c>
      <c r="I254" s="72">
        <f>IF(I$3&gt;A15taxremlife,A15taxvalue-SUM($F254:H254),IF(A15taxremlife="N/A","n/a",A15taxvalue/A15taxremlife))</f>
        <v>0</v>
      </c>
      <c r="J254" s="72">
        <f>IF(J$3&gt;A15taxremlife,A15taxvalue-SUM($F254:I254),IF(A15taxremlife="N/A","n/a",A15taxvalue/A15taxremlife))</f>
        <v>0</v>
      </c>
      <c r="K254" s="72">
        <f>IF(K$3&gt;A15taxremlife,A15taxvalue-SUM($F254:J254),IF(A15taxremlife="N/A","n/a",A15taxvalue/A15taxremlife))</f>
        <v>0</v>
      </c>
      <c r="L254" s="72">
        <f>IF(L$3&gt;A15taxremlife,A15taxvalue-SUM($F254:K254),IF(A15taxremlife="N/A","n/a",A15taxvalue/A15taxremlife))</f>
        <v>0</v>
      </c>
      <c r="M254" s="72">
        <f>IF(M$3&gt;A15taxremlife,A15taxvalue-SUM($F254:L254),IF(A15taxremlife="N/A","n/a",A15taxvalue/A15taxremlife))</f>
        <v>0</v>
      </c>
      <c r="N254" s="72">
        <f>IF(N$3&gt;A15taxremlife,A15taxvalue-SUM($F254:M254),IF(A15taxremlife="N/A","n/a",A15taxvalue/A15taxremlife))</f>
        <v>0</v>
      </c>
      <c r="O254" s="72">
        <f>IF(O$3&gt;A15taxremlife,A15taxvalue-SUM($F254:N254),IF(A15taxremlife="N/A","n/a",A15taxvalue/A15taxremlife))</f>
        <v>0</v>
      </c>
      <c r="P254" s="72">
        <f>IF(P$3&gt;A15taxremlife,A15taxvalue-SUM($F254:O254),IF(A15taxremlife="N/A","n/a",A15taxvalue/A15taxremlife))</f>
        <v>0</v>
      </c>
      <c r="Q254" s="72">
        <f>IF(Q$3&gt;A15taxremlife,A15taxvalue-SUM($F254:P254),IF(A15taxremlife="N/A","n/a",A15taxvalue/A15taxremlife))</f>
        <v>0</v>
      </c>
      <c r="R254" s="72"/>
      <c r="S254" s="107"/>
      <c r="T254" s="107"/>
      <c r="U254" s="107"/>
      <c r="V254" s="107"/>
      <c r="W254" s="107"/>
      <c r="X254" s="107"/>
      <c r="Y254" s="107"/>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01"/>
      <c r="BJ254" s="201"/>
      <c r="BK254" s="201"/>
      <c r="BL254" s="201"/>
      <c r="BM254" s="201"/>
      <c r="BN254" s="201"/>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536" t="s">
        <v>59</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01"/>
      <c r="BJ255" s="201"/>
      <c r="BK255" s="201"/>
      <c r="BL255" s="201"/>
      <c r="BM255" s="201"/>
      <c r="BN255" s="201"/>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537"/>
      <c r="E256" s="91">
        <v>1</v>
      </c>
      <c r="F256" s="27"/>
      <c r="G256" s="27"/>
      <c r="H256" s="149"/>
      <c r="I256" s="73">
        <f>IF(A15taxstdlife="n/a","n/a",IF(I$3&gt;(A15taxstdlife+$E256),(Input!$H$191-Input!$H$225)-SUM($H256:H256),(Input!$H$191-Input!$H$225)/A15taxstdlife))</f>
        <v>0</v>
      </c>
      <c r="J256" s="73">
        <f>IF(A15taxstdlife="n/a","n/a",IF(J$3&gt;(A15taxstdlife+$E256),(Input!$H$191-Input!$H$225)-SUM($H256:I256),(Input!$H$191-Input!$H$225)/A15taxstdlife))</f>
        <v>0</v>
      </c>
      <c r="K256" s="73">
        <f>IF(A15taxstdlife="n/a","n/a",IF(K$3&gt;(A15taxstdlife+$E256),(Input!$H$191-Input!$H$225)-SUM($H256:J256),(Input!$H$191-Input!$H$225)/A15taxstdlife))</f>
        <v>0</v>
      </c>
      <c r="L256" s="73">
        <f>IF(A15taxstdlife="n/a","n/a",IF(L$3&gt;(A15taxstdlife+$E256),(Input!$H$191-Input!$H$225)-SUM($H256:K256),(Input!$H$191-Input!$H$225)/A15taxstdlife))</f>
        <v>0</v>
      </c>
      <c r="M256" s="73">
        <f>IF(A15taxstdlife="n/a","n/a",IF(M$3&gt;(A15taxstdlife+$E256),(Input!$H$191-Input!$H$225)-SUM($H256:L256),(Input!$H$191-Input!$H$225)/A15taxstdlife))</f>
        <v>0</v>
      </c>
      <c r="N256" s="73">
        <f>IF(A15taxstdlife="n/a","n/a",IF(N$3&gt;(A15taxstdlife+$E256),(Input!$H$191-Input!$H$225)-SUM($H256:M256),(Input!$H$191-Input!$H$225)/A15taxstdlife))</f>
        <v>0</v>
      </c>
      <c r="O256" s="73">
        <f>IF(A15taxstdlife="n/a","n/a",IF(O$3&gt;(A15taxstdlife+$E256),(Input!$H$191-Input!$H$225)-SUM($H256:N256),(Input!$H$191-Input!$H$225)/A15taxstdlife))</f>
        <v>0</v>
      </c>
      <c r="P256" s="73">
        <f>IF(A15taxstdlife="n/a","n/a",IF(P$3&gt;(A15taxstdlife+$E256),(Input!$H$191-Input!$H$225)-SUM($H256:O256),(Input!$H$191-Input!$H$225)/A15taxstdlife))</f>
        <v>0</v>
      </c>
      <c r="Q256" s="73">
        <f>IF(A15taxstdlife="n/a","n/a",IF(Q$3&gt;(A15taxstdlife+$E256),(Input!$H$191-Input!$H$225)-SUM($H256:P256),(Input!$H$191-Input!$H$225)/A15taxstdlife))</f>
        <v>0</v>
      </c>
      <c r="R256" s="73"/>
      <c r="S256" s="107"/>
      <c r="T256" s="107"/>
      <c r="U256" s="107"/>
      <c r="V256" s="107"/>
      <c r="W256" s="107"/>
      <c r="X256" s="107"/>
      <c r="Y256" s="107"/>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01"/>
      <c r="BJ256" s="201"/>
      <c r="BK256" s="201"/>
      <c r="BL256" s="201"/>
      <c r="BM256" s="201"/>
      <c r="BN256" s="201"/>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537"/>
      <c r="E257" s="91">
        <v>2</v>
      </c>
      <c r="F257" s="27"/>
      <c r="G257" s="27"/>
      <c r="H257" s="150"/>
      <c r="I257" s="151"/>
      <c r="J257" s="73">
        <f>IF(A15taxstdlife="n/a","n/a",IF(J$3&gt;(A15taxstdlife+$E257),(Input!$I$191-Input!$I$225)-SUM($I257:I257),(Input!$I$191-Input!$I$225)/A15taxstdlife))</f>
        <v>0</v>
      </c>
      <c r="K257" s="73">
        <f>IF(A15taxstdlife="n/a","n/a",IF(K$3&gt;(A15taxstdlife+$E257),(Input!$I$191-Input!$I$225)-SUM($I257:J257),(Input!$I$191-Input!$I$225)/A15taxstdlife))</f>
        <v>0</v>
      </c>
      <c r="L257" s="73">
        <f>IF(A15taxstdlife="n/a","n/a",IF(L$3&gt;(A15taxstdlife+$E257),(Input!$I$191-Input!$I$225)-SUM($I257:K257),(Input!$I$191-Input!$I$225)/A15taxstdlife))</f>
        <v>0</v>
      </c>
      <c r="M257" s="73">
        <f>IF(A15taxstdlife="n/a","n/a",IF(M$3&gt;(A15taxstdlife+$E257),(Input!$I$191-Input!$I$225)-SUM($I257:L257),(Input!$I$191-Input!$I$225)/A15taxstdlife))</f>
        <v>0</v>
      </c>
      <c r="N257" s="73">
        <f>IF(A15taxstdlife="n/a","n/a",IF(N$3&gt;(A15taxstdlife+$E257),(Input!$I$191-Input!$I$225)-SUM($I257:M257),(Input!$I$191-Input!$I$225)/A15taxstdlife))</f>
        <v>0</v>
      </c>
      <c r="O257" s="73">
        <f>IF(A15taxstdlife="n/a","n/a",IF(O$3&gt;(A15taxstdlife+$E257),(Input!$I$191-Input!$I$225)-SUM($I257:N257),(Input!$I$191-Input!$I$225)/A15taxstdlife))</f>
        <v>0</v>
      </c>
      <c r="P257" s="73">
        <f>IF(A15taxstdlife="n/a","n/a",IF(P$3&gt;(A15taxstdlife+$E257),(Input!$I$191-Input!$I$225)-SUM($I257:O257),(Input!$I$191-Input!$I$225)/A15taxstdlife))</f>
        <v>0</v>
      </c>
      <c r="Q257" s="73">
        <f>IF(A15taxstdlife="n/a","n/a",IF(Q$3&gt;(A15taxstdlife+$E257),(Input!$I$191-Input!$I$225)-SUM($I257:P257),(Input!$I$191-Input!$I$225)/A15taxstdlife))</f>
        <v>0</v>
      </c>
      <c r="R257" s="73"/>
      <c r="S257" s="107"/>
      <c r="T257" s="107"/>
      <c r="U257" s="107"/>
      <c r="V257" s="107"/>
      <c r="W257" s="107"/>
      <c r="X257" s="107"/>
      <c r="Y257" s="107"/>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01"/>
      <c r="BJ257" s="201"/>
      <c r="BK257" s="201"/>
      <c r="BL257" s="201"/>
      <c r="BM257" s="201"/>
      <c r="BN257" s="201"/>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537"/>
      <c r="E258" s="91">
        <v>3</v>
      </c>
      <c r="F258" s="27"/>
      <c r="G258" s="27"/>
      <c r="H258" s="150"/>
      <c r="I258" s="152"/>
      <c r="J258" s="151"/>
      <c r="K258" s="73">
        <f>IF(A15taxstdlife="n/a","n/a",IF(K$3&gt;(A15taxstdlife+$E258),(Input!$J$191-Input!$J$225)-SUM($J258:J258),(Input!$J$191-Input!$J$225)/A15taxstdlife))</f>
        <v>0</v>
      </c>
      <c r="L258" s="73">
        <f>IF(A15taxstdlife="n/a","n/a",IF(L$3&gt;(A15taxstdlife+$E258),(Input!$J$191-Input!$J$225)-SUM($J258:K258),(Input!$J$191-Input!$J$225)/A15taxstdlife))</f>
        <v>0</v>
      </c>
      <c r="M258" s="73">
        <f>IF(A15taxstdlife="n/a","n/a",IF(M$3&gt;(A15taxstdlife+$E258),(Input!$J$191-Input!$J$225)-SUM($J258:L258),(Input!$J$191-Input!$J$225)/A15taxstdlife))</f>
        <v>0</v>
      </c>
      <c r="N258" s="73">
        <f>IF(A15taxstdlife="n/a","n/a",IF(N$3&gt;(A15taxstdlife+$E258),(Input!$J$191-Input!$J$225)-SUM($J258:M258),(Input!$J$191-Input!$J$225)/A15taxstdlife))</f>
        <v>0</v>
      </c>
      <c r="O258" s="73">
        <f>IF(A15taxstdlife="n/a","n/a",IF(O$3&gt;(A15taxstdlife+$E258),(Input!$J$191-Input!$J$225)-SUM($J258:N258),(Input!$J$191-Input!$J$225)/A15taxstdlife))</f>
        <v>0</v>
      </c>
      <c r="P258" s="73">
        <f>IF(A15taxstdlife="n/a","n/a",IF(P$3&gt;(A15taxstdlife+$E258),(Input!$J$191-Input!$J$225)-SUM($J258:O258),(Input!$J$191-Input!$J$225)/A15taxstdlife))</f>
        <v>0</v>
      </c>
      <c r="Q258" s="73">
        <f>IF(A15taxstdlife="n/a","n/a",IF(Q$3&gt;(A15taxstdlife+$E258),(Input!$J$191-Input!$J$225)-SUM($J258:P258),(Input!$J$191-Input!$J$225)/A15taxstdlife))</f>
        <v>0</v>
      </c>
      <c r="R258" s="73"/>
      <c r="S258" s="107"/>
      <c r="T258" s="107"/>
      <c r="U258" s="107"/>
      <c r="V258" s="107"/>
      <c r="W258" s="107"/>
      <c r="X258" s="107"/>
      <c r="Y258" s="107"/>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01"/>
      <c r="BJ258" s="201"/>
      <c r="BK258" s="201"/>
      <c r="BL258" s="201"/>
      <c r="BM258" s="201"/>
      <c r="BN258" s="201"/>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537"/>
      <c r="E259" s="91">
        <v>4</v>
      </c>
      <c r="F259" s="27"/>
      <c r="G259" s="27"/>
      <c r="H259" s="150"/>
      <c r="I259" s="152"/>
      <c r="J259" s="152"/>
      <c r="K259" s="151"/>
      <c r="L259" s="73">
        <f>IF(A15taxstdlife="n/a","n/a",IF(L$3&gt;(A15taxstdlife+$E259),(Input!$K$191-Input!$K$225)-SUM($K259:K259),(Input!$K$191-Input!$K$225)/A15taxstdlife))</f>
        <v>0</v>
      </c>
      <c r="M259" s="73">
        <f>IF(A15taxstdlife="n/a","n/a",IF(M$3&gt;(A15taxstdlife+$E259),(Input!$K$191-Input!$K$225)-SUM($K259:L259),(Input!$K$191-Input!$K$225)/A15taxstdlife))</f>
        <v>0</v>
      </c>
      <c r="N259" s="73">
        <f>IF(A15taxstdlife="n/a","n/a",IF(N$3&gt;(A15taxstdlife+$E259),(Input!$K$191-Input!$K$225)-SUM($K259:M259),(Input!$K$191-Input!$K$225)/A15taxstdlife))</f>
        <v>0</v>
      </c>
      <c r="O259" s="73">
        <f>IF(A15taxstdlife="n/a","n/a",IF(O$3&gt;(A15taxstdlife+$E259),(Input!$K$191-Input!$K$225)-SUM($K259:N259),(Input!$K$191-Input!$K$225)/A15taxstdlife))</f>
        <v>0</v>
      </c>
      <c r="P259" s="73">
        <f>IF(A15taxstdlife="n/a","n/a",IF(P$3&gt;(A15taxstdlife+$E259),(Input!$K$191-Input!$K$225)-SUM($K259:O259),(Input!$K$191-Input!$K$225)/A15taxstdlife))</f>
        <v>0</v>
      </c>
      <c r="Q259" s="73">
        <f>IF(A15taxstdlife="n/a","n/a",IF(Q$3&gt;(A15taxstdlife+$E259),(Input!$K$191-Input!$K$225)-SUM($K259:P259),(Input!$K$191-Input!$K$225)/A15taxstdlife))</f>
        <v>0</v>
      </c>
      <c r="R259" s="73"/>
      <c r="S259" s="107"/>
      <c r="T259" s="107"/>
      <c r="U259" s="107"/>
      <c r="V259" s="107"/>
      <c r="W259" s="107"/>
      <c r="X259" s="107"/>
      <c r="Y259" s="107"/>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01"/>
      <c r="BJ259" s="201"/>
      <c r="BK259" s="201"/>
      <c r="BL259" s="201"/>
      <c r="BM259" s="201"/>
      <c r="BN259" s="201"/>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537"/>
      <c r="E260" s="91">
        <v>5</v>
      </c>
      <c r="F260" s="27"/>
      <c r="G260" s="27"/>
      <c r="H260" s="150"/>
      <c r="I260" s="152"/>
      <c r="J260" s="152"/>
      <c r="K260" s="152"/>
      <c r="L260" s="151"/>
      <c r="M260" s="73">
        <f>IF(A15taxstdlife="n/a","n/a",IF(M$3&gt;(A15taxstdlife+$E260),(Input!$L$191-Input!$L$225)-SUM($L260:L260),(Input!$L$191-Input!$L$225)/A15taxstdlife))</f>
        <v>0</v>
      </c>
      <c r="N260" s="73">
        <f>IF(A15taxstdlife="n/a","n/a",IF(N$3&gt;(A15taxstdlife+$E260),(Input!$L$191-Input!$L$225)-SUM($L260:M260),(Input!$L$191-Input!$L$225)/A15taxstdlife))</f>
        <v>0</v>
      </c>
      <c r="O260" s="73">
        <f>IF(A15taxstdlife="n/a","n/a",IF(O$3&gt;(A15taxstdlife+$E260),(Input!$L$191-Input!$L$225)-SUM($L260:N260),(Input!$L$191-Input!$L$225)/A15taxstdlife))</f>
        <v>0</v>
      </c>
      <c r="P260" s="73">
        <f>IF(A15taxstdlife="n/a","n/a",IF(P$3&gt;(A15taxstdlife+$E260),(Input!$L$191-Input!$L$225)-SUM($L260:O260),(Input!$L$191-Input!$L$225)/A15taxstdlife))</f>
        <v>0</v>
      </c>
      <c r="Q260" s="73">
        <f>IF(A15taxstdlife="n/a","n/a",IF(Q$3&gt;(A15taxstdlife+$E260),(Input!$L$191-Input!$L$225)-SUM($L260:P260),(Input!$L$191-Input!$L$225)/A15taxstdlife))</f>
        <v>0</v>
      </c>
      <c r="R260" s="73"/>
      <c r="S260" s="107"/>
      <c r="T260" s="107"/>
      <c r="U260" s="107"/>
      <c r="V260" s="107"/>
      <c r="W260" s="107"/>
      <c r="X260" s="107"/>
      <c r="Y260" s="107"/>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01"/>
      <c r="BJ260" s="201"/>
      <c r="BK260" s="201"/>
      <c r="BL260" s="201"/>
      <c r="BM260" s="201"/>
      <c r="BN260" s="201"/>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537"/>
      <c r="E261" s="91">
        <v>6</v>
      </c>
      <c r="F261" s="27"/>
      <c r="G261" s="27"/>
      <c r="H261" s="150"/>
      <c r="I261" s="152"/>
      <c r="J261" s="152"/>
      <c r="K261" s="152"/>
      <c r="L261" s="152"/>
      <c r="M261" s="151"/>
      <c r="N261" s="73">
        <f>IF(A15taxstdlife="n/a","n/a",IF(N$3&gt;(A15taxstdlife+$E261),(Input!$M$191-Input!$M$225)-SUM($M261:M261),(Input!$M$191-Input!$M$225)/A15taxstdlife))</f>
        <v>0</v>
      </c>
      <c r="O261" s="73">
        <f>IF(A15taxstdlife="n/a","n/a",IF(O$3&gt;(A15taxstdlife+$E261),(Input!$M$191-Input!$M$225)-SUM($M261:N261),(Input!$M$191-Input!$M$225)/A15taxstdlife))</f>
        <v>0</v>
      </c>
      <c r="P261" s="73">
        <f>IF(A15taxstdlife="n/a","n/a",IF(P$3&gt;(A15taxstdlife+$E261),(Input!$M$191-Input!$M$225)-SUM($M261:O261),(Input!$M$191-Input!$M$225)/A15taxstdlife))</f>
        <v>0</v>
      </c>
      <c r="Q261" s="73">
        <f>IF(A15taxstdlife="n/a","n/a",IF(Q$3&gt;(A15taxstdlife+$E261),(Input!$M$191-Input!$M$225)-SUM($M261:P261),(Input!$M$191-Input!$M$225)/A15taxstdlife))</f>
        <v>0</v>
      </c>
      <c r="R261" s="73"/>
      <c r="S261" s="107"/>
      <c r="T261" s="107"/>
      <c r="U261" s="107"/>
      <c r="V261" s="107"/>
      <c r="W261" s="107"/>
      <c r="X261" s="107"/>
      <c r="Y261" s="107"/>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01"/>
      <c r="BJ261" s="201"/>
      <c r="BK261" s="201"/>
      <c r="BL261" s="201"/>
      <c r="BM261" s="201"/>
      <c r="BN261" s="20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537"/>
      <c r="E262" s="91">
        <v>7</v>
      </c>
      <c r="F262" s="27"/>
      <c r="G262" s="27"/>
      <c r="H262" s="150"/>
      <c r="I262" s="152"/>
      <c r="J262" s="152"/>
      <c r="K262" s="152"/>
      <c r="L262" s="152"/>
      <c r="M262" s="152"/>
      <c r="N262" s="151"/>
      <c r="O262" s="73">
        <f>IF(A15taxstdlife="n/a","n/a",IF(O$3&gt;(A15taxstdlife+$E262),(Input!$N$191-Input!$N$225)-SUM($N262:N262),(Input!$N$191-Input!$N$225)/A15taxstdlife))</f>
        <v>0</v>
      </c>
      <c r="P262" s="73">
        <f>IF(A15taxstdlife="n/a","n/a",IF(P$3&gt;(A15taxstdlife+$E262),(Input!$N$191-Input!$N$225)-SUM($N262:O262),(Input!$N$191-Input!$N$225)/A15taxstdlife))</f>
        <v>0</v>
      </c>
      <c r="Q262" s="73">
        <f>IF(A15taxstdlife="n/a","n/a",IF(Q$3&gt;(A15taxstdlife+$E262),(Input!$N$191-Input!$N$225)-SUM($N262:P262),(Input!$N$191-Input!$N$225)/A15taxstdlife))</f>
        <v>0</v>
      </c>
      <c r="R262" s="73"/>
      <c r="S262" s="107"/>
      <c r="T262" s="107"/>
      <c r="U262" s="107"/>
      <c r="V262" s="107"/>
      <c r="W262" s="107"/>
      <c r="X262" s="107"/>
      <c r="Y262" s="107"/>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01"/>
      <c r="BJ262" s="201"/>
      <c r="BK262" s="201"/>
      <c r="BL262" s="201"/>
      <c r="BM262" s="201"/>
      <c r="BN262" s="201"/>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537"/>
      <c r="E263" s="91">
        <v>8</v>
      </c>
      <c r="F263" s="27"/>
      <c r="G263" s="27"/>
      <c r="H263" s="150"/>
      <c r="I263" s="152"/>
      <c r="J263" s="152"/>
      <c r="K263" s="152"/>
      <c r="L263" s="152"/>
      <c r="M263" s="152"/>
      <c r="N263" s="152"/>
      <c r="O263" s="151"/>
      <c r="P263" s="73">
        <f>IF(A15taxstdlife="n/a","n/a",IF(P$3&gt;(A15taxstdlife+$E263),(Input!$O$191-Input!$O$225)-SUM($O263:O263),(Input!$O$191-Input!$O$225)/A15taxstdlife))</f>
        <v>0</v>
      </c>
      <c r="Q263" s="73">
        <f>IF(A15taxstdlife="n/a","n/a",IF(Q$3&gt;(A15taxstdlife+$E263),(Input!$O$191-Input!$O$225)-SUM($O263:P263),(Input!$O$191-Input!$O$225)/A15taxstdlife))</f>
        <v>0</v>
      </c>
      <c r="R263" s="73"/>
      <c r="S263" s="107"/>
      <c r="T263" s="107"/>
      <c r="U263" s="107"/>
      <c r="V263" s="107"/>
      <c r="W263" s="107"/>
      <c r="X263" s="107"/>
      <c r="Y263" s="107"/>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01"/>
      <c r="BJ263" s="201"/>
      <c r="BK263" s="201"/>
      <c r="BL263" s="201"/>
      <c r="BM263" s="201"/>
      <c r="BN263" s="201"/>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537"/>
      <c r="E264" s="91">
        <v>9</v>
      </c>
      <c r="F264" s="27"/>
      <c r="G264" s="27"/>
      <c r="H264" s="150"/>
      <c r="I264" s="152"/>
      <c r="J264" s="152"/>
      <c r="K264" s="152"/>
      <c r="L264" s="152"/>
      <c r="M264" s="152"/>
      <c r="N264" s="152"/>
      <c r="O264" s="152"/>
      <c r="P264" s="151"/>
      <c r="Q264" s="73">
        <f>IF(A15taxstdlife="n/a","n/a",IF(Q$3&gt;(A15taxstdlife+$E264),(Input!$P$191-Input!$P$225)-SUM($P264:P264),(Input!$P$191-Input!$P$225)/A15taxstdlife))</f>
        <v>0</v>
      </c>
      <c r="R264" s="73"/>
      <c r="S264" s="107"/>
      <c r="T264" s="107"/>
      <c r="U264" s="107"/>
      <c r="V264" s="107"/>
      <c r="W264" s="107"/>
      <c r="X264" s="107"/>
      <c r="Y264" s="107"/>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01"/>
      <c r="BJ264" s="201"/>
      <c r="BK264" s="201"/>
      <c r="BL264" s="201"/>
      <c r="BM264" s="201"/>
      <c r="BN264" s="201"/>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537"/>
      <c r="E265" s="92">
        <v>10</v>
      </c>
      <c r="F265" s="27"/>
      <c r="G265" s="27"/>
      <c r="H265" s="150"/>
      <c r="I265" s="152"/>
      <c r="J265" s="152"/>
      <c r="K265" s="152"/>
      <c r="L265" s="152"/>
      <c r="M265" s="152"/>
      <c r="N265" s="152"/>
      <c r="O265" s="152"/>
      <c r="P265" s="152"/>
      <c r="Q265" s="151"/>
      <c r="R265" s="73"/>
      <c r="S265" s="107"/>
      <c r="T265" s="107"/>
      <c r="U265" s="107"/>
      <c r="V265" s="107"/>
      <c r="W265" s="107"/>
      <c r="X265" s="107"/>
      <c r="Y265" s="107"/>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01"/>
      <c r="BJ265" s="201"/>
      <c r="BK265" s="201"/>
      <c r="BL265" s="201"/>
      <c r="BM265" s="201"/>
      <c r="BN265" s="201"/>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2">
        <f>Asset15</f>
        <v>0</v>
      </c>
      <c r="D266" s="9"/>
      <c r="E266" s="9"/>
      <c r="F266" s="23"/>
      <c r="G266" s="23"/>
      <c r="H266" s="298">
        <f>-SUM(H254:H265)</f>
        <v>0</v>
      </c>
      <c r="I266" s="165">
        <f>-SUM(I254:I265)</f>
        <v>0</v>
      </c>
      <c r="J266" s="165">
        <f>-SUM(J254:J265)</f>
        <v>0</v>
      </c>
      <c r="K266" s="165">
        <f>-SUM(K254:K265)</f>
        <v>0</v>
      </c>
      <c r="L266" s="165">
        <f>-SUM(L254:L265)</f>
        <v>0</v>
      </c>
      <c r="M266" s="165">
        <f>IF(COUNT($H266:L266)&gt;=Input!$Y$7,0, -SUM(M254:M265))</f>
        <v>0</v>
      </c>
      <c r="N266" s="165">
        <f>IF(COUNT($H266:M266)&gt;=Input!$Y$7,0, -SUM(N254:N265))</f>
        <v>0</v>
      </c>
      <c r="O266" s="165">
        <f>IF(COUNT($H266:N266)&gt;=Input!$Y$7,0, -SUM(O254:O265))</f>
        <v>0</v>
      </c>
      <c r="P266" s="165">
        <f>IF(COUNT($H266:O266)&gt;=Input!$Y$7,0, -SUM(P254:P265))</f>
        <v>0</v>
      </c>
      <c r="Q266" s="165">
        <f>IF(COUNT($H266:P266)&gt;=Input!$Y$7,0, -SUM(Q254:Q265))</f>
        <v>0</v>
      </c>
      <c r="R266" s="165"/>
      <c r="S266" s="106"/>
      <c r="T266" s="106"/>
      <c r="U266" s="106"/>
      <c r="V266" s="106"/>
      <c r="W266" s="106"/>
      <c r="X266" s="106"/>
      <c r="Y266" s="106"/>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01"/>
      <c r="BJ266" s="201"/>
      <c r="BK266" s="201"/>
      <c r="BL266" s="201"/>
      <c r="BM266" s="201"/>
      <c r="BN266" s="201"/>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73">
        <f>Asset16</f>
        <v>0</v>
      </c>
      <c r="C267" s="31"/>
      <c r="D267" s="32" t="s">
        <v>43</v>
      </c>
      <c r="E267" s="31"/>
      <c r="F267" s="301"/>
      <c r="G267" s="301"/>
      <c r="H267" s="72">
        <f>IF(H$3&gt;A16taxremlife,A16taxvalue-SUM($F267:F267),IF(A16taxremlife="N/A","n/a",A16taxvalue/A16taxremlife))</f>
        <v>0</v>
      </c>
      <c r="I267" s="72">
        <f>IF(I$3&gt;A16taxremlife,A16taxvalue-SUM($F267:H267),IF(A16taxremlife="N/A","n/a",A16taxvalue/A16taxremlife))</f>
        <v>0</v>
      </c>
      <c r="J267" s="72">
        <f>IF(J$3&gt;A16taxremlife,A16taxvalue-SUM($F267:I267),IF(A16taxremlife="N/A","n/a",A16taxvalue/A16taxremlife))</f>
        <v>0</v>
      </c>
      <c r="K267" s="72">
        <f>IF(K$3&gt;A16taxremlife,A16taxvalue-SUM($F267:J267),IF(A16taxremlife="N/A","n/a",A16taxvalue/A16taxremlife))</f>
        <v>0</v>
      </c>
      <c r="L267" s="72">
        <f>IF(L$3&gt;A16taxremlife,A16taxvalue-SUM($F267:K267),IF(A16taxremlife="N/A","n/a",A16taxvalue/A16taxremlife))</f>
        <v>0</v>
      </c>
      <c r="M267" s="72">
        <f>IF(M$3&gt;A16taxremlife,A16taxvalue-SUM($F267:L267),IF(A16taxremlife="N/A","n/a",A16taxvalue/A16taxremlife))</f>
        <v>0</v>
      </c>
      <c r="N267" s="72">
        <f>IF(N$3&gt;A16taxremlife,A16taxvalue-SUM($F267:M267),IF(A16taxremlife="N/A","n/a",A16taxvalue/A16taxremlife))</f>
        <v>0</v>
      </c>
      <c r="O267" s="72">
        <f>IF(O$3&gt;A16taxremlife,A16taxvalue-SUM($F267:N267),IF(A16taxremlife="N/A","n/a",A16taxvalue/A16taxremlife))</f>
        <v>0</v>
      </c>
      <c r="P267" s="72">
        <f>IF(P$3&gt;A16taxremlife,A16taxvalue-SUM($F267:O267),IF(A16taxremlife="N/A","n/a",A16taxvalue/A16taxremlife))</f>
        <v>0</v>
      </c>
      <c r="Q267" s="72">
        <f>IF(Q$3&gt;A16taxremlife,A16taxvalue-SUM($F267:P267),IF(A16taxremlife="N/A","n/a",A16taxvalue/A16taxremlife))</f>
        <v>0</v>
      </c>
      <c r="R267" s="72"/>
      <c r="S267" s="107"/>
      <c r="T267" s="107"/>
      <c r="U267" s="107"/>
      <c r="V267" s="107"/>
      <c r="W267" s="107"/>
      <c r="X267" s="107"/>
      <c r="Y267" s="107"/>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01"/>
      <c r="BJ267" s="201"/>
      <c r="BK267" s="201"/>
      <c r="BL267" s="201"/>
      <c r="BM267" s="201"/>
      <c r="BN267" s="201"/>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536" t="s">
        <v>59</v>
      </c>
      <c r="E268" s="91"/>
      <c r="F268" s="27"/>
      <c r="G268" s="27"/>
      <c r="H268" s="107"/>
      <c r="I268" s="73"/>
      <c r="J268" s="73"/>
      <c r="K268" s="73"/>
      <c r="L268" s="73"/>
      <c r="M268" s="73"/>
      <c r="N268" s="73"/>
      <c r="O268" s="73"/>
      <c r="P268" s="73"/>
      <c r="Q268" s="73"/>
      <c r="R268" s="73"/>
      <c r="S268" s="107"/>
      <c r="T268" s="107"/>
      <c r="U268" s="107"/>
      <c r="V268" s="107"/>
      <c r="W268" s="107"/>
      <c r="X268" s="107"/>
      <c r="Y268" s="107"/>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01"/>
      <c r="BJ268" s="201"/>
      <c r="BK268" s="201"/>
      <c r="BL268" s="201"/>
      <c r="BM268" s="201"/>
      <c r="BN268" s="201"/>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537"/>
      <c r="E269" s="91">
        <v>1</v>
      </c>
      <c r="F269" s="27"/>
      <c r="G269" s="27"/>
      <c r="H269" s="149"/>
      <c r="I269" s="73">
        <f>IF(A16taxstdlife="n/a","n/a",IF(I$3&gt;(A16taxstdlife+$E269),(Input!$H$192-Input!$H$226)-SUM($H269:H269),(Input!$H$192-Input!$H$226)/A16taxstdlife))</f>
        <v>0</v>
      </c>
      <c r="J269" s="73">
        <f>IF(A16taxstdlife="n/a","n/a",IF(J$3&gt;(A16taxstdlife+$E269),(Input!$H$192-Input!$H$226)-SUM($H269:I269),(Input!$H$192-Input!$H$226)/A16taxstdlife))</f>
        <v>0</v>
      </c>
      <c r="K269" s="73">
        <f>IF(A16taxstdlife="n/a","n/a",IF(K$3&gt;(A16taxstdlife+$E269),(Input!$H$192-Input!$H$226)-SUM($H269:J269),(Input!$H$192-Input!$H$226)/A16taxstdlife))</f>
        <v>0</v>
      </c>
      <c r="L269" s="73">
        <f>IF(A16taxstdlife="n/a","n/a",IF(L$3&gt;(A16taxstdlife+$E269),(Input!$H$192-Input!$H$226)-SUM($H269:K269),(Input!$H$192-Input!$H$226)/A16taxstdlife))</f>
        <v>0</v>
      </c>
      <c r="M269" s="73">
        <f>IF(A16taxstdlife="n/a","n/a",IF(M$3&gt;(A16taxstdlife+$E269),(Input!$H$192-Input!$H$226)-SUM($H269:L269),(Input!$H$192-Input!$H$226)/A16taxstdlife))</f>
        <v>0</v>
      </c>
      <c r="N269" s="73">
        <f>IF(A16taxstdlife="n/a","n/a",IF(N$3&gt;(A16taxstdlife+$E269),(Input!$H$192-Input!$H$226)-SUM($H269:M269),(Input!$H$192-Input!$H$226)/A16taxstdlife))</f>
        <v>0</v>
      </c>
      <c r="O269" s="73">
        <f>IF(A16taxstdlife="n/a","n/a",IF(O$3&gt;(A16taxstdlife+$E269),(Input!$H$192-Input!$H$226)-SUM($H269:N269),(Input!$H$192-Input!$H$226)/A16taxstdlife))</f>
        <v>0</v>
      </c>
      <c r="P269" s="73">
        <f>IF(A16taxstdlife="n/a","n/a",IF(P$3&gt;(A16taxstdlife+$E269),(Input!$H$192-Input!$H$226)-SUM($H269:O269),(Input!$H$192-Input!$H$226)/A16taxstdlife))</f>
        <v>0</v>
      </c>
      <c r="Q269" s="73">
        <f>IF(A16taxstdlife="n/a","n/a",IF(Q$3&gt;(A16taxstdlife+$E269),(Input!$H$192-Input!$H$226)-SUM($H269:P269),(Input!$H$192-Input!$H$226)/A16taxstdlife))</f>
        <v>0</v>
      </c>
      <c r="R269" s="73"/>
      <c r="S269" s="107"/>
      <c r="T269" s="107"/>
      <c r="U269" s="107"/>
      <c r="V269" s="107"/>
      <c r="W269" s="107"/>
      <c r="X269" s="107"/>
      <c r="Y269" s="107"/>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01"/>
      <c r="BJ269" s="201"/>
      <c r="BK269" s="201"/>
      <c r="BL269" s="201"/>
      <c r="BM269" s="201"/>
      <c r="BN269" s="201"/>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537"/>
      <c r="E270" s="91">
        <v>2</v>
      </c>
      <c r="F270" s="27"/>
      <c r="G270" s="27"/>
      <c r="H270" s="150"/>
      <c r="I270" s="151"/>
      <c r="J270" s="73">
        <f>IF(A16taxstdlife="n/a","n/a",IF(J$3&gt;(A16taxstdlife+$E270),(Input!$I$192-Input!$I$226)-SUM($I270:I270),(Input!$I$192-Input!$I$226)/A16taxstdlife))</f>
        <v>0</v>
      </c>
      <c r="K270" s="73">
        <f>IF(A16taxstdlife="n/a","n/a",IF(K$3&gt;(A16taxstdlife+$E270),(Input!$I$192-Input!$I$226)-SUM($I270:J270),(Input!$I$192-Input!$I$226)/A16taxstdlife))</f>
        <v>0</v>
      </c>
      <c r="L270" s="73">
        <f>IF(A16taxstdlife="n/a","n/a",IF(L$3&gt;(A16taxstdlife+$E270),(Input!$I$192-Input!$I$226)-SUM($I270:K270),(Input!$I$192-Input!$I$226)/A16taxstdlife))</f>
        <v>0</v>
      </c>
      <c r="M270" s="73">
        <f>IF(A16taxstdlife="n/a","n/a",IF(M$3&gt;(A16taxstdlife+$E270),(Input!$I$192-Input!$I$226)-SUM($I270:L270),(Input!$I$192-Input!$I$226)/A16taxstdlife))</f>
        <v>0</v>
      </c>
      <c r="N270" s="73">
        <f>IF(A16taxstdlife="n/a","n/a",IF(N$3&gt;(A16taxstdlife+$E270),(Input!$I$192-Input!$I$226)-SUM($I270:M270),(Input!$I$192-Input!$I$226)/A16taxstdlife))</f>
        <v>0</v>
      </c>
      <c r="O270" s="73">
        <f>IF(A16taxstdlife="n/a","n/a",IF(O$3&gt;(A16taxstdlife+$E270),(Input!$I$192-Input!$I$226)-SUM($I270:N270),(Input!$I$192-Input!$I$226)/A16taxstdlife))</f>
        <v>0</v>
      </c>
      <c r="P270" s="73">
        <f>IF(A16taxstdlife="n/a","n/a",IF(P$3&gt;(A16taxstdlife+$E270),(Input!$I$192-Input!$I$226)-SUM($I270:O270),(Input!$I$192-Input!$I$226)/A16taxstdlife))</f>
        <v>0</v>
      </c>
      <c r="Q270" s="73">
        <f>IF(A16taxstdlife="n/a","n/a",IF(Q$3&gt;(A16taxstdlife+$E270),(Input!$I$192-Input!$I$226)-SUM($I270:P270),(Input!$I$192-Input!$I$226)/A16taxstdlife))</f>
        <v>0</v>
      </c>
      <c r="R270" s="73"/>
      <c r="S270" s="107"/>
      <c r="T270" s="107"/>
      <c r="U270" s="107"/>
      <c r="V270" s="107"/>
      <c r="W270" s="107"/>
      <c r="X270" s="107"/>
      <c r="Y270" s="107"/>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01"/>
      <c r="BJ270" s="201"/>
      <c r="BK270" s="201"/>
      <c r="BL270" s="201"/>
      <c r="BM270" s="201"/>
      <c r="BN270" s="201"/>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537"/>
      <c r="E271" s="91">
        <v>3</v>
      </c>
      <c r="F271" s="27"/>
      <c r="G271" s="27"/>
      <c r="H271" s="150"/>
      <c r="I271" s="152"/>
      <c r="J271" s="151"/>
      <c r="K271" s="73">
        <f>IF(A16taxstdlife="n/a","n/a",IF(K$3&gt;(A16taxstdlife+$E271),(Input!$J$192-Input!$J$226)-SUM($J271:J271),(Input!$J$192-Input!$J$226)/A16taxstdlife))</f>
        <v>0</v>
      </c>
      <c r="L271" s="73">
        <f>IF(A16taxstdlife="n/a","n/a",IF(L$3&gt;(A16taxstdlife+$E271),(Input!$J$192-Input!$J$226)-SUM($J271:K271),(Input!$J$192-Input!$J$226)/A16taxstdlife))</f>
        <v>0</v>
      </c>
      <c r="M271" s="73">
        <f>IF(A16taxstdlife="n/a","n/a",IF(M$3&gt;(A16taxstdlife+$E271),(Input!$J$192-Input!$J$226)-SUM($J271:L271),(Input!$J$192-Input!$J$226)/A16taxstdlife))</f>
        <v>0</v>
      </c>
      <c r="N271" s="73">
        <f>IF(A16taxstdlife="n/a","n/a",IF(N$3&gt;(A16taxstdlife+$E271),(Input!$J$192-Input!$J$226)-SUM($J271:M271),(Input!$J$192-Input!$J$226)/A16taxstdlife))</f>
        <v>0</v>
      </c>
      <c r="O271" s="73">
        <f>IF(A16taxstdlife="n/a","n/a",IF(O$3&gt;(A16taxstdlife+$E271),(Input!$J$192-Input!$J$226)-SUM($J271:N271),(Input!$J$192-Input!$J$226)/A16taxstdlife))</f>
        <v>0</v>
      </c>
      <c r="P271" s="73">
        <f>IF(A16taxstdlife="n/a","n/a",IF(P$3&gt;(A16taxstdlife+$E271),(Input!$J$192-Input!$J$226)-SUM($J271:O271),(Input!$J$192-Input!$J$226)/A16taxstdlife))</f>
        <v>0</v>
      </c>
      <c r="Q271" s="73">
        <f>IF(A16taxstdlife="n/a","n/a",IF(Q$3&gt;(A16taxstdlife+$E271),(Input!$J$192-Input!$J$226)-SUM($J271:P271),(Input!$J$192-Input!$J$226)/A16taxstdlife))</f>
        <v>0</v>
      </c>
      <c r="R271" s="73"/>
      <c r="S271" s="107"/>
      <c r="T271" s="107"/>
      <c r="U271" s="107"/>
      <c r="V271" s="107"/>
      <c r="W271" s="107"/>
      <c r="X271" s="107"/>
      <c r="Y271" s="107"/>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01"/>
      <c r="BJ271" s="201"/>
      <c r="BK271" s="201"/>
      <c r="BL271" s="201"/>
      <c r="BM271" s="201"/>
      <c r="BN271" s="20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537"/>
      <c r="E272" s="91">
        <v>4</v>
      </c>
      <c r="F272" s="27"/>
      <c r="G272" s="27"/>
      <c r="H272" s="150"/>
      <c r="I272" s="152"/>
      <c r="J272" s="152"/>
      <c r="K272" s="151"/>
      <c r="L272" s="73">
        <f>IF(A16taxstdlife="n/a","n/a",IF(L$3&gt;(A16taxstdlife+$E272),(Input!$K$192-Input!$K$226)-SUM($K272:K272),(Input!$K$192-Input!$K$226)/A16taxstdlife))</f>
        <v>0</v>
      </c>
      <c r="M272" s="73">
        <f>IF(A16taxstdlife="n/a","n/a",IF(M$3&gt;(A16taxstdlife+$E272),(Input!$K$192-Input!$K$226)-SUM($K272:L272),(Input!$K$192-Input!$K$226)/A16taxstdlife))</f>
        <v>0</v>
      </c>
      <c r="N272" s="73">
        <f>IF(A16taxstdlife="n/a","n/a",IF(N$3&gt;(A16taxstdlife+$E272),(Input!$K$192-Input!$K$226)-SUM($K272:M272),(Input!$K$192-Input!$K$226)/A16taxstdlife))</f>
        <v>0</v>
      </c>
      <c r="O272" s="73">
        <f>IF(A16taxstdlife="n/a","n/a",IF(O$3&gt;(A16taxstdlife+$E272),(Input!$K$192-Input!$K$226)-SUM($K272:N272),(Input!$K$192-Input!$K$226)/A16taxstdlife))</f>
        <v>0</v>
      </c>
      <c r="P272" s="73">
        <f>IF(A16taxstdlife="n/a","n/a",IF(P$3&gt;(A16taxstdlife+$E272),(Input!$K$192-Input!$K$226)-SUM($K272:O272),(Input!$K$192-Input!$K$226)/A16taxstdlife))</f>
        <v>0</v>
      </c>
      <c r="Q272" s="73">
        <f>IF(A16taxstdlife="n/a","n/a",IF(Q$3&gt;(A16taxstdlife+$E272),(Input!$K$192-Input!$K$226)-SUM($K272:P272),(Input!$K$192-Input!$K$226)/A16taxstdlife))</f>
        <v>0</v>
      </c>
      <c r="R272" s="73"/>
      <c r="S272" s="107"/>
      <c r="T272" s="107"/>
      <c r="U272" s="107"/>
      <c r="V272" s="107"/>
      <c r="W272" s="107"/>
      <c r="X272" s="107"/>
      <c r="Y272" s="107"/>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01"/>
      <c r="BJ272" s="201"/>
      <c r="BK272" s="201"/>
      <c r="BL272" s="201"/>
      <c r="BM272" s="201"/>
      <c r="BN272" s="201"/>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537"/>
      <c r="E273" s="91">
        <v>5</v>
      </c>
      <c r="F273" s="27"/>
      <c r="G273" s="27"/>
      <c r="H273" s="150"/>
      <c r="I273" s="152"/>
      <c r="J273" s="152"/>
      <c r="K273" s="152"/>
      <c r="L273" s="151"/>
      <c r="M273" s="73">
        <f>IF(A16taxstdlife="n/a","n/a",IF(M$3&gt;(A16taxstdlife+$E273),(Input!$L$192-Input!$L$226)-SUM($L273:L273),(Input!$L$192-Input!$L$226)/A16taxstdlife))</f>
        <v>0</v>
      </c>
      <c r="N273" s="73">
        <f>IF(A16taxstdlife="n/a","n/a",IF(N$3&gt;(A16taxstdlife+$E273),(Input!$L$192-Input!$L$226)-SUM($L273:M273),(Input!$L$192-Input!$L$226)/A16taxstdlife))</f>
        <v>0</v>
      </c>
      <c r="O273" s="73">
        <f>IF(A16taxstdlife="n/a","n/a",IF(O$3&gt;(A16taxstdlife+$E273),(Input!$L$192-Input!$L$226)-SUM($L273:N273),(Input!$L$192-Input!$L$226)/A16taxstdlife))</f>
        <v>0</v>
      </c>
      <c r="P273" s="73">
        <f>IF(A16taxstdlife="n/a","n/a",IF(P$3&gt;(A16taxstdlife+$E273),(Input!$L$192-Input!$L$226)-SUM($L273:O273),(Input!$L$192-Input!$L$226)/A16taxstdlife))</f>
        <v>0</v>
      </c>
      <c r="Q273" s="73">
        <f>IF(A16taxstdlife="n/a","n/a",IF(Q$3&gt;(A16taxstdlife+$E273),(Input!$L$192-Input!$L$226)-SUM($L273:P273),(Input!$L$192-Input!$L$226)/A16taxstdlife))</f>
        <v>0</v>
      </c>
      <c r="R273" s="73"/>
      <c r="S273" s="107"/>
      <c r="T273" s="107"/>
      <c r="U273" s="107"/>
      <c r="V273" s="107"/>
      <c r="W273" s="107"/>
      <c r="X273" s="107"/>
      <c r="Y273" s="107"/>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01"/>
      <c r="BJ273" s="201"/>
      <c r="BK273" s="201"/>
      <c r="BL273" s="201"/>
      <c r="BM273" s="201"/>
      <c r="BN273" s="201"/>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537"/>
      <c r="E274" s="91">
        <v>6</v>
      </c>
      <c r="F274" s="27"/>
      <c r="G274" s="27"/>
      <c r="H274" s="150"/>
      <c r="I274" s="152"/>
      <c r="J274" s="152"/>
      <c r="K274" s="152"/>
      <c r="L274" s="152"/>
      <c r="M274" s="151"/>
      <c r="N274" s="73">
        <f>IF(A16taxstdlife="n/a","n/a",IF(N$3&gt;(A16taxstdlife+$E274),(Input!$M$192-Input!$M$226)-SUM($M274:M274),(Input!$M$192-Input!$M$226)/A16taxstdlife))</f>
        <v>0</v>
      </c>
      <c r="O274" s="73">
        <f>IF(A16taxstdlife="n/a","n/a",IF(O$3&gt;(A16taxstdlife+$E274),(Input!$M$192-Input!$M$226)-SUM($M274:N274),(Input!$M$192-Input!$M$226)/A16taxstdlife))</f>
        <v>0</v>
      </c>
      <c r="P274" s="73">
        <f>IF(A16taxstdlife="n/a","n/a",IF(P$3&gt;(A16taxstdlife+$E274),(Input!$M$192-Input!$M$226)-SUM($M274:O274),(Input!$M$192-Input!$M$226)/A16taxstdlife))</f>
        <v>0</v>
      </c>
      <c r="Q274" s="73">
        <f>IF(A16taxstdlife="n/a","n/a",IF(Q$3&gt;(A16taxstdlife+$E274),(Input!$M$192-Input!$M$226)-SUM($M274:P274),(Input!$M$192-Input!$M$226)/A16taxstdlife))</f>
        <v>0</v>
      </c>
      <c r="R274" s="73"/>
      <c r="S274" s="107"/>
      <c r="T274" s="107"/>
      <c r="U274" s="107"/>
      <c r="V274" s="107"/>
      <c r="W274" s="107"/>
      <c r="X274" s="107"/>
      <c r="Y274" s="107"/>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01"/>
      <c r="BJ274" s="201"/>
      <c r="BK274" s="201"/>
      <c r="BL274" s="201"/>
      <c r="BM274" s="201"/>
      <c r="BN274" s="201"/>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537"/>
      <c r="E275" s="91">
        <v>7</v>
      </c>
      <c r="F275" s="27"/>
      <c r="G275" s="27"/>
      <c r="H275" s="150"/>
      <c r="I275" s="152"/>
      <c r="J275" s="152"/>
      <c r="K275" s="152"/>
      <c r="L275" s="152"/>
      <c r="M275" s="152"/>
      <c r="N275" s="151"/>
      <c r="O275" s="73">
        <f>IF(A16taxstdlife="n/a","n/a",IF(O$3&gt;(A16taxstdlife+$E275),(Input!$N$192-Input!$N$226)-SUM($N275:N275),(Input!$N$192-Input!$N$226)/A16taxstdlife))</f>
        <v>0</v>
      </c>
      <c r="P275" s="73">
        <f>IF(A16taxstdlife="n/a","n/a",IF(P$3&gt;(A16taxstdlife+$E275),(Input!$N$192-Input!$N$226)-SUM($N275:O275),(Input!$N$192-Input!$N$226)/A16taxstdlife))</f>
        <v>0</v>
      </c>
      <c r="Q275" s="73">
        <f>IF(A16taxstdlife="n/a","n/a",IF(Q$3&gt;(A16taxstdlife+$E275),(Input!$N$192-Input!$N$226)-SUM($N275:P275),(Input!$N$192-Input!$N$226)/A16taxstdlife))</f>
        <v>0</v>
      </c>
      <c r="R275" s="73"/>
      <c r="S275" s="107"/>
      <c r="T275" s="107"/>
      <c r="U275" s="107"/>
      <c r="V275" s="107"/>
      <c r="W275" s="107"/>
      <c r="X275" s="107"/>
      <c r="Y275" s="107"/>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2"/>
      <c r="BJ275" s="201"/>
      <c r="BK275" s="201"/>
      <c r="BL275" s="201"/>
      <c r="BM275" s="201"/>
      <c r="BN275" s="201"/>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537"/>
      <c r="E276" s="91">
        <v>8</v>
      </c>
      <c r="F276" s="27"/>
      <c r="G276" s="27"/>
      <c r="H276" s="150"/>
      <c r="I276" s="152"/>
      <c r="J276" s="152"/>
      <c r="K276" s="152"/>
      <c r="L276" s="152"/>
      <c r="M276" s="152"/>
      <c r="N276" s="152"/>
      <c r="O276" s="151"/>
      <c r="P276" s="73">
        <f>IF(A16taxstdlife="n/a","n/a",IF(P$3&gt;(A16taxstdlife+$E276),(Input!$O$192-Input!$O$226)-SUM($O276:O276),(Input!$O$192-Input!$O$226)/A16taxstdlife))</f>
        <v>0</v>
      </c>
      <c r="Q276" s="73">
        <f>IF(A16taxstdlife="n/a","n/a",IF(Q$3&gt;(A16taxstdlife+$E276),(Input!$O$192-Input!$O$226)-SUM($O276:P276),(Input!$O$192-Input!$O$226)/A16taxstdlife))</f>
        <v>0</v>
      </c>
      <c r="R276" s="73"/>
      <c r="S276" s="107"/>
      <c r="T276" s="107"/>
      <c r="U276" s="107"/>
      <c r="V276" s="107"/>
      <c r="W276" s="107"/>
      <c r="X276" s="107"/>
      <c r="Y276" s="107"/>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01"/>
      <c r="BJ276" s="201"/>
      <c r="BK276" s="201"/>
      <c r="BL276" s="201"/>
      <c r="BM276" s="201"/>
      <c r="BN276" s="201"/>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537"/>
      <c r="E277" s="91">
        <v>9</v>
      </c>
      <c r="F277" s="27"/>
      <c r="G277" s="27"/>
      <c r="H277" s="150"/>
      <c r="I277" s="152"/>
      <c r="J277" s="152"/>
      <c r="K277" s="152"/>
      <c r="L277" s="152"/>
      <c r="M277" s="152"/>
      <c r="N277" s="152"/>
      <c r="O277" s="152"/>
      <c r="P277" s="151"/>
      <c r="Q277" s="73">
        <f>IF(A16taxstdlife="n/a","n/a",IF(Q$3&gt;(A16taxstdlife+$E277),(Input!$P$192-Input!$P$226)-SUM($P277:P277),(Input!$P$192-Input!$P$226)/A16taxstdlife))</f>
        <v>0</v>
      </c>
      <c r="R277" s="73"/>
      <c r="S277" s="107"/>
      <c r="T277" s="107"/>
      <c r="U277" s="107"/>
      <c r="V277" s="107"/>
      <c r="W277" s="107"/>
      <c r="X277" s="107"/>
      <c r="Y277" s="107"/>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01"/>
      <c r="BJ277" s="201"/>
      <c r="BK277" s="201"/>
      <c r="BL277" s="201"/>
      <c r="BM277" s="201"/>
      <c r="BN277" s="201"/>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537"/>
      <c r="E278" s="92">
        <v>10</v>
      </c>
      <c r="F278" s="27"/>
      <c r="G278" s="27"/>
      <c r="H278" s="150"/>
      <c r="I278" s="152"/>
      <c r="J278" s="152"/>
      <c r="K278" s="152"/>
      <c r="L278" s="152"/>
      <c r="M278" s="152"/>
      <c r="N278" s="152"/>
      <c r="O278" s="152"/>
      <c r="P278" s="152"/>
      <c r="Q278" s="151"/>
      <c r="R278" s="73"/>
      <c r="S278" s="107"/>
      <c r="T278" s="107"/>
      <c r="U278" s="107"/>
      <c r="V278" s="107"/>
      <c r="W278" s="107"/>
      <c r="X278" s="107"/>
      <c r="Y278" s="107"/>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01"/>
      <c r="BJ278" s="201"/>
      <c r="BK278" s="201"/>
      <c r="BL278" s="201"/>
      <c r="BM278" s="201"/>
      <c r="BN278" s="201"/>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2">
        <f>Asset16</f>
        <v>0</v>
      </c>
      <c r="D279" s="9"/>
      <c r="E279" s="9"/>
      <c r="F279" s="23"/>
      <c r="G279" s="23"/>
      <c r="H279" s="298">
        <f>-SUM(H267:H278)</f>
        <v>0</v>
      </c>
      <c r="I279" s="165">
        <f>-SUM(I267:I278)</f>
        <v>0</v>
      </c>
      <c r="J279" s="165">
        <f>-SUM(J267:J278)</f>
        <v>0</v>
      </c>
      <c r="K279" s="165">
        <f>-SUM(K267:K278)</f>
        <v>0</v>
      </c>
      <c r="L279" s="165">
        <f>-SUM(L267:L278)</f>
        <v>0</v>
      </c>
      <c r="M279" s="165">
        <f>IF(COUNT($H279:L279)&gt;=Input!$Y$7,0, -SUM(M267:M278))</f>
        <v>0</v>
      </c>
      <c r="N279" s="165">
        <f>IF(COUNT($H279:M279)&gt;=Input!$Y$7,0, -SUM(N267:N278))</f>
        <v>0</v>
      </c>
      <c r="O279" s="165">
        <f>IF(COUNT($H279:N279)&gt;=Input!$Y$7,0, -SUM(O267:O278))</f>
        <v>0</v>
      </c>
      <c r="P279" s="165">
        <f>IF(COUNT($H279:O279)&gt;=Input!$Y$7,0, -SUM(P267:P278))</f>
        <v>0</v>
      </c>
      <c r="Q279" s="165">
        <f>IF(COUNT($H279:P279)&gt;=Input!$Y$7,0, -SUM(Q267:Q278))</f>
        <v>0</v>
      </c>
      <c r="R279" s="165"/>
      <c r="S279" s="106"/>
      <c r="T279" s="106"/>
      <c r="U279" s="106"/>
      <c r="V279" s="106"/>
      <c r="W279" s="106"/>
      <c r="X279" s="106"/>
      <c r="Y279" s="106"/>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01"/>
      <c r="BJ279" s="201"/>
      <c r="BK279" s="201"/>
      <c r="BL279" s="201"/>
      <c r="BM279" s="201"/>
      <c r="BN279" s="201"/>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74">
        <f>Asset17</f>
        <v>0</v>
      </c>
      <c r="C280" s="31"/>
      <c r="D280" s="32" t="s">
        <v>43</v>
      </c>
      <c r="E280" s="31"/>
      <c r="F280" s="301"/>
      <c r="G280" s="301"/>
      <c r="H280" s="72">
        <f>IF(H$3&gt;A17taxremlife,A17taxvalue-SUM($F280:F280),IF(A17taxremlife="N/A","n/a",A17taxvalue/A17taxremlife))</f>
        <v>0</v>
      </c>
      <c r="I280" s="72">
        <f>IF(I$3&gt;A17taxremlife,A17taxvalue-SUM($F280:H280),IF(A17taxremlife="N/A","n/a",A17taxvalue/A17taxremlife))</f>
        <v>0</v>
      </c>
      <c r="J280" s="72">
        <f>IF(J$3&gt;A17taxremlife,A17taxvalue-SUM($F280:I280),IF(A17taxremlife="N/A","n/a",A17taxvalue/A17taxremlife))</f>
        <v>0</v>
      </c>
      <c r="K280" s="72">
        <f>IF(K$3&gt;A17taxremlife,A17taxvalue-SUM($F280:J280),IF(A17taxremlife="N/A","n/a",A17taxvalue/A17taxremlife))</f>
        <v>0</v>
      </c>
      <c r="L280" s="72">
        <f>IF(L$3&gt;A17taxremlife,A17taxvalue-SUM($F280:K280),IF(A17taxremlife="N/A","n/a",A17taxvalue/A17taxremlife))</f>
        <v>0</v>
      </c>
      <c r="M280" s="72">
        <f>IF(M$3&gt;A17taxremlife,A17taxvalue-SUM($F280:L280),IF(A17taxremlife="N/A","n/a",A17taxvalue/A17taxremlife))</f>
        <v>0</v>
      </c>
      <c r="N280" s="72">
        <f>IF(N$3&gt;A17taxremlife,A17taxvalue-SUM($F280:M280),IF(A17taxremlife="N/A","n/a",A17taxvalue/A17taxremlife))</f>
        <v>0</v>
      </c>
      <c r="O280" s="72">
        <f>IF(O$3&gt;A17taxremlife,A17taxvalue-SUM($F280:N280),IF(A17taxremlife="N/A","n/a",A17taxvalue/A17taxremlife))</f>
        <v>0</v>
      </c>
      <c r="P280" s="72">
        <f>IF(P$3&gt;A17taxremlife,A17taxvalue-SUM($F280:O280),IF(A17taxremlife="N/A","n/a",A17taxvalue/A17taxremlife))</f>
        <v>0</v>
      </c>
      <c r="Q280" s="72">
        <f>IF(Q$3&gt;A17taxremlife,A17taxvalue-SUM($F280:P280),IF(A17taxremlife="N/A","n/a",A17taxvalue/A17taxremlife))</f>
        <v>0</v>
      </c>
      <c r="R280" s="72"/>
      <c r="S280" s="107"/>
      <c r="T280" s="107"/>
      <c r="U280" s="107"/>
      <c r="V280" s="107"/>
      <c r="W280" s="107"/>
      <c r="X280" s="107"/>
      <c r="Y280" s="107"/>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01"/>
      <c r="BJ280" s="201"/>
      <c r="BK280" s="201"/>
      <c r="BL280" s="201"/>
      <c r="BM280" s="201"/>
      <c r="BN280" s="201"/>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536" t="s">
        <v>59</v>
      </c>
      <c r="E281" s="91"/>
      <c r="F281" s="27"/>
      <c r="G281" s="27"/>
      <c r="H281" s="107"/>
      <c r="I281" s="73"/>
      <c r="J281" s="73"/>
      <c r="K281" s="73"/>
      <c r="L281" s="73"/>
      <c r="M281" s="73"/>
      <c r="N281" s="73"/>
      <c r="O281" s="73"/>
      <c r="P281" s="73"/>
      <c r="Q281" s="73"/>
      <c r="R281" s="73"/>
      <c r="S281" s="107"/>
      <c r="T281" s="107"/>
      <c r="U281" s="107"/>
      <c r="V281" s="107"/>
      <c r="W281" s="107"/>
      <c r="X281" s="107"/>
      <c r="Y281" s="107"/>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01"/>
      <c r="BJ281" s="201"/>
      <c r="BK281" s="201"/>
      <c r="BL281" s="201"/>
      <c r="BM281" s="201"/>
      <c r="BN281" s="20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537"/>
      <c r="E282" s="91">
        <v>1</v>
      </c>
      <c r="F282" s="27"/>
      <c r="G282" s="27"/>
      <c r="H282" s="149"/>
      <c r="I282" s="73">
        <f>IF(A17taxstdlife="n/a","n/a",IF(I$3&gt;(A17taxstdlife+$E282),(Input!$H$193-Input!$H$227)-SUM($H282:H282),(Input!$H$193-Input!$H$227)/A17taxstdlife))</f>
        <v>0</v>
      </c>
      <c r="J282" s="73">
        <f>IF(A17taxstdlife="n/a","n/a",IF(J$3&gt;(A17taxstdlife+$E282),(Input!$H$193-Input!$H$227)-SUM($H282:I282),(Input!$H$193-Input!$H$227)/A17taxstdlife))</f>
        <v>0</v>
      </c>
      <c r="K282" s="73">
        <f>IF(A17taxstdlife="n/a","n/a",IF(K$3&gt;(A17taxstdlife+$E282),(Input!$H$193-Input!$H$227)-SUM($H282:J282),(Input!$H$193-Input!$H$227)/A17taxstdlife))</f>
        <v>0</v>
      </c>
      <c r="L282" s="73">
        <f>IF(A17taxstdlife="n/a","n/a",IF(L$3&gt;(A17taxstdlife+$E282),(Input!$H$193-Input!$H$227)-SUM($H282:K282),(Input!$H$193-Input!$H$227)/A17taxstdlife))</f>
        <v>0</v>
      </c>
      <c r="M282" s="73">
        <f>IF(A17taxstdlife="n/a","n/a",IF(M$3&gt;(A17taxstdlife+$E282),(Input!$H$193-Input!$H$227)-SUM($H282:L282),(Input!$H$193-Input!$H$227)/A17taxstdlife))</f>
        <v>0</v>
      </c>
      <c r="N282" s="73">
        <f>IF(A17taxstdlife="n/a","n/a",IF(N$3&gt;(A17taxstdlife+$E282),(Input!$H$193-Input!$H$227)-SUM($H282:M282),(Input!$H$193-Input!$H$227)/A17taxstdlife))</f>
        <v>0</v>
      </c>
      <c r="O282" s="73">
        <f>IF(A17taxstdlife="n/a","n/a",IF(O$3&gt;(A17taxstdlife+$E282),(Input!$H$193-Input!$H$227)-SUM($H282:N282),(Input!$H$193-Input!$H$227)/A17taxstdlife))</f>
        <v>0</v>
      </c>
      <c r="P282" s="73">
        <f>IF(A17taxstdlife="n/a","n/a",IF(P$3&gt;(A17taxstdlife+$E282),(Input!$H$193-Input!$H$227)-SUM($H282:O282),(Input!$H$193-Input!$H$227)/A17taxstdlife))</f>
        <v>0</v>
      </c>
      <c r="Q282" s="73">
        <f>IF(A17taxstdlife="n/a","n/a",IF(Q$3&gt;(A17taxstdlife+$E282),(Input!$H$193-Input!$H$227)-SUM($H282:P282),(Input!$H$193-Input!$H$227)/A17taxstdlife))</f>
        <v>0</v>
      </c>
      <c r="R282" s="73"/>
      <c r="S282" s="107"/>
      <c r="T282" s="107"/>
      <c r="U282" s="107"/>
      <c r="V282" s="107"/>
      <c r="W282" s="107"/>
      <c r="X282" s="107"/>
      <c r="Y282" s="107"/>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01"/>
      <c r="BJ282" s="201"/>
      <c r="BK282" s="201"/>
      <c r="BL282" s="201"/>
      <c r="BM282" s="201"/>
      <c r="BN282" s="201"/>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537"/>
      <c r="E283" s="91">
        <v>2</v>
      </c>
      <c r="F283" s="27"/>
      <c r="G283" s="27"/>
      <c r="H283" s="150"/>
      <c r="I283" s="151"/>
      <c r="J283" s="73">
        <f>IF(A17taxstdlife="n/a","n/a",IF(J$3&gt;(A17taxstdlife+$E283),(Input!$I$193-Input!$I$227)-SUM($I283:I283),(Input!$I$193-Input!$I$227)/A17taxstdlife))</f>
        <v>0</v>
      </c>
      <c r="K283" s="73">
        <f>IF(A17taxstdlife="n/a","n/a",IF(K$3&gt;(A17taxstdlife+$E283),(Input!$I$193-Input!$I$227)-SUM($I283:J283),(Input!$I$193-Input!$I$227)/A17taxstdlife))</f>
        <v>0</v>
      </c>
      <c r="L283" s="73">
        <f>IF(A17taxstdlife="n/a","n/a",IF(L$3&gt;(A17taxstdlife+$E283),(Input!$I$193-Input!$I$227)-SUM($I283:K283),(Input!$I$193-Input!$I$227)/A17taxstdlife))</f>
        <v>0</v>
      </c>
      <c r="M283" s="73">
        <f>IF(A17taxstdlife="n/a","n/a",IF(M$3&gt;(A17taxstdlife+$E283),(Input!$I$193-Input!$I$227)-SUM($I283:L283),(Input!$I$193-Input!$I$227)/A17taxstdlife))</f>
        <v>0</v>
      </c>
      <c r="N283" s="73">
        <f>IF(A17taxstdlife="n/a","n/a",IF(N$3&gt;(A17taxstdlife+$E283),(Input!$I$193-Input!$I$227)-SUM($I283:M283),(Input!$I$193-Input!$I$227)/A17taxstdlife))</f>
        <v>0</v>
      </c>
      <c r="O283" s="73">
        <f>IF(A17taxstdlife="n/a","n/a",IF(O$3&gt;(A17taxstdlife+$E283),(Input!$I$193-Input!$I$227)-SUM($I283:N283),(Input!$I$193-Input!$I$227)/A17taxstdlife))</f>
        <v>0</v>
      </c>
      <c r="P283" s="73">
        <f>IF(A17taxstdlife="n/a","n/a",IF(P$3&gt;(A17taxstdlife+$E283),(Input!$I$193-Input!$I$227)-SUM($I283:O283),(Input!$I$193-Input!$I$227)/A17taxstdlife))</f>
        <v>0</v>
      </c>
      <c r="Q283" s="73">
        <f>IF(A17taxstdlife="n/a","n/a",IF(Q$3&gt;(A17taxstdlife+$E283),(Input!$I$193-Input!$I$227)-SUM($I283:P283),(Input!$I$193-Input!$I$227)/A17taxstdlife))</f>
        <v>0</v>
      </c>
      <c r="R283" s="73"/>
      <c r="S283" s="107"/>
      <c r="T283" s="107"/>
      <c r="U283" s="107"/>
      <c r="V283" s="107"/>
      <c r="W283" s="107"/>
      <c r="X283" s="107"/>
      <c r="Y283" s="107"/>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01"/>
      <c r="BJ283" s="201"/>
      <c r="BK283" s="201"/>
      <c r="BL283" s="201"/>
      <c r="BM283" s="201"/>
      <c r="BN283" s="201"/>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537"/>
      <c r="E284" s="91">
        <v>3</v>
      </c>
      <c r="F284" s="27"/>
      <c r="G284" s="27"/>
      <c r="H284" s="150"/>
      <c r="I284" s="152"/>
      <c r="J284" s="151"/>
      <c r="K284" s="73">
        <f>IF(A17taxstdlife="n/a","n/a",IF(K$3&gt;(A17taxstdlife+$E284),(Input!$J$193-Input!$J$227)-SUM($J284:J284),(Input!$J$193-Input!$J$227)/A17taxstdlife))</f>
        <v>0</v>
      </c>
      <c r="L284" s="73">
        <f>IF(A17taxstdlife="n/a","n/a",IF(L$3&gt;(A17taxstdlife+$E284),(Input!$J$193-Input!$J$227)-SUM($J284:K284),(Input!$J$193-Input!$J$227)/A17taxstdlife))</f>
        <v>0</v>
      </c>
      <c r="M284" s="73">
        <f>IF(A17taxstdlife="n/a","n/a",IF(M$3&gt;(A17taxstdlife+$E284),(Input!$J$193-Input!$J$227)-SUM($J284:L284),(Input!$J$193-Input!$J$227)/A17taxstdlife))</f>
        <v>0</v>
      </c>
      <c r="N284" s="73">
        <f>IF(A17taxstdlife="n/a","n/a",IF(N$3&gt;(A17taxstdlife+$E284),(Input!$J$193-Input!$J$227)-SUM($J284:M284),(Input!$J$193-Input!$J$227)/A17taxstdlife))</f>
        <v>0</v>
      </c>
      <c r="O284" s="73">
        <f>IF(A17taxstdlife="n/a","n/a",IF(O$3&gt;(A17taxstdlife+$E284),(Input!$J$193-Input!$J$227)-SUM($J284:N284),(Input!$J$193-Input!$J$227)/A17taxstdlife))</f>
        <v>0</v>
      </c>
      <c r="P284" s="73">
        <f>IF(A17taxstdlife="n/a","n/a",IF(P$3&gt;(A17taxstdlife+$E284),(Input!$J$193-Input!$J$227)-SUM($J284:O284),(Input!$J$193-Input!$J$227)/A17taxstdlife))</f>
        <v>0</v>
      </c>
      <c r="Q284" s="73">
        <f>IF(A17taxstdlife="n/a","n/a",IF(Q$3&gt;(A17taxstdlife+$E284),(Input!$J$193-Input!$J$227)-SUM($J284:P284),(Input!$J$193-Input!$J$227)/A17taxstdlife))</f>
        <v>0</v>
      </c>
      <c r="R284" s="73"/>
      <c r="S284" s="107"/>
      <c r="T284" s="107"/>
      <c r="U284" s="107"/>
      <c r="V284" s="107"/>
      <c r="W284" s="107"/>
      <c r="X284" s="107"/>
      <c r="Y284" s="107"/>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01"/>
      <c r="BJ284" s="201"/>
      <c r="BK284" s="201"/>
      <c r="BL284" s="201"/>
      <c r="BM284" s="201"/>
      <c r="BN284" s="201"/>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537"/>
      <c r="E285" s="91">
        <v>4</v>
      </c>
      <c r="F285" s="27"/>
      <c r="G285" s="27"/>
      <c r="H285" s="150"/>
      <c r="I285" s="152"/>
      <c r="J285" s="152"/>
      <c r="K285" s="151"/>
      <c r="L285" s="73">
        <f>IF(A17taxstdlife="n/a","n/a",IF(L$3&gt;(A17taxstdlife+$E285),(Input!$K$193-Input!$K$227)-SUM($K285:K285),(Input!$K$193-Input!$K$227)/A17taxstdlife))</f>
        <v>0</v>
      </c>
      <c r="M285" s="73">
        <f>IF(A17taxstdlife="n/a","n/a",IF(M$3&gt;(A17taxstdlife+$E285),(Input!$K$193-Input!$K$227)-SUM($K285:L285),(Input!$K$193-Input!$K$227)/A17taxstdlife))</f>
        <v>0</v>
      </c>
      <c r="N285" s="73">
        <f>IF(A17taxstdlife="n/a","n/a",IF(N$3&gt;(A17taxstdlife+$E285),(Input!$K$193-Input!$K$227)-SUM($K285:M285),(Input!$K$193-Input!$K$227)/A17taxstdlife))</f>
        <v>0</v>
      </c>
      <c r="O285" s="73">
        <f>IF(A17taxstdlife="n/a","n/a",IF(O$3&gt;(A17taxstdlife+$E285),(Input!$K$193-Input!$K$227)-SUM($K285:N285),(Input!$K$193-Input!$K$227)/A17taxstdlife))</f>
        <v>0</v>
      </c>
      <c r="P285" s="73">
        <f>IF(A17taxstdlife="n/a","n/a",IF(P$3&gt;(A17taxstdlife+$E285),(Input!$K$193-Input!$K$227)-SUM($K285:O285),(Input!$K$193-Input!$K$227)/A17taxstdlife))</f>
        <v>0</v>
      </c>
      <c r="Q285" s="73">
        <f>IF(A17taxstdlife="n/a","n/a",IF(Q$3&gt;(A17taxstdlife+$E285),(Input!$K$193-Input!$K$227)-SUM($K285:P285),(Input!$K$193-Input!$K$227)/A17taxstdlife))</f>
        <v>0</v>
      </c>
      <c r="R285" s="73"/>
      <c r="S285" s="107"/>
      <c r="T285" s="107"/>
      <c r="U285" s="107"/>
      <c r="V285" s="107"/>
      <c r="W285" s="107"/>
      <c r="X285" s="107"/>
      <c r="Y285" s="107"/>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01"/>
      <c r="BJ285" s="201"/>
      <c r="BK285" s="201"/>
      <c r="BL285" s="201"/>
      <c r="BM285" s="201"/>
      <c r="BN285" s="201"/>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537"/>
      <c r="E286" s="91">
        <v>5</v>
      </c>
      <c r="F286" s="27"/>
      <c r="G286" s="27"/>
      <c r="H286" s="150"/>
      <c r="I286" s="152"/>
      <c r="J286" s="152"/>
      <c r="K286" s="152"/>
      <c r="L286" s="151"/>
      <c r="M286" s="73">
        <f>IF(A17taxstdlife="n/a","n/a",IF(M$3&gt;(A17taxstdlife+$E286),(Input!$L$193-Input!$L$227)-SUM($L286:L286),(Input!$L$193-Input!$L$227)/A17taxstdlife))</f>
        <v>0</v>
      </c>
      <c r="N286" s="73">
        <f>IF(A17taxstdlife="n/a","n/a",IF(N$3&gt;(A17taxstdlife+$E286),(Input!$L$193-Input!$L$227)-SUM($L286:M286),(Input!$L$193-Input!$L$227)/A17taxstdlife))</f>
        <v>0</v>
      </c>
      <c r="O286" s="73">
        <f>IF(A17taxstdlife="n/a","n/a",IF(O$3&gt;(A17taxstdlife+$E286),(Input!$L$193-Input!$L$227)-SUM($L286:N286),(Input!$L$193-Input!$L$227)/A17taxstdlife))</f>
        <v>0</v>
      </c>
      <c r="P286" s="73">
        <f>IF(A17taxstdlife="n/a","n/a",IF(P$3&gt;(A17taxstdlife+$E286),(Input!$L$193-Input!$L$227)-SUM($L286:O286),(Input!$L$193-Input!$L$227)/A17taxstdlife))</f>
        <v>0</v>
      </c>
      <c r="Q286" s="73">
        <f>IF(A17taxstdlife="n/a","n/a",IF(Q$3&gt;(A17taxstdlife+$E286),(Input!$L$193-Input!$L$227)-SUM($L286:P286),(Input!$L$193-Input!$L$227)/A17taxstdlife))</f>
        <v>0</v>
      </c>
      <c r="R286" s="73"/>
      <c r="S286" s="107"/>
      <c r="T286" s="107"/>
      <c r="U286" s="107"/>
      <c r="V286" s="107"/>
      <c r="W286" s="107"/>
      <c r="X286" s="107"/>
      <c r="Y286" s="107"/>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01"/>
      <c r="BJ286" s="201"/>
      <c r="BK286" s="201"/>
      <c r="BL286" s="201"/>
      <c r="BM286" s="201"/>
      <c r="BN286" s="201"/>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537"/>
      <c r="E287" s="91">
        <v>6</v>
      </c>
      <c r="F287" s="27"/>
      <c r="G287" s="27"/>
      <c r="H287" s="150"/>
      <c r="I287" s="152"/>
      <c r="J287" s="152"/>
      <c r="K287" s="152"/>
      <c r="L287" s="152"/>
      <c r="M287" s="151"/>
      <c r="N287" s="73">
        <f>IF(A17taxstdlife="n/a","n/a",IF(N$3&gt;(A17taxstdlife+$E287),(Input!$M$193-Input!$M$227)-SUM($M287:M287),(Input!$M$193-Input!$M$227)/A17taxstdlife))</f>
        <v>0</v>
      </c>
      <c r="O287" s="73">
        <f>IF(A17taxstdlife="n/a","n/a",IF(O$3&gt;(A17taxstdlife+$E287),(Input!$M$193-Input!$M$227)-SUM($M287:N287),(Input!$M$193-Input!$M$227)/A17taxstdlife))</f>
        <v>0</v>
      </c>
      <c r="P287" s="73">
        <f>IF(A17taxstdlife="n/a","n/a",IF(P$3&gt;(A17taxstdlife+$E287),(Input!$M$193-Input!$M$227)-SUM($M287:O287),(Input!$M$193-Input!$M$227)/A17taxstdlife))</f>
        <v>0</v>
      </c>
      <c r="Q287" s="73">
        <f>IF(A17taxstdlife="n/a","n/a",IF(Q$3&gt;(A17taxstdlife+$E287),(Input!$M$193-Input!$M$227)-SUM($M287:P287),(Input!$M$193-Input!$M$227)/A17taxstdlife))</f>
        <v>0</v>
      </c>
      <c r="R287" s="73"/>
      <c r="S287" s="107"/>
      <c r="T287" s="107"/>
      <c r="U287" s="107"/>
      <c r="V287" s="107"/>
      <c r="W287" s="107"/>
      <c r="X287" s="107"/>
      <c r="Y287" s="107"/>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01"/>
      <c r="BJ287" s="201"/>
      <c r="BK287" s="201"/>
      <c r="BL287" s="201"/>
      <c r="BM287" s="201"/>
      <c r="BN287" s="201"/>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537"/>
      <c r="E288" s="91">
        <v>7</v>
      </c>
      <c r="F288" s="27"/>
      <c r="G288" s="27"/>
      <c r="H288" s="150"/>
      <c r="I288" s="152"/>
      <c r="J288" s="152"/>
      <c r="K288" s="152"/>
      <c r="L288" s="152"/>
      <c r="M288" s="152"/>
      <c r="N288" s="151"/>
      <c r="O288" s="73">
        <f>IF(A17taxstdlife="n/a","n/a",IF(O$3&gt;(A17taxstdlife+$E288),(Input!$N$193-Input!$N$227)-SUM($N288:N288),(Input!$N$193-Input!$N$227)/A17taxstdlife))</f>
        <v>0</v>
      </c>
      <c r="P288" s="73">
        <f>IF(A17taxstdlife="n/a","n/a",IF(P$3&gt;(A17taxstdlife+$E288),(Input!$N$193-Input!$N$227)-SUM($N288:O288),(Input!$N$193-Input!$N$227)/A17taxstdlife))</f>
        <v>0</v>
      </c>
      <c r="Q288" s="73">
        <f>IF(A17taxstdlife="n/a","n/a",IF(Q$3&gt;(A17taxstdlife+$E288),(Input!$N$193-Input!$N$227)-SUM($N288:P288),(Input!$N$193-Input!$N$227)/A17taxstdlife))</f>
        <v>0</v>
      </c>
      <c r="R288" s="73"/>
      <c r="S288" s="107"/>
      <c r="T288" s="107"/>
      <c r="U288" s="107"/>
      <c r="V288" s="107"/>
      <c r="W288" s="107"/>
      <c r="X288" s="107"/>
      <c r="Y288" s="107"/>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01"/>
      <c r="BJ288" s="201"/>
      <c r="BK288" s="201"/>
      <c r="BL288" s="201"/>
      <c r="BM288" s="201"/>
      <c r="BN288" s="201"/>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537"/>
      <c r="E289" s="91">
        <v>8</v>
      </c>
      <c r="F289" s="27"/>
      <c r="G289" s="27"/>
      <c r="H289" s="150"/>
      <c r="I289" s="152"/>
      <c r="J289" s="152"/>
      <c r="K289" s="152"/>
      <c r="L289" s="152"/>
      <c r="M289" s="152"/>
      <c r="N289" s="152"/>
      <c r="O289" s="151"/>
      <c r="P289" s="73">
        <f>IF(A17taxstdlife="n/a","n/a",IF(P$3&gt;(A17taxstdlife+$E289),(Input!$O$193-Input!$O$227)-SUM($O289:O289),(Input!$O$193-Input!$O$227)/A17taxstdlife))</f>
        <v>0</v>
      </c>
      <c r="Q289" s="73">
        <f>IF(A17taxstdlife="n/a","n/a",IF(Q$3&gt;(A17taxstdlife+$E289),(Input!$O$193-Input!$O$227)-SUM($O289:P289),(Input!$O$193-Input!$O$227)/A17taxstdlife))</f>
        <v>0</v>
      </c>
      <c r="R289" s="73"/>
      <c r="S289" s="107"/>
      <c r="T289" s="107"/>
      <c r="U289" s="107"/>
      <c r="V289" s="107"/>
      <c r="W289" s="107"/>
      <c r="X289" s="107"/>
      <c r="Y289" s="107"/>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01"/>
      <c r="BJ289" s="201"/>
      <c r="BK289" s="201"/>
      <c r="BL289" s="201"/>
      <c r="BM289" s="201"/>
      <c r="BN289" s="201"/>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537"/>
      <c r="E290" s="91">
        <v>9</v>
      </c>
      <c r="F290" s="27"/>
      <c r="G290" s="27"/>
      <c r="H290" s="150"/>
      <c r="I290" s="152"/>
      <c r="J290" s="152"/>
      <c r="K290" s="152"/>
      <c r="L290" s="152"/>
      <c r="M290" s="152"/>
      <c r="N290" s="152"/>
      <c r="O290" s="152"/>
      <c r="P290" s="151"/>
      <c r="Q290" s="73">
        <f>IF(A17taxstdlife="n/a","n/a",IF(Q$3&gt;(A17taxstdlife+$E290),(Input!$P$193-Input!$P$227)-SUM($P290:P290),(Input!$P$193-Input!$P$227)/A17taxstdlife))</f>
        <v>0</v>
      </c>
      <c r="R290" s="73"/>
      <c r="S290" s="107"/>
      <c r="T290" s="107"/>
      <c r="U290" s="107"/>
      <c r="V290" s="107"/>
      <c r="W290" s="107"/>
      <c r="X290" s="107"/>
      <c r="Y290" s="107"/>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01"/>
      <c r="BJ290" s="201"/>
      <c r="BK290" s="201"/>
      <c r="BL290" s="201"/>
      <c r="BM290" s="201"/>
      <c r="BN290" s="201"/>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537"/>
      <c r="E291" s="92">
        <v>10</v>
      </c>
      <c r="F291" s="27"/>
      <c r="G291" s="27"/>
      <c r="H291" s="150"/>
      <c r="I291" s="152"/>
      <c r="J291" s="152"/>
      <c r="K291" s="152"/>
      <c r="L291" s="152"/>
      <c r="M291" s="152"/>
      <c r="N291" s="152"/>
      <c r="O291" s="152"/>
      <c r="P291" s="152"/>
      <c r="Q291" s="151"/>
      <c r="R291" s="73"/>
      <c r="S291" s="107"/>
      <c r="T291" s="107"/>
      <c r="U291" s="107"/>
      <c r="V291" s="107"/>
      <c r="W291" s="107"/>
      <c r="X291" s="107"/>
      <c r="Y291" s="107"/>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01"/>
      <c r="BJ291" s="201"/>
      <c r="BK291" s="201"/>
      <c r="BL291" s="201"/>
      <c r="BM291" s="201"/>
      <c r="BN291" s="20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2">
        <f>Asset17</f>
        <v>0</v>
      </c>
      <c r="D292" s="9"/>
      <c r="E292" s="9"/>
      <c r="F292" s="23"/>
      <c r="G292" s="23"/>
      <c r="H292" s="298">
        <f>-SUM(H280:H291)</f>
        <v>0</v>
      </c>
      <c r="I292" s="165">
        <f>-SUM(I280:I291)</f>
        <v>0</v>
      </c>
      <c r="J292" s="165">
        <f>-SUM(J280:J291)</f>
        <v>0</v>
      </c>
      <c r="K292" s="165">
        <f>-SUM(K280:K291)</f>
        <v>0</v>
      </c>
      <c r="L292" s="165">
        <f>-SUM(L280:L291)</f>
        <v>0</v>
      </c>
      <c r="M292" s="165">
        <f>IF(COUNT($H292:L292)&gt;=Input!$Y$7,0, -SUM(M280:M291))</f>
        <v>0</v>
      </c>
      <c r="N292" s="165">
        <f>IF(COUNT($H292:M292)&gt;=Input!$Y$7,0, -SUM(N280:N291))</f>
        <v>0</v>
      </c>
      <c r="O292" s="165">
        <f>IF(COUNT($H292:N292)&gt;=Input!$Y$7,0, -SUM(O280:O291))</f>
        <v>0</v>
      </c>
      <c r="P292" s="165">
        <f>IF(COUNT($H292:O292)&gt;=Input!$Y$7,0, -SUM(P280:P291))</f>
        <v>0</v>
      </c>
      <c r="Q292" s="165">
        <f>IF(COUNT($H292:P292)&gt;=Input!$Y$7,0, -SUM(Q280:Q291))</f>
        <v>0</v>
      </c>
      <c r="R292" s="165"/>
      <c r="S292" s="106"/>
      <c r="T292" s="106"/>
      <c r="U292" s="106"/>
      <c r="V292" s="106"/>
      <c r="W292" s="106"/>
      <c r="X292" s="106"/>
      <c r="Y292" s="106"/>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01"/>
      <c r="BJ292" s="201"/>
      <c r="BK292" s="201"/>
      <c r="BL292" s="201"/>
      <c r="BM292" s="201"/>
      <c r="BN292" s="201"/>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74">
        <f>Asset18</f>
        <v>0</v>
      </c>
      <c r="C293" s="31"/>
      <c r="D293" s="32" t="s">
        <v>43</v>
      </c>
      <c r="E293" s="31"/>
      <c r="F293" s="301"/>
      <c r="G293" s="301"/>
      <c r="H293" s="72">
        <f>IF(H$3&gt;A18taxremlife,A18taxvalue-SUM($F293:F293),IF(A18taxremlife="N/A","n/a",A18taxvalue/A18taxremlife))</f>
        <v>0</v>
      </c>
      <c r="I293" s="72">
        <f>IF(I$3&gt;A18taxremlife,A18taxvalue-SUM($F293:H293),IF(A18taxremlife="N/A","n/a",A18taxvalue/A18taxremlife))</f>
        <v>0</v>
      </c>
      <c r="J293" s="72">
        <f>IF(J$3&gt;A18taxremlife,A18taxvalue-SUM($F293:I293),IF(A18taxremlife="N/A","n/a",A18taxvalue/A18taxremlife))</f>
        <v>0</v>
      </c>
      <c r="K293" s="72">
        <f>IF(K$3&gt;A18taxremlife,A18taxvalue-SUM($F293:J293),IF(A18taxremlife="N/A","n/a",A18taxvalue/A18taxremlife))</f>
        <v>0</v>
      </c>
      <c r="L293" s="72">
        <f>IF(L$3&gt;A18taxremlife,A18taxvalue-SUM($F293:K293),IF(A18taxremlife="N/A","n/a",A18taxvalue/A18taxremlife))</f>
        <v>0</v>
      </c>
      <c r="M293" s="72">
        <f>IF(M$3&gt;A18taxremlife,A18taxvalue-SUM($F293:L293),IF(A18taxremlife="N/A","n/a",A18taxvalue/A18taxremlife))</f>
        <v>0</v>
      </c>
      <c r="N293" s="72">
        <f>IF(N$3&gt;A18taxremlife,A18taxvalue-SUM($F293:M293),IF(A18taxremlife="N/A","n/a",A18taxvalue/A18taxremlife))</f>
        <v>0</v>
      </c>
      <c r="O293" s="72">
        <f>IF(O$3&gt;A18taxremlife,A18taxvalue-SUM($F293:N293),IF(A18taxremlife="N/A","n/a",A18taxvalue/A18taxremlife))</f>
        <v>0</v>
      </c>
      <c r="P293" s="72">
        <f>IF(P$3&gt;A18taxremlife,A18taxvalue-SUM($F293:O293),IF(A18taxremlife="N/A","n/a",A18taxvalue/A18taxremlife))</f>
        <v>0</v>
      </c>
      <c r="Q293" s="72">
        <f>IF(Q$3&gt;A18taxremlife,A18taxvalue-SUM($F293:P293),IF(A18taxremlife="N/A","n/a",A18taxvalue/A18taxremlife))</f>
        <v>0</v>
      </c>
      <c r="R293" s="72"/>
      <c r="S293" s="107"/>
      <c r="T293" s="107"/>
      <c r="U293" s="107"/>
      <c r="V293" s="107"/>
      <c r="W293" s="107"/>
      <c r="X293" s="107"/>
      <c r="Y293" s="107"/>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01"/>
      <c r="BJ293" s="201"/>
      <c r="BK293" s="201"/>
      <c r="BL293" s="201"/>
      <c r="BM293" s="201"/>
      <c r="BN293" s="201"/>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536" t="s">
        <v>59</v>
      </c>
      <c r="E294" s="91"/>
      <c r="F294" s="27"/>
      <c r="G294" s="27"/>
      <c r="H294" s="107"/>
      <c r="I294" s="73"/>
      <c r="J294" s="73"/>
      <c r="K294" s="73"/>
      <c r="L294" s="73"/>
      <c r="M294" s="73"/>
      <c r="N294" s="73"/>
      <c r="O294" s="73"/>
      <c r="P294" s="73"/>
      <c r="Q294" s="73"/>
      <c r="R294" s="73"/>
      <c r="S294" s="107"/>
      <c r="T294" s="107"/>
      <c r="U294" s="107"/>
      <c r="V294" s="107"/>
      <c r="W294" s="107"/>
      <c r="X294" s="107"/>
      <c r="Y294" s="107"/>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01"/>
      <c r="BJ294" s="201"/>
      <c r="BK294" s="201"/>
      <c r="BL294" s="201"/>
      <c r="BM294" s="201"/>
      <c r="BN294" s="201"/>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537"/>
      <c r="E295" s="91">
        <v>1</v>
      </c>
      <c r="F295" s="27"/>
      <c r="G295" s="27"/>
      <c r="H295" s="149"/>
      <c r="I295" s="73">
        <f>IF(A18taxstdlife="n/a","n/a",IF(I$3&gt;(A18taxstdlife+$E295),(Input!$H$194-Input!$H$228)-SUM($H295:H295),(Input!$H$194-Input!$H$228)/A18taxstdlife))</f>
        <v>0</v>
      </c>
      <c r="J295" s="73">
        <f>IF(A18taxstdlife="n/a","n/a",IF(J$3&gt;(A18taxstdlife+$E295),(Input!$H$194-Input!$H$228)-SUM($H295:I295),(Input!$H$194-Input!$H$228)/A18taxstdlife))</f>
        <v>0</v>
      </c>
      <c r="K295" s="73">
        <f>IF(A18taxstdlife="n/a","n/a",IF(K$3&gt;(A18taxstdlife+$E295),(Input!$H$194-Input!$H$228)-SUM($H295:J295),(Input!$H$194-Input!$H$228)/A18taxstdlife))</f>
        <v>0</v>
      </c>
      <c r="L295" s="73">
        <f>IF(A18taxstdlife="n/a","n/a",IF(L$3&gt;(A18taxstdlife+$E295),(Input!$H$194-Input!$H$228)-SUM($H295:K295),(Input!$H$194-Input!$H$228)/A18taxstdlife))</f>
        <v>0</v>
      </c>
      <c r="M295" s="73">
        <f>IF(A18taxstdlife="n/a","n/a",IF(M$3&gt;(A18taxstdlife+$E295),(Input!$H$194-Input!$H$228)-SUM($H295:L295),(Input!$H$194-Input!$H$228)/A18taxstdlife))</f>
        <v>0</v>
      </c>
      <c r="N295" s="73">
        <f>IF(A18taxstdlife="n/a","n/a",IF(N$3&gt;(A18taxstdlife+$E295),(Input!$H$194-Input!$H$228)-SUM($H295:M295),(Input!$H$194-Input!$H$228)/A18taxstdlife))</f>
        <v>0</v>
      </c>
      <c r="O295" s="73">
        <f>IF(A18taxstdlife="n/a","n/a",IF(O$3&gt;(A18taxstdlife+$E295),(Input!$H$194-Input!$H$228)-SUM($H295:N295),(Input!$H$194-Input!$H$228)/A18taxstdlife))</f>
        <v>0</v>
      </c>
      <c r="P295" s="73">
        <f>IF(A18taxstdlife="n/a","n/a",IF(P$3&gt;(A18taxstdlife+$E295),(Input!$H$194-Input!$H$228)-SUM($H295:O295),(Input!$H$194-Input!$H$228)/A18taxstdlife))</f>
        <v>0</v>
      </c>
      <c r="Q295" s="73">
        <f>IF(A18taxstdlife="n/a","n/a",IF(Q$3&gt;(A18taxstdlife+$E295),(Input!$H$194-Input!$H$228)-SUM($H295:P295),(Input!$H$194-Input!$H$228)/A18taxstdlife))</f>
        <v>0</v>
      </c>
      <c r="R295" s="73"/>
      <c r="S295" s="107"/>
      <c r="T295" s="107"/>
      <c r="U295" s="107"/>
      <c r="V295" s="107"/>
      <c r="W295" s="107"/>
      <c r="X295" s="107"/>
      <c r="Y295" s="107"/>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01"/>
      <c r="BJ295" s="201"/>
      <c r="BK295" s="201"/>
      <c r="BL295" s="201"/>
      <c r="BM295" s="201"/>
      <c r="BN295" s="201"/>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537"/>
      <c r="E296" s="91">
        <v>2</v>
      </c>
      <c r="F296" s="27"/>
      <c r="G296" s="27"/>
      <c r="H296" s="150"/>
      <c r="I296" s="151"/>
      <c r="J296" s="73">
        <f>IF(A18taxstdlife="n/a","n/a",IF(J$3&gt;(A18taxstdlife+$E296),(Input!$I$194-Input!$I$228)-SUM($I296:I296),(Input!$I$194-Input!$I$228)/A18taxstdlife))</f>
        <v>0</v>
      </c>
      <c r="K296" s="73">
        <f>IF(A18taxstdlife="n/a","n/a",IF(K$3&gt;(A18taxstdlife+$E296),(Input!$I$194-Input!$I$228)-SUM($I296:J296),(Input!$I$194-Input!$I$228)/A18taxstdlife))</f>
        <v>0</v>
      </c>
      <c r="L296" s="73">
        <f>IF(A18taxstdlife="n/a","n/a",IF(L$3&gt;(A18taxstdlife+$E296),(Input!$I$194-Input!$I$228)-SUM($I296:K296),(Input!$I$194-Input!$I$228)/A18taxstdlife))</f>
        <v>0</v>
      </c>
      <c r="M296" s="73">
        <f>IF(A18taxstdlife="n/a","n/a",IF(M$3&gt;(A18taxstdlife+$E296),(Input!$I$194-Input!$I$228)-SUM($I296:L296),(Input!$I$194-Input!$I$228)/A18taxstdlife))</f>
        <v>0</v>
      </c>
      <c r="N296" s="73">
        <f>IF(A18taxstdlife="n/a","n/a",IF(N$3&gt;(A18taxstdlife+$E296),(Input!$I$194-Input!$I$228)-SUM($I296:M296),(Input!$I$194-Input!$I$228)/A18taxstdlife))</f>
        <v>0</v>
      </c>
      <c r="O296" s="73">
        <f>IF(A18taxstdlife="n/a","n/a",IF(O$3&gt;(A18taxstdlife+$E296),(Input!$I$194-Input!$I$228)-SUM($I296:N296),(Input!$I$194-Input!$I$228)/A18taxstdlife))</f>
        <v>0</v>
      </c>
      <c r="P296" s="73">
        <f>IF(A18taxstdlife="n/a","n/a",IF(P$3&gt;(A18taxstdlife+$E296),(Input!$I$194-Input!$I$228)-SUM($I296:O296),(Input!$I$194-Input!$I$228)/A18taxstdlife))</f>
        <v>0</v>
      </c>
      <c r="Q296" s="73">
        <f>IF(A18taxstdlife="n/a","n/a",IF(Q$3&gt;(A18taxstdlife+$E296),(Input!$I$194-Input!$I$228)-SUM($I296:P296),(Input!$I$194-Input!$I$228)/A18taxstdlife))</f>
        <v>0</v>
      </c>
      <c r="R296" s="73"/>
      <c r="S296" s="107"/>
      <c r="T296" s="107"/>
      <c r="U296" s="107"/>
      <c r="V296" s="107"/>
      <c r="W296" s="107"/>
      <c r="X296" s="107"/>
      <c r="Y296" s="107"/>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01"/>
      <c r="BJ296" s="201"/>
      <c r="BK296" s="201"/>
      <c r="BL296" s="201"/>
      <c r="BM296" s="201"/>
      <c r="BN296" s="201"/>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537"/>
      <c r="E297" s="91">
        <v>3</v>
      </c>
      <c r="F297" s="27"/>
      <c r="G297" s="27"/>
      <c r="H297" s="150"/>
      <c r="I297" s="152"/>
      <c r="J297" s="151"/>
      <c r="K297" s="73">
        <f>IF(A18taxstdlife="n/a","n/a",IF(K$3&gt;(A18taxstdlife+$E297),(Input!$J$194-Input!$J$228)-SUM($J297:J297),(Input!$J$194-Input!$J$228)/A18taxstdlife))</f>
        <v>0</v>
      </c>
      <c r="L297" s="73">
        <f>IF(A18taxstdlife="n/a","n/a",IF(L$3&gt;(A18taxstdlife+$E297),(Input!$J$194-Input!$J$228)-SUM($J297:K297),(Input!$J$194-Input!$J$228)/A18taxstdlife))</f>
        <v>0</v>
      </c>
      <c r="M297" s="73">
        <f>IF(A18taxstdlife="n/a","n/a",IF(M$3&gt;(A18taxstdlife+$E297),(Input!$J$194-Input!$J$228)-SUM($J297:L297),(Input!$J$194-Input!$J$228)/A18taxstdlife))</f>
        <v>0</v>
      </c>
      <c r="N297" s="73">
        <f>IF(A18taxstdlife="n/a","n/a",IF(N$3&gt;(A18taxstdlife+$E297),(Input!$J$194-Input!$J$228)-SUM($J297:M297),(Input!$J$194-Input!$J$228)/A18taxstdlife))</f>
        <v>0</v>
      </c>
      <c r="O297" s="73">
        <f>IF(A18taxstdlife="n/a","n/a",IF(O$3&gt;(A18taxstdlife+$E297),(Input!$J$194-Input!$J$228)-SUM($J297:N297),(Input!$J$194-Input!$J$228)/A18taxstdlife))</f>
        <v>0</v>
      </c>
      <c r="P297" s="73">
        <f>IF(A18taxstdlife="n/a","n/a",IF(P$3&gt;(A18taxstdlife+$E297),(Input!$J$194-Input!$J$228)-SUM($J297:O297),(Input!$J$194-Input!$J$228)/A18taxstdlife))</f>
        <v>0</v>
      </c>
      <c r="Q297" s="73">
        <f>IF(A18taxstdlife="n/a","n/a",IF(Q$3&gt;(A18taxstdlife+$E297),(Input!$J$194-Input!$J$228)-SUM($J297:P297),(Input!$J$194-Input!$J$228)/A18taxstdlife))</f>
        <v>0</v>
      </c>
      <c r="R297" s="73"/>
      <c r="S297" s="107"/>
      <c r="T297" s="107"/>
      <c r="U297" s="107"/>
      <c r="V297" s="107"/>
      <c r="W297" s="107"/>
      <c r="X297" s="107"/>
      <c r="Y297" s="107"/>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01"/>
      <c r="BJ297" s="201"/>
      <c r="BK297" s="201"/>
      <c r="BL297" s="201"/>
      <c r="BM297" s="201"/>
      <c r="BN297" s="201"/>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537"/>
      <c r="E298" s="91">
        <v>4</v>
      </c>
      <c r="F298" s="27"/>
      <c r="G298" s="27"/>
      <c r="H298" s="150"/>
      <c r="I298" s="152"/>
      <c r="J298" s="152"/>
      <c r="K298" s="151"/>
      <c r="L298" s="73">
        <f>IF(A18taxstdlife="n/a","n/a",IF(L$3&gt;(A18taxstdlife+$E298),(Input!$K$194-Input!$K$228)-SUM($K298:K298),(Input!$K$194-Input!$K$228)/A18taxstdlife))</f>
        <v>0</v>
      </c>
      <c r="M298" s="73">
        <f>IF(A18taxstdlife="n/a","n/a",IF(M$3&gt;(A18taxstdlife+$E298),(Input!$K$194-Input!$K$228)-SUM($K298:L298),(Input!$K$194-Input!$K$228)/A18taxstdlife))</f>
        <v>0</v>
      </c>
      <c r="N298" s="73">
        <f>IF(A18taxstdlife="n/a","n/a",IF(N$3&gt;(A18taxstdlife+$E298),(Input!$K$194-Input!$K$228)-SUM($K298:M298),(Input!$K$194-Input!$K$228)/A18taxstdlife))</f>
        <v>0</v>
      </c>
      <c r="O298" s="73">
        <f>IF(A18taxstdlife="n/a","n/a",IF(O$3&gt;(A18taxstdlife+$E298),(Input!$K$194-Input!$K$228)-SUM($K298:N298),(Input!$K$194-Input!$K$228)/A18taxstdlife))</f>
        <v>0</v>
      </c>
      <c r="P298" s="73">
        <f>IF(A18taxstdlife="n/a","n/a",IF(P$3&gt;(A18taxstdlife+$E298),(Input!$K$194-Input!$K$228)-SUM($K298:O298),(Input!$K$194-Input!$K$228)/A18taxstdlife))</f>
        <v>0</v>
      </c>
      <c r="Q298" s="73">
        <f>IF(A18taxstdlife="n/a","n/a",IF(Q$3&gt;(A18taxstdlife+$E298),(Input!$K$194-Input!$K$228)-SUM($K298:P298),(Input!$K$194-Input!$K$228)/A18taxstdlife))</f>
        <v>0</v>
      </c>
      <c r="R298" s="73"/>
      <c r="S298" s="107"/>
      <c r="T298" s="107"/>
      <c r="U298" s="107"/>
      <c r="V298" s="107"/>
      <c r="W298" s="107"/>
      <c r="X298" s="107"/>
      <c r="Y298" s="107"/>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01"/>
      <c r="BJ298" s="201"/>
      <c r="BK298" s="201"/>
      <c r="BL298" s="201"/>
      <c r="BM298" s="201"/>
      <c r="BN298" s="201"/>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537"/>
      <c r="E299" s="91">
        <v>5</v>
      </c>
      <c r="F299" s="27"/>
      <c r="G299" s="27"/>
      <c r="H299" s="150"/>
      <c r="I299" s="152"/>
      <c r="J299" s="152"/>
      <c r="K299" s="152"/>
      <c r="L299" s="151"/>
      <c r="M299" s="73">
        <f>IF(A18taxstdlife="n/a","n/a",IF(M$3&gt;(A18taxstdlife+$E299),(Input!$L$194-Input!$L$228)-SUM($L299:L299),(Input!$L$194-Input!$L$228)/A18taxstdlife))</f>
        <v>0</v>
      </c>
      <c r="N299" s="73">
        <f>IF(A18taxstdlife="n/a","n/a",IF(N$3&gt;(A18taxstdlife+$E299),(Input!$L$194-Input!$L$228)-SUM($L299:M299),(Input!$L$194-Input!$L$228)/A18taxstdlife))</f>
        <v>0</v>
      </c>
      <c r="O299" s="73">
        <f>IF(A18taxstdlife="n/a","n/a",IF(O$3&gt;(A18taxstdlife+$E299),(Input!$L$194-Input!$L$228)-SUM($L299:N299),(Input!$L$194-Input!$L$228)/A18taxstdlife))</f>
        <v>0</v>
      </c>
      <c r="P299" s="73">
        <f>IF(A18taxstdlife="n/a","n/a",IF(P$3&gt;(A18taxstdlife+$E299),(Input!$L$194-Input!$L$228)-SUM($L299:O299),(Input!$L$194-Input!$L$228)/A18taxstdlife))</f>
        <v>0</v>
      </c>
      <c r="Q299" s="73">
        <f>IF(A18taxstdlife="n/a","n/a",IF(Q$3&gt;(A18taxstdlife+$E299),(Input!$L$194-Input!$L$228)-SUM($L299:P299),(Input!$L$194-Input!$L$228)/A18taxstdlife))</f>
        <v>0</v>
      </c>
      <c r="R299" s="73"/>
      <c r="S299" s="107"/>
      <c r="T299" s="107"/>
      <c r="U299" s="107"/>
      <c r="V299" s="107"/>
      <c r="W299" s="107"/>
      <c r="X299" s="107"/>
      <c r="Y299" s="107"/>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01"/>
      <c r="BJ299" s="201"/>
      <c r="BK299" s="201"/>
      <c r="BL299" s="201"/>
      <c r="BM299" s="201"/>
      <c r="BN299" s="201"/>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537"/>
      <c r="E300" s="91">
        <v>6</v>
      </c>
      <c r="F300" s="27"/>
      <c r="G300" s="27"/>
      <c r="H300" s="150"/>
      <c r="I300" s="152"/>
      <c r="J300" s="152"/>
      <c r="K300" s="152"/>
      <c r="L300" s="152"/>
      <c r="M300" s="151"/>
      <c r="N300" s="73">
        <f>IF(A18taxstdlife="n/a","n/a",IF(N$3&gt;(A18taxstdlife+$E300),(Input!$M$194-Input!$M$228)-SUM($M300:M300),(Input!$M$194-Input!$M$228)/A18taxstdlife))</f>
        <v>0</v>
      </c>
      <c r="O300" s="73">
        <f>IF(A18taxstdlife="n/a","n/a",IF(O$3&gt;(A18taxstdlife+$E300),(Input!$M$194-Input!$M$228)-SUM($M300:N300),(Input!$M$194-Input!$M$228)/A18taxstdlife))</f>
        <v>0</v>
      </c>
      <c r="P300" s="73">
        <f>IF(A18taxstdlife="n/a","n/a",IF(P$3&gt;(A18taxstdlife+$E300),(Input!$M$194-Input!$M$228)-SUM($M300:O300),(Input!$M$194-Input!$M$228)/A18taxstdlife))</f>
        <v>0</v>
      </c>
      <c r="Q300" s="73">
        <f>IF(A18taxstdlife="n/a","n/a",IF(Q$3&gt;(A18taxstdlife+$E300),(Input!$M$194-Input!$M$228)-SUM($M300:P300),(Input!$M$194-Input!$M$228)/A18taxstdlife))</f>
        <v>0</v>
      </c>
      <c r="R300" s="73"/>
      <c r="S300" s="107"/>
      <c r="T300" s="107"/>
      <c r="U300" s="107"/>
      <c r="V300" s="107"/>
      <c r="W300" s="107"/>
      <c r="X300" s="107"/>
      <c r="Y300" s="107"/>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01"/>
      <c r="BJ300" s="201"/>
      <c r="BK300" s="201"/>
      <c r="BL300" s="201"/>
      <c r="BM300" s="201"/>
      <c r="BN300" s="201"/>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537"/>
      <c r="E301" s="91">
        <v>7</v>
      </c>
      <c r="F301" s="27"/>
      <c r="G301" s="27"/>
      <c r="H301" s="150"/>
      <c r="I301" s="152"/>
      <c r="J301" s="152"/>
      <c r="K301" s="152"/>
      <c r="L301" s="152"/>
      <c r="M301" s="152"/>
      <c r="N301" s="151"/>
      <c r="O301" s="73">
        <f>IF(A18taxstdlife="n/a","n/a",IF(O$3&gt;(A18taxstdlife+$E301),(Input!$N$194-Input!$N$228)-SUM($N301:N301),(Input!$N$194-Input!$N$228)/A18taxstdlife))</f>
        <v>0</v>
      </c>
      <c r="P301" s="73">
        <f>IF(A18taxstdlife="n/a","n/a",IF(P$3&gt;(A18taxstdlife+$E301),(Input!$N$194-Input!$N$228)-SUM($N301:O301),(Input!$N$194-Input!$N$228)/A18taxstdlife))</f>
        <v>0</v>
      </c>
      <c r="Q301" s="73">
        <f>IF(A18taxstdlife="n/a","n/a",IF(Q$3&gt;(A18taxstdlife+$E301),(Input!$N$194-Input!$N$228)-SUM($N301:P301),(Input!$N$194-Input!$N$228)/A18taxstdlife))</f>
        <v>0</v>
      </c>
      <c r="R301" s="73"/>
      <c r="S301" s="107"/>
      <c r="T301" s="107"/>
      <c r="U301" s="107"/>
      <c r="V301" s="107"/>
      <c r="W301" s="107"/>
      <c r="X301" s="107"/>
      <c r="Y301" s="107"/>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01"/>
      <c r="BJ301" s="201"/>
      <c r="BK301" s="201"/>
      <c r="BL301" s="201"/>
      <c r="BM301" s="201"/>
      <c r="BN301" s="2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537"/>
      <c r="E302" s="91">
        <v>8</v>
      </c>
      <c r="F302" s="27"/>
      <c r="G302" s="27"/>
      <c r="H302" s="150"/>
      <c r="I302" s="152"/>
      <c r="J302" s="152"/>
      <c r="K302" s="152"/>
      <c r="L302" s="152"/>
      <c r="M302" s="152"/>
      <c r="N302" s="152"/>
      <c r="O302" s="151"/>
      <c r="P302" s="73">
        <f>IF(A18taxstdlife="n/a","n/a",IF(P$3&gt;(A18taxstdlife+$E302),(Input!$O$194-Input!$O$228)-SUM($O302:O302),(Input!$O$194-Input!$O$228)/A18taxstdlife))</f>
        <v>0</v>
      </c>
      <c r="Q302" s="73">
        <f>IF(A18taxstdlife="n/a","n/a",IF(Q$3&gt;(A18taxstdlife+$E302),(Input!$O$194-Input!$O$228)-SUM($O302:P302),(Input!$O$194-Input!$O$228)/A18taxstdlife))</f>
        <v>0</v>
      </c>
      <c r="R302" s="73"/>
      <c r="S302" s="107"/>
      <c r="T302" s="107"/>
      <c r="U302" s="107"/>
      <c r="V302" s="107"/>
      <c r="W302" s="107"/>
      <c r="X302" s="107"/>
      <c r="Y302" s="107"/>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01"/>
      <c r="BJ302" s="201"/>
      <c r="BK302" s="201"/>
      <c r="BL302" s="201"/>
      <c r="BM302" s="201"/>
      <c r="BN302" s="201"/>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537"/>
      <c r="E303" s="91">
        <v>9</v>
      </c>
      <c r="F303" s="27"/>
      <c r="G303" s="27"/>
      <c r="H303" s="150"/>
      <c r="I303" s="152"/>
      <c r="J303" s="152"/>
      <c r="K303" s="152"/>
      <c r="L303" s="152"/>
      <c r="M303" s="152"/>
      <c r="N303" s="152"/>
      <c r="O303" s="152"/>
      <c r="P303" s="151"/>
      <c r="Q303" s="73">
        <f>IF(A18taxstdlife="n/a","n/a",IF(Q$3&gt;(A18taxstdlife+$E303),(Input!$P$194-Input!$P$228)-SUM($P303:P303),(Input!$P$194-Input!$P$228)/A18taxstdlife))</f>
        <v>0</v>
      </c>
      <c r="R303" s="73"/>
      <c r="S303" s="107"/>
      <c r="T303" s="107"/>
      <c r="U303" s="107"/>
      <c r="V303" s="107"/>
      <c r="W303" s="107"/>
      <c r="X303" s="107"/>
      <c r="Y303" s="107"/>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01"/>
      <c r="BJ303" s="201"/>
      <c r="BK303" s="201"/>
      <c r="BL303" s="201"/>
      <c r="BM303" s="201"/>
      <c r="BN303" s="201"/>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537"/>
      <c r="E304" s="92">
        <v>10</v>
      </c>
      <c r="F304" s="27"/>
      <c r="G304" s="27"/>
      <c r="H304" s="150"/>
      <c r="I304" s="152"/>
      <c r="J304" s="152"/>
      <c r="K304" s="152"/>
      <c r="L304" s="152"/>
      <c r="M304" s="152"/>
      <c r="N304" s="152"/>
      <c r="O304" s="152"/>
      <c r="P304" s="152"/>
      <c r="Q304" s="151"/>
      <c r="R304" s="73"/>
      <c r="S304" s="107"/>
      <c r="T304" s="107"/>
      <c r="U304" s="107"/>
      <c r="V304" s="107"/>
      <c r="W304" s="107"/>
      <c r="X304" s="107"/>
      <c r="Y304" s="107"/>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01"/>
      <c r="BJ304" s="201"/>
      <c r="BK304" s="201"/>
      <c r="BL304" s="201"/>
      <c r="BM304" s="201"/>
      <c r="BN304" s="201"/>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2">
        <f>Asset18</f>
        <v>0</v>
      </c>
      <c r="D305" s="9"/>
      <c r="E305" s="9"/>
      <c r="F305" s="23"/>
      <c r="G305" s="23"/>
      <c r="H305" s="298">
        <f>-SUM(H293:H304)</f>
        <v>0</v>
      </c>
      <c r="I305" s="165">
        <f>-SUM(I293:I304)</f>
        <v>0</v>
      </c>
      <c r="J305" s="165">
        <f>-SUM(J293:J304)</f>
        <v>0</v>
      </c>
      <c r="K305" s="165">
        <f>-SUM(K293:K304)</f>
        <v>0</v>
      </c>
      <c r="L305" s="165">
        <f>-SUM(L293:L304)</f>
        <v>0</v>
      </c>
      <c r="M305" s="165">
        <f>IF(COUNT($H305:L305)&gt;=Input!$Y$7,0, -SUM(M293:M304))</f>
        <v>0</v>
      </c>
      <c r="N305" s="165">
        <f>IF(COUNT($H305:M305)&gt;=Input!$Y$7,0, -SUM(N293:N304))</f>
        <v>0</v>
      </c>
      <c r="O305" s="165">
        <f>IF(COUNT($H305:N305)&gt;=Input!$Y$7,0, -SUM(O293:O304))</f>
        <v>0</v>
      </c>
      <c r="P305" s="165">
        <f>IF(COUNT($H305:O305)&gt;=Input!$Y$7,0, -SUM(P293:P304))</f>
        <v>0</v>
      </c>
      <c r="Q305" s="165">
        <f>IF(COUNT($H305:P305)&gt;=Input!$Y$7,0, -SUM(Q293:Q304))</f>
        <v>0</v>
      </c>
      <c r="R305" s="165"/>
      <c r="S305" s="106"/>
      <c r="T305" s="106"/>
      <c r="U305" s="106"/>
      <c r="V305" s="106"/>
      <c r="W305" s="106"/>
      <c r="X305" s="106"/>
      <c r="Y305" s="106"/>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01"/>
      <c r="BJ305" s="201"/>
      <c r="BK305" s="201"/>
      <c r="BL305" s="201"/>
      <c r="BM305" s="201"/>
      <c r="BN305" s="201"/>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74">
        <f>Asset19</f>
        <v>0</v>
      </c>
      <c r="C306" s="31"/>
      <c r="D306" s="32" t="s">
        <v>43</v>
      </c>
      <c r="E306" s="31"/>
      <c r="F306" s="301"/>
      <c r="G306" s="301"/>
      <c r="H306" s="72">
        <f>IF(H$3&gt;A19taxremlife,A19taxvalue-SUM($F306:F306),IF(A19taxremlife="N/A","n/a",A19taxvalue/A19taxremlife))</f>
        <v>0</v>
      </c>
      <c r="I306" s="72">
        <f>IF(I$3&gt;A19taxremlife,A19taxvalue-SUM($F306:H306),IF(A19taxremlife="N/A","n/a",A19taxvalue/A19taxremlife))</f>
        <v>0</v>
      </c>
      <c r="J306" s="72">
        <f>IF(J$3&gt;A19taxremlife,A19taxvalue-SUM($F306:I306),IF(A19taxremlife="N/A","n/a",A19taxvalue/A19taxremlife))</f>
        <v>0</v>
      </c>
      <c r="K306" s="72">
        <f>IF(K$3&gt;A19taxremlife,A19taxvalue-SUM($F306:J306),IF(A19taxremlife="N/A","n/a",A19taxvalue/A19taxremlife))</f>
        <v>0</v>
      </c>
      <c r="L306" s="72">
        <f>IF(L$3&gt;A19taxremlife,A19taxvalue-SUM($F306:K306),IF(A19taxremlife="N/A","n/a",A19taxvalue/A19taxremlife))</f>
        <v>0</v>
      </c>
      <c r="M306" s="72">
        <f>IF(M$3&gt;A19taxremlife,A19taxvalue-SUM($F306:L306),IF(A19taxremlife="N/A","n/a",A19taxvalue/A19taxremlife))</f>
        <v>0</v>
      </c>
      <c r="N306" s="72">
        <f>IF(N$3&gt;A19taxremlife,A19taxvalue-SUM($F306:M306),IF(A19taxremlife="N/A","n/a",A19taxvalue/A19taxremlife))</f>
        <v>0</v>
      </c>
      <c r="O306" s="72">
        <f>IF(O$3&gt;A19taxremlife,A19taxvalue-SUM($F306:N306),IF(A19taxremlife="N/A","n/a",A19taxvalue/A19taxremlife))</f>
        <v>0</v>
      </c>
      <c r="P306" s="72">
        <f>IF(P$3&gt;A19taxremlife,A19taxvalue-SUM($F306:O306),IF(A19taxremlife="N/A","n/a",A19taxvalue/A19taxremlife))</f>
        <v>0</v>
      </c>
      <c r="Q306" s="72">
        <f>IF(Q$3&gt;A19taxremlife,A19taxvalue-SUM($F306:P306),IF(A19taxremlife="N/A","n/a",A19taxvalue/A19taxremlife))</f>
        <v>0</v>
      </c>
      <c r="R306" s="72"/>
      <c r="S306" s="107"/>
      <c r="T306" s="107"/>
      <c r="U306" s="107"/>
      <c r="V306" s="107"/>
      <c r="W306" s="107"/>
      <c r="X306" s="107"/>
      <c r="Y306" s="107"/>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01"/>
      <c r="BJ306" s="201"/>
      <c r="BK306" s="201"/>
      <c r="BL306" s="201"/>
      <c r="BM306" s="201"/>
      <c r="BN306" s="201"/>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536" t="s">
        <v>59</v>
      </c>
      <c r="E307" s="91"/>
      <c r="F307" s="27"/>
      <c r="G307" s="27"/>
      <c r="H307" s="107"/>
      <c r="I307" s="73"/>
      <c r="J307" s="73"/>
      <c r="K307" s="73"/>
      <c r="L307" s="73"/>
      <c r="M307" s="73"/>
      <c r="N307" s="73"/>
      <c r="O307" s="73"/>
      <c r="P307" s="73"/>
      <c r="Q307" s="73"/>
      <c r="R307" s="73"/>
      <c r="S307" s="107"/>
      <c r="T307" s="107"/>
      <c r="U307" s="107"/>
      <c r="V307" s="107"/>
      <c r="W307" s="107"/>
      <c r="X307" s="107"/>
      <c r="Y307" s="107"/>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01"/>
      <c r="BJ307" s="201"/>
      <c r="BK307" s="201"/>
      <c r="BL307" s="201"/>
      <c r="BM307" s="201"/>
      <c r="BN307" s="201"/>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537"/>
      <c r="E308" s="91">
        <v>1</v>
      </c>
      <c r="F308" s="27"/>
      <c r="G308" s="27"/>
      <c r="H308" s="149"/>
      <c r="I308" s="73">
        <f>IF(A19taxstdlife="n/a","n/a",IF(I$3&gt;(A19taxstdlife+$E308),(Input!$H$195-Input!$H$229)-SUM($H308:H308),(Input!$H$195-Input!$H$229)/A19taxstdlife))</f>
        <v>0</v>
      </c>
      <c r="J308" s="73">
        <f>IF(A19taxstdlife="n/a","n/a",IF(J$3&gt;(A19taxstdlife+$E308),(Input!$H$195-Input!$H$229)-SUM($H308:I308),(Input!$H$195-Input!$H$229)/A19taxstdlife))</f>
        <v>0</v>
      </c>
      <c r="K308" s="73">
        <f>IF(A19taxstdlife="n/a","n/a",IF(K$3&gt;(A19taxstdlife+$E308),(Input!$H$195-Input!$H$229)-SUM($H308:J308),(Input!$H$195-Input!$H$229)/A19taxstdlife))</f>
        <v>0</v>
      </c>
      <c r="L308" s="73">
        <f>IF(A19taxstdlife="n/a","n/a",IF(L$3&gt;(A19taxstdlife+$E308),(Input!$H$195-Input!$H$229)-SUM($H308:K308),(Input!$H$195-Input!$H$229)/A19taxstdlife))</f>
        <v>0</v>
      </c>
      <c r="M308" s="73">
        <f>IF(A19taxstdlife="n/a","n/a",IF(M$3&gt;(A19taxstdlife+$E308),(Input!$H$195-Input!$H$229)-SUM($H308:L308),(Input!$H$195-Input!$H$229)/A19taxstdlife))</f>
        <v>0</v>
      </c>
      <c r="N308" s="73">
        <f>IF(A19taxstdlife="n/a","n/a",IF(N$3&gt;(A19taxstdlife+$E308),(Input!$H$195-Input!$H$229)-SUM($H308:M308),(Input!$H$195-Input!$H$229)/A19taxstdlife))</f>
        <v>0</v>
      </c>
      <c r="O308" s="73">
        <f>IF(A19taxstdlife="n/a","n/a",IF(O$3&gt;(A19taxstdlife+$E308),(Input!$H$195-Input!$H$229)-SUM($H308:N308),(Input!$H$195-Input!$H$229)/A19taxstdlife))</f>
        <v>0</v>
      </c>
      <c r="P308" s="73">
        <f>IF(A19taxstdlife="n/a","n/a",IF(P$3&gt;(A19taxstdlife+$E308),(Input!$H$195-Input!$H$229)-SUM($H308:O308),(Input!$H$195-Input!$H$229)/A19taxstdlife))</f>
        <v>0</v>
      </c>
      <c r="Q308" s="73">
        <f>IF(A19taxstdlife="n/a","n/a",IF(Q$3&gt;(A19taxstdlife+$E308),(Input!$H$195-Input!$H$229)-SUM($H308:P308),(Input!$H$195-Input!$H$229)/A19taxstdlife))</f>
        <v>0</v>
      </c>
      <c r="R308" s="73"/>
      <c r="S308" s="107"/>
      <c r="T308" s="107"/>
      <c r="U308" s="107"/>
      <c r="V308" s="107"/>
      <c r="W308" s="107"/>
      <c r="X308" s="107"/>
      <c r="Y308" s="107"/>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01"/>
      <c r="BJ308" s="201"/>
      <c r="BK308" s="201"/>
      <c r="BL308" s="201"/>
      <c r="BM308" s="201"/>
      <c r="BN308" s="201"/>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537"/>
      <c r="E309" s="91">
        <v>2</v>
      </c>
      <c r="F309" s="27"/>
      <c r="G309" s="27"/>
      <c r="H309" s="150"/>
      <c r="I309" s="151"/>
      <c r="J309" s="73">
        <f>IF(A19taxstdlife="n/a","n/a",IF(J$3&gt;(A19taxstdlife+$E309),(Input!$I$195-Input!$I$229)-SUM($I309:I309),(Input!$I$195-Input!$I$229)/A19taxstdlife))</f>
        <v>0</v>
      </c>
      <c r="K309" s="73">
        <f>IF(A19taxstdlife="n/a","n/a",IF(K$3&gt;(A19taxstdlife+$E309),(Input!$I$195-Input!$I$229)-SUM($I309:J309),(Input!$I$195-Input!$I$229)/A19taxstdlife))</f>
        <v>0</v>
      </c>
      <c r="L309" s="73">
        <f>IF(A19taxstdlife="n/a","n/a",IF(L$3&gt;(A19taxstdlife+$E309),(Input!$I$195-Input!$I$229)-SUM($I309:K309),(Input!$I$195-Input!$I$229)/A19taxstdlife))</f>
        <v>0</v>
      </c>
      <c r="M309" s="73">
        <f>IF(A19taxstdlife="n/a","n/a",IF(M$3&gt;(A19taxstdlife+$E309),(Input!$I$195-Input!$I$229)-SUM($I309:L309),(Input!$I$195-Input!$I$229)/A19taxstdlife))</f>
        <v>0</v>
      </c>
      <c r="N309" s="73">
        <f>IF(A19taxstdlife="n/a","n/a",IF(N$3&gt;(A19taxstdlife+$E309),(Input!$I$195-Input!$I$229)-SUM($I309:M309),(Input!$I$195-Input!$I$229)/A19taxstdlife))</f>
        <v>0</v>
      </c>
      <c r="O309" s="73">
        <f>IF(A19taxstdlife="n/a","n/a",IF(O$3&gt;(A19taxstdlife+$E309),(Input!$I$195-Input!$I$229)-SUM($I309:N309),(Input!$I$195-Input!$I$229)/A19taxstdlife))</f>
        <v>0</v>
      </c>
      <c r="P309" s="73">
        <f>IF(A19taxstdlife="n/a","n/a",IF(P$3&gt;(A19taxstdlife+$E309),(Input!$I$195-Input!$I$229)-SUM($I309:O309),(Input!$I$195-Input!$I$229)/A19taxstdlife))</f>
        <v>0</v>
      </c>
      <c r="Q309" s="73">
        <f>IF(A19taxstdlife="n/a","n/a",IF(Q$3&gt;(A19taxstdlife+$E309),(Input!$I$195-Input!$I$229)-SUM($I309:P309),(Input!$I$195-Input!$I$229)/A19taxstdlife))</f>
        <v>0</v>
      </c>
      <c r="R309" s="73"/>
      <c r="S309" s="107"/>
      <c r="T309" s="107"/>
      <c r="U309" s="107"/>
      <c r="V309" s="107"/>
      <c r="W309" s="107"/>
      <c r="X309" s="107"/>
      <c r="Y309" s="107"/>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01"/>
      <c r="BJ309" s="201"/>
      <c r="BK309" s="201"/>
      <c r="BL309" s="201"/>
      <c r="BM309" s="201"/>
      <c r="BN309" s="201"/>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537"/>
      <c r="E310" s="91">
        <v>3</v>
      </c>
      <c r="F310" s="27"/>
      <c r="G310" s="27"/>
      <c r="H310" s="150"/>
      <c r="I310" s="152"/>
      <c r="J310" s="151"/>
      <c r="K310" s="73">
        <f>IF(A19taxstdlife="n/a","n/a",IF(K$3&gt;(A19taxstdlife+$E310),(Input!$J$195-Input!$J$229)-SUM($J310:J310),(Input!$J$195-Input!$J$229)/A19taxstdlife))</f>
        <v>0</v>
      </c>
      <c r="L310" s="73">
        <f>IF(A19taxstdlife="n/a","n/a",IF(L$3&gt;(A19taxstdlife+$E310),(Input!$J$195-Input!$J$229)-SUM($J310:K310),(Input!$J$195-Input!$J$229)/A19taxstdlife))</f>
        <v>0</v>
      </c>
      <c r="M310" s="73">
        <f>IF(A19taxstdlife="n/a","n/a",IF(M$3&gt;(A19taxstdlife+$E310),(Input!$J$195-Input!$J$229)-SUM($J310:L310),(Input!$J$195-Input!$J$229)/A19taxstdlife))</f>
        <v>0</v>
      </c>
      <c r="N310" s="73">
        <f>IF(A19taxstdlife="n/a","n/a",IF(N$3&gt;(A19taxstdlife+$E310),(Input!$J$195-Input!$J$229)-SUM($J310:M310),(Input!$J$195-Input!$J$229)/A19taxstdlife))</f>
        <v>0</v>
      </c>
      <c r="O310" s="73">
        <f>IF(A19taxstdlife="n/a","n/a",IF(O$3&gt;(A19taxstdlife+$E310),(Input!$J$195-Input!$J$229)-SUM($J310:N310),(Input!$J$195-Input!$J$229)/A19taxstdlife))</f>
        <v>0</v>
      </c>
      <c r="P310" s="73">
        <f>IF(A19taxstdlife="n/a","n/a",IF(P$3&gt;(A19taxstdlife+$E310),(Input!$J$195-Input!$J$229)-SUM($J310:O310),(Input!$J$195-Input!$J$229)/A19taxstdlife))</f>
        <v>0</v>
      </c>
      <c r="Q310" s="73">
        <f>IF(A19taxstdlife="n/a","n/a",IF(Q$3&gt;(A19taxstdlife+$E310),(Input!$J$195-Input!$J$229)-SUM($J310:P310),(Input!$J$195-Input!$J$229)/A19taxstdlife))</f>
        <v>0</v>
      </c>
      <c r="R310" s="73"/>
      <c r="S310" s="107"/>
      <c r="T310" s="107"/>
      <c r="U310" s="107"/>
      <c r="V310" s="107"/>
      <c r="W310" s="107"/>
      <c r="X310" s="107"/>
      <c r="Y310" s="107"/>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01"/>
      <c r="BJ310" s="201"/>
      <c r="BK310" s="201"/>
      <c r="BL310" s="201"/>
      <c r="BM310" s="201"/>
      <c r="BN310" s="201"/>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537"/>
      <c r="E311" s="91">
        <v>4</v>
      </c>
      <c r="F311" s="27"/>
      <c r="G311" s="27"/>
      <c r="H311" s="150"/>
      <c r="I311" s="152"/>
      <c r="J311" s="152"/>
      <c r="K311" s="151"/>
      <c r="L311" s="73">
        <f>IF(A19taxstdlife="n/a","n/a",IF(L$3&gt;(A19taxstdlife+$E311),(Input!$K$195-Input!$K$229)-SUM($K311:K311),(Input!$K$195-Input!$K$229)/A19taxstdlife))</f>
        <v>0</v>
      </c>
      <c r="M311" s="73">
        <f>IF(A19taxstdlife="n/a","n/a",IF(M$3&gt;(A19taxstdlife+$E311),(Input!$K$195-Input!$K$229)-SUM($K311:L311),(Input!$K$195-Input!$K$229)/A19taxstdlife))</f>
        <v>0</v>
      </c>
      <c r="N311" s="73">
        <f>IF(A19taxstdlife="n/a","n/a",IF(N$3&gt;(A19taxstdlife+$E311),(Input!$K$195-Input!$K$229)-SUM($K311:M311),(Input!$K$195-Input!$K$229)/A19taxstdlife))</f>
        <v>0</v>
      </c>
      <c r="O311" s="73">
        <f>IF(A19taxstdlife="n/a","n/a",IF(O$3&gt;(A19taxstdlife+$E311),(Input!$K$195-Input!$K$229)-SUM($K311:N311),(Input!$K$195-Input!$K$229)/A19taxstdlife))</f>
        <v>0</v>
      </c>
      <c r="P311" s="73">
        <f>IF(A19taxstdlife="n/a","n/a",IF(P$3&gt;(A19taxstdlife+$E311),(Input!$K$195-Input!$K$229)-SUM($K311:O311),(Input!$K$195-Input!$K$229)/A19taxstdlife))</f>
        <v>0</v>
      </c>
      <c r="Q311" s="73">
        <f>IF(A19taxstdlife="n/a","n/a",IF(Q$3&gt;(A19taxstdlife+$E311),(Input!$K$195-Input!$K$229)-SUM($K311:P311),(Input!$K$195-Input!$K$229)/A19taxstdlife))</f>
        <v>0</v>
      </c>
      <c r="R311" s="73"/>
      <c r="S311" s="107"/>
      <c r="T311" s="107"/>
      <c r="U311" s="107"/>
      <c r="V311" s="107"/>
      <c r="W311" s="107"/>
      <c r="X311" s="107"/>
      <c r="Y311" s="107"/>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01"/>
      <c r="BJ311" s="201"/>
      <c r="BK311" s="201"/>
      <c r="BL311" s="201"/>
      <c r="BM311" s="201"/>
      <c r="BN311" s="20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537"/>
      <c r="E312" s="91">
        <v>5</v>
      </c>
      <c r="F312" s="27"/>
      <c r="G312" s="27"/>
      <c r="H312" s="150"/>
      <c r="I312" s="152"/>
      <c r="J312" s="152"/>
      <c r="K312" s="152"/>
      <c r="L312" s="151"/>
      <c r="M312" s="73">
        <f>IF(A19taxstdlife="n/a","n/a",IF(M$3&gt;(A19taxstdlife+$E312),(Input!$L$195-Input!$L$229)-SUM($L312:L312),(Input!$L$195-Input!$L$229)/A19taxstdlife))</f>
        <v>0</v>
      </c>
      <c r="N312" s="73">
        <f>IF(A19taxstdlife="n/a","n/a",IF(N$3&gt;(A19taxstdlife+$E312),(Input!$L$195-Input!$L$229)-SUM($L312:M312),(Input!$L$195-Input!$L$229)/A19taxstdlife))</f>
        <v>0</v>
      </c>
      <c r="O312" s="73">
        <f>IF(A19taxstdlife="n/a","n/a",IF(O$3&gt;(A19taxstdlife+$E312),(Input!$L$195-Input!$L$229)-SUM($L312:N312),(Input!$L$195-Input!$L$229)/A19taxstdlife))</f>
        <v>0</v>
      </c>
      <c r="P312" s="73">
        <f>IF(A19taxstdlife="n/a","n/a",IF(P$3&gt;(A19taxstdlife+$E312),(Input!$L$195-Input!$L$229)-SUM($L312:O312),(Input!$L$195-Input!$L$229)/A19taxstdlife))</f>
        <v>0</v>
      </c>
      <c r="Q312" s="73">
        <f>IF(A19taxstdlife="n/a","n/a",IF(Q$3&gt;(A19taxstdlife+$E312),(Input!$L$195-Input!$L$229)-SUM($L312:P312),(Input!$L$195-Input!$L$229)/A19taxstdlife))</f>
        <v>0</v>
      </c>
      <c r="R312" s="73"/>
      <c r="S312" s="107"/>
      <c r="T312" s="107"/>
      <c r="U312" s="107"/>
      <c r="V312" s="107"/>
      <c r="W312" s="107"/>
      <c r="X312" s="107"/>
      <c r="Y312" s="107"/>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01"/>
      <c r="BJ312" s="201"/>
      <c r="BK312" s="201"/>
      <c r="BL312" s="201"/>
      <c r="BM312" s="201"/>
      <c r="BN312" s="201"/>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537"/>
      <c r="E313" s="91">
        <v>6</v>
      </c>
      <c r="F313" s="27"/>
      <c r="G313" s="27"/>
      <c r="H313" s="150"/>
      <c r="I313" s="152"/>
      <c r="J313" s="152"/>
      <c r="K313" s="152"/>
      <c r="L313" s="152"/>
      <c r="M313" s="151"/>
      <c r="N313" s="73">
        <f>IF(A19taxstdlife="n/a","n/a",IF(N$3&gt;(A19taxstdlife+$E313),(Input!$M$195-Input!$M$229)-SUM($M313:M313),(Input!$M$195-Input!$M$229)/A19taxstdlife))</f>
        <v>0</v>
      </c>
      <c r="O313" s="73">
        <f>IF(A19taxstdlife="n/a","n/a",IF(O$3&gt;(A19taxstdlife+$E313),(Input!$M$195-Input!$M$229)-SUM($M313:N313),(Input!$M$195-Input!$M$229)/A19taxstdlife))</f>
        <v>0</v>
      </c>
      <c r="P313" s="73">
        <f>IF(A19taxstdlife="n/a","n/a",IF(P$3&gt;(A19taxstdlife+$E313),(Input!$M$195-Input!$M$229)-SUM($M313:O313),(Input!$M$195-Input!$M$229)/A19taxstdlife))</f>
        <v>0</v>
      </c>
      <c r="Q313" s="73">
        <f>IF(A19taxstdlife="n/a","n/a",IF(Q$3&gt;(A19taxstdlife+$E313),(Input!$M$195-Input!$M$229)-SUM($M313:P313),(Input!$M$195-Input!$M$229)/A19taxstdlife))</f>
        <v>0</v>
      </c>
      <c r="R313" s="73"/>
      <c r="S313" s="107"/>
      <c r="T313" s="107"/>
      <c r="U313" s="107"/>
      <c r="V313" s="107"/>
      <c r="W313" s="107"/>
      <c r="X313" s="107"/>
      <c r="Y313" s="107"/>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01"/>
      <c r="BJ313" s="201"/>
      <c r="BK313" s="201"/>
      <c r="BL313" s="201"/>
      <c r="BM313" s="201"/>
      <c r="BN313" s="201"/>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537"/>
      <c r="E314" s="91">
        <v>7</v>
      </c>
      <c r="F314" s="27"/>
      <c r="G314" s="27"/>
      <c r="H314" s="150"/>
      <c r="I314" s="152"/>
      <c r="J314" s="152"/>
      <c r="K314" s="152"/>
      <c r="L314" s="152"/>
      <c r="M314" s="152"/>
      <c r="N314" s="151"/>
      <c r="O314" s="73">
        <f>IF(A19taxstdlife="n/a","n/a",IF(O$3&gt;(A19taxstdlife+$E314),(Input!$N$195-Input!$N$229)-SUM($N314:N314),(Input!$N$195-Input!$N$229)/A19taxstdlife))</f>
        <v>0</v>
      </c>
      <c r="P314" s="73">
        <f>IF(A19taxstdlife="n/a","n/a",IF(P$3&gt;(A19taxstdlife+$E314),(Input!$N$195-Input!$N$229)-SUM($N314:O314),(Input!$N$195-Input!$N$229)/A19taxstdlife))</f>
        <v>0</v>
      </c>
      <c r="Q314" s="73">
        <f>IF(A19taxstdlife="n/a","n/a",IF(Q$3&gt;(A19taxstdlife+$E314),(Input!$N$195-Input!$N$229)-SUM($N314:P314),(Input!$N$195-Input!$N$229)/A19taxstdlife))</f>
        <v>0</v>
      </c>
      <c r="R314" s="73"/>
      <c r="S314" s="107"/>
      <c r="T314" s="107"/>
      <c r="U314" s="107"/>
      <c r="V314" s="107"/>
      <c r="W314" s="107"/>
      <c r="X314" s="107"/>
      <c r="Y314" s="107"/>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01"/>
      <c r="BJ314" s="201"/>
      <c r="BK314" s="201"/>
      <c r="BL314" s="201"/>
      <c r="BM314" s="201"/>
      <c r="BN314" s="201"/>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537"/>
      <c r="E315" s="91">
        <v>8</v>
      </c>
      <c r="F315" s="27"/>
      <c r="G315" s="27"/>
      <c r="H315" s="150"/>
      <c r="I315" s="152"/>
      <c r="J315" s="152"/>
      <c r="K315" s="152"/>
      <c r="L315" s="152"/>
      <c r="M315" s="152"/>
      <c r="N315" s="152"/>
      <c r="O315" s="151"/>
      <c r="P315" s="73">
        <f>IF(A19taxstdlife="n/a","n/a",IF(P$3&gt;(A19taxstdlife+$E315),(Input!$O$195-Input!$O$229)-SUM($O315:O315),(Input!$O$195-Input!$O$229)/A19taxstdlife))</f>
        <v>0</v>
      </c>
      <c r="Q315" s="73">
        <f>IF(A19taxstdlife="n/a","n/a",IF(Q$3&gt;(A19taxstdlife+$E315),(Input!$O$195-Input!$O$229)-SUM($O315:P315),(Input!$O$195-Input!$O$229)/A19taxstdlife))</f>
        <v>0</v>
      </c>
      <c r="R315" s="73"/>
      <c r="S315" s="107"/>
      <c r="T315" s="107"/>
      <c r="U315" s="107"/>
      <c r="V315" s="107"/>
      <c r="W315" s="107"/>
      <c r="X315" s="107"/>
      <c r="Y315" s="107"/>
      <c r="Z315" s="220"/>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01"/>
      <c r="BJ315" s="201"/>
      <c r="BK315" s="201"/>
      <c r="BL315" s="201"/>
      <c r="BM315" s="201"/>
      <c r="BN315" s="201"/>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537"/>
      <c r="E316" s="91">
        <v>9</v>
      </c>
      <c r="F316" s="27"/>
      <c r="G316" s="27"/>
      <c r="H316" s="150"/>
      <c r="I316" s="152"/>
      <c r="J316" s="152"/>
      <c r="K316" s="152"/>
      <c r="L316" s="152"/>
      <c r="M316" s="152"/>
      <c r="N316" s="152"/>
      <c r="O316" s="152"/>
      <c r="P316" s="151"/>
      <c r="Q316" s="73">
        <f>IF(A19taxstdlife="n/a","n/a",IF(Q$3&gt;(A19taxstdlife+$E316),(Input!$P$195-Input!$P$229)-SUM($P316:P316),(Input!$P$195-Input!$P$229)/A19taxstdlife))</f>
        <v>0</v>
      </c>
      <c r="R316" s="73"/>
      <c r="S316" s="107"/>
      <c r="T316" s="107"/>
      <c r="U316" s="107"/>
      <c r="V316" s="107"/>
      <c r="W316" s="107"/>
      <c r="X316" s="107"/>
      <c r="Y316" s="107"/>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01"/>
      <c r="BJ316" s="201"/>
      <c r="BK316" s="201"/>
      <c r="BL316" s="201"/>
      <c r="BM316" s="201"/>
      <c r="BN316" s="201"/>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537"/>
      <c r="E317" s="92">
        <v>10</v>
      </c>
      <c r="F317" s="27"/>
      <c r="G317" s="27"/>
      <c r="H317" s="150"/>
      <c r="I317" s="152"/>
      <c r="J317" s="152"/>
      <c r="K317" s="152"/>
      <c r="L317" s="152"/>
      <c r="M317" s="152"/>
      <c r="N317" s="152"/>
      <c r="O317" s="152"/>
      <c r="P317" s="152"/>
      <c r="Q317" s="151"/>
      <c r="R317" s="73"/>
      <c r="S317" s="107"/>
      <c r="T317" s="107"/>
      <c r="U317" s="107"/>
      <c r="V317" s="107"/>
      <c r="W317" s="107"/>
      <c r="X317" s="107"/>
      <c r="Y317" s="107"/>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01"/>
      <c r="BJ317" s="201"/>
      <c r="BK317" s="201"/>
      <c r="BL317" s="201"/>
      <c r="BM317" s="201"/>
      <c r="BN317" s="201"/>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2">
        <f>Asset19</f>
        <v>0</v>
      </c>
      <c r="D318" s="9"/>
      <c r="E318" s="9"/>
      <c r="F318" s="23"/>
      <c r="G318" s="23"/>
      <c r="H318" s="298">
        <f>-SUM(H306:H317)</f>
        <v>0</v>
      </c>
      <c r="I318" s="165">
        <f>-SUM(I306:I317)</f>
        <v>0</v>
      </c>
      <c r="J318" s="165">
        <f>-SUM(J306:J317)</f>
        <v>0</v>
      </c>
      <c r="K318" s="165">
        <f>-SUM(K306:K317)</f>
        <v>0</v>
      </c>
      <c r="L318" s="165">
        <f>-SUM(L306:L317)</f>
        <v>0</v>
      </c>
      <c r="M318" s="165">
        <f>IF(COUNT($H318:L318)&gt;=Input!$Y$7,0, -SUM(M306:M317))</f>
        <v>0</v>
      </c>
      <c r="N318" s="165">
        <f>IF(COUNT($H318:M318)&gt;=Input!$Y$7,0, -SUM(N306:N317))</f>
        <v>0</v>
      </c>
      <c r="O318" s="165">
        <f>IF(COUNT($H318:N318)&gt;=Input!$Y$7,0, -SUM(O306:O317))</f>
        <v>0</v>
      </c>
      <c r="P318" s="165">
        <f>IF(COUNT($H318:O318)&gt;=Input!$Y$7,0, -SUM(P306:P317))</f>
        <v>0</v>
      </c>
      <c r="Q318" s="165">
        <f>IF(COUNT($H318:P318)&gt;=Input!$Y$7,0, -SUM(Q306:Q317))</f>
        <v>0</v>
      </c>
      <c r="R318" s="165"/>
      <c r="S318" s="106"/>
      <c r="T318" s="106"/>
      <c r="U318" s="106"/>
      <c r="V318" s="106"/>
      <c r="W318" s="106"/>
      <c r="X318" s="106"/>
      <c r="Y318" s="106"/>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01"/>
      <c r="BJ318" s="201"/>
      <c r="BK318" s="201"/>
      <c r="BL318" s="201"/>
      <c r="BM318" s="201"/>
      <c r="BN318" s="201"/>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74">
        <f>Asset20</f>
        <v>0</v>
      </c>
      <c r="C319" s="31"/>
      <c r="D319" s="32" t="s">
        <v>43</v>
      </c>
      <c r="E319" s="31"/>
      <c r="F319" s="301"/>
      <c r="G319" s="301"/>
      <c r="H319" s="72">
        <f>IF(H$3&gt;A20taxremlife,A20taxvalue-SUM($F319:F319),IF(A20taxremlife="N/A","n/a",A20taxvalue/A20taxremlife))</f>
        <v>0</v>
      </c>
      <c r="I319" s="72">
        <f>IF(I$3&gt;A20taxremlife,A20taxvalue-SUM($F319:H319),IF(A20taxremlife="N/A","n/a",A20taxvalue/A20taxremlife))</f>
        <v>0</v>
      </c>
      <c r="J319" s="72">
        <f>IF(J$3&gt;A20taxremlife,A20taxvalue-SUM($F319:I319),IF(A20taxremlife="N/A","n/a",A20taxvalue/A20taxremlife))</f>
        <v>0</v>
      </c>
      <c r="K319" s="72">
        <f>IF(K$3&gt;A20taxremlife,A20taxvalue-SUM($F319:J319),IF(A20taxremlife="N/A","n/a",A20taxvalue/A20taxremlife))</f>
        <v>0</v>
      </c>
      <c r="L319" s="72">
        <f>IF(L$3&gt;A20taxremlife,A20taxvalue-SUM($F319:K319),IF(A20taxremlife="N/A","n/a",A20taxvalue/A20taxremlife))</f>
        <v>0</v>
      </c>
      <c r="M319" s="72">
        <f>IF(M$3&gt;A20taxremlife,A20taxvalue-SUM($F319:L319),IF(A20taxremlife="N/A","n/a",A20taxvalue/A20taxremlife))</f>
        <v>0</v>
      </c>
      <c r="N319" s="72">
        <f>IF(N$3&gt;A20taxremlife,A20taxvalue-SUM($F319:M319),IF(A20taxremlife="N/A","n/a",A20taxvalue/A20taxremlife))</f>
        <v>0</v>
      </c>
      <c r="O319" s="72">
        <f>IF(O$3&gt;A20taxremlife,A20taxvalue-SUM($F319:N319),IF(A20taxremlife="N/A","n/a",A20taxvalue/A20taxremlife))</f>
        <v>0</v>
      </c>
      <c r="P319" s="72">
        <f>IF(P$3&gt;A20taxremlife,A20taxvalue-SUM($F319:O319),IF(A20taxremlife="N/A","n/a",A20taxvalue/A20taxremlife))</f>
        <v>0</v>
      </c>
      <c r="Q319" s="72">
        <f>IF(Q$3&gt;A20taxremlife,A20taxvalue-SUM($F319:P319),IF(A20taxremlife="N/A","n/a",A20taxvalue/A20taxremlife))</f>
        <v>0</v>
      </c>
      <c r="R319" s="72"/>
      <c r="S319" s="107"/>
      <c r="T319" s="107"/>
      <c r="U319" s="107"/>
      <c r="V319" s="107"/>
      <c r="W319" s="107"/>
      <c r="X319" s="107"/>
      <c r="Y319" s="107"/>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01"/>
      <c r="BJ319" s="201"/>
      <c r="BK319" s="201"/>
      <c r="BL319" s="201"/>
      <c r="BM319" s="201"/>
      <c r="BN319" s="201"/>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536" t="s">
        <v>59</v>
      </c>
      <c r="E320" s="91"/>
      <c r="F320" s="27"/>
      <c r="G320" s="27"/>
      <c r="H320" s="107"/>
      <c r="I320" s="73"/>
      <c r="J320" s="73"/>
      <c r="K320" s="73"/>
      <c r="L320" s="73"/>
      <c r="M320" s="73"/>
      <c r="N320" s="73"/>
      <c r="O320" s="73"/>
      <c r="P320" s="73"/>
      <c r="Q320" s="73"/>
      <c r="R320" s="73"/>
      <c r="S320" s="107"/>
      <c r="T320" s="107"/>
      <c r="U320" s="107"/>
      <c r="V320" s="107"/>
      <c r="W320" s="107"/>
      <c r="X320" s="107"/>
      <c r="Y320" s="107"/>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01"/>
      <c r="BJ320" s="201"/>
      <c r="BK320" s="201"/>
      <c r="BL320" s="201"/>
      <c r="BM320" s="201"/>
      <c r="BN320" s="201"/>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537"/>
      <c r="E321" s="91">
        <v>1</v>
      </c>
      <c r="F321" s="27"/>
      <c r="G321" s="27"/>
      <c r="H321" s="149"/>
      <c r="I321" s="73">
        <f>IF(A20taxstdlife="n/a","n/a",IF(I$3&gt;(A20taxstdlife+$E321),(Input!$H$196-Input!$H$230)-SUM($H321:H321),(Input!$H$196-Input!$H$230)/A20taxstdlife))</f>
        <v>0</v>
      </c>
      <c r="J321" s="73">
        <f>IF(A20taxstdlife="n/a","n/a",IF(J$3&gt;(A20taxstdlife+$E321),(Input!$H$196-Input!$H$230)-SUM($H321:I321),(Input!$H$196-Input!$H$230)/A20taxstdlife))</f>
        <v>0</v>
      </c>
      <c r="K321" s="73">
        <f>IF(A20taxstdlife="n/a","n/a",IF(K$3&gt;(A20taxstdlife+$E321),(Input!$H$196-Input!$H$230)-SUM($H321:J321),(Input!$H$196-Input!$H$230)/A20taxstdlife))</f>
        <v>0</v>
      </c>
      <c r="L321" s="73">
        <f>IF(A20taxstdlife="n/a","n/a",IF(L$3&gt;(A20taxstdlife+$E321),(Input!$H$196-Input!$H$230)-SUM($H321:K321),(Input!$H$196-Input!$H$230)/A20taxstdlife))</f>
        <v>0</v>
      </c>
      <c r="M321" s="73">
        <f>IF(A20taxstdlife="n/a","n/a",IF(M$3&gt;(A20taxstdlife+$E321),(Input!$H$196-Input!$H$230)-SUM($H321:L321),(Input!$H$196-Input!$H$230)/A20taxstdlife))</f>
        <v>0</v>
      </c>
      <c r="N321" s="73">
        <f>IF(A20taxstdlife="n/a","n/a",IF(N$3&gt;(A20taxstdlife+$E321),(Input!$H$196-Input!$H$230)-SUM($H321:M321),(Input!$H$196-Input!$H$230)/A20taxstdlife))</f>
        <v>0</v>
      </c>
      <c r="O321" s="73">
        <f>IF(A20taxstdlife="n/a","n/a",IF(O$3&gt;(A20taxstdlife+$E321),(Input!$H$196-Input!$H$230)-SUM($H321:N321),(Input!$H$196-Input!$H$230)/A20taxstdlife))</f>
        <v>0</v>
      </c>
      <c r="P321" s="73">
        <f>IF(A20taxstdlife="n/a","n/a",IF(P$3&gt;(A20taxstdlife+$E321),(Input!$H$196-Input!$H$230)-SUM($H321:O321),(Input!$H$196-Input!$H$230)/A20taxstdlife))</f>
        <v>0</v>
      </c>
      <c r="Q321" s="73">
        <f>IF(A20taxstdlife="n/a","n/a",IF(Q$3&gt;(A20taxstdlife+$E321),(Input!$H$196-Input!$H$230)-SUM($H321:P321),(Input!$H$196-Input!$H$230)/A20taxstdlife))</f>
        <v>0</v>
      </c>
      <c r="R321" s="73"/>
      <c r="S321" s="107"/>
      <c r="T321" s="107"/>
      <c r="U321" s="107"/>
      <c r="V321" s="107"/>
      <c r="W321" s="107"/>
      <c r="X321" s="107"/>
      <c r="Y321" s="107"/>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01"/>
      <c r="BJ321" s="201"/>
      <c r="BK321" s="201"/>
      <c r="BL321" s="201"/>
      <c r="BM321" s="201"/>
      <c r="BN321" s="20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537"/>
      <c r="E322" s="91">
        <v>2</v>
      </c>
      <c r="F322" s="27"/>
      <c r="G322" s="27"/>
      <c r="H322" s="150"/>
      <c r="I322" s="151"/>
      <c r="J322" s="73">
        <f>IF(A20taxstdlife="n/a","n/a",IF(J$3&gt;(A20taxstdlife+$E322),(Input!$I$196-Input!$I$230)-SUM($I322:I322),(Input!$I$196-Input!$I$230)/A20taxstdlife))</f>
        <v>0</v>
      </c>
      <c r="K322" s="73">
        <f>IF(A20taxstdlife="n/a","n/a",IF(K$3&gt;(A20taxstdlife+$E322),(Input!$I$196-Input!$I$230)-SUM($I322:J322),(Input!$I$196-Input!$I$230)/A20taxstdlife))</f>
        <v>0</v>
      </c>
      <c r="L322" s="73">
        <f>IF(A20taxstdlife="n/a","n/a",IF(L$3&gt;(A20taxstdlife+$E322),(Input!$I$196-Input!$I$230)-SUM($I322:K322),(Input!$I$196-Input!$I$230)/A20taxstdlife))</f>
        <v>0</v>
      </c>
      <c r="M322" s="73">
        <f>IF(A20taxstdlife="n/a","n/a",IF(M$3&gt;(A20taxstdlife+$E322),(Input!$I$196-Input!$I$230)-SUM($I322:L322),(Input!$I$196-Input!$I$230)/A20taxstdlife))</f>
        <v>0</v>
      </c>
      <c r="N322" s="73">
        <f>IF(A20taxstdlife="n/a","n/a",IF(N$3&gt;(A20taxstdlife+$E322),(Input!$I$196-Input!$I$230)-SUM($I322:M322),(Input!$I$196-Input!$I$230)/A20taxstdlife))</f>
        <v>0</v>
      </c>
      <c r="O322" s="73">
        <f>IF(A20taxstdlife="n/a","n/a",IF(O$3&gt;(A20taxstdlife+$E322),(Input!$I$196-Input!$I$230)-SUM($I322:N322),(Input!$I$196-Input!$I$230)/A20taxstdlife))</f>
        <v>0</v>
      </c>
      <c r="P322" s="73">
        <f>IF(A20taxstdlife="n/a","n/a",IF(P$3&gt;(A20taxstdlife+$E322),(Input!$I$196-Input!$I$230)-SUM($I322:O322),(Input!$I$196-Input!$I$230)/A20taxstdlife))</f>
        <v>0</v>
      </c>
      <c r="Q322" s="73">
        <f>IF(A20taxstdlife="n/a","n/a",IF(Q$3&gt;(A20taxstdlife+$E322),(Input!$I$196-Input!$I$230)-SUM($I322:P322),(Input!$I$196-Input!$I$230)/A20taxstdlife))</f>
        <v>0</v>
      </c>
      <c r="R322" s="73"/>
      <c r="S322" s="107"/>
      <c r="T322" s="107"/>
      <c r="U322" s="107"/>
      <c r="V322" s="107"/>
      <c r="W322" s="107"/>
      <c r="X322" s="107"/>
      <c r="Y322" s="107"/>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01"/>
      <c r="BJ322" s="201"/>
      <c r="BK322" s="201"/>
      <c r="BL322" s="201"/>
      <c r="BM322" s="201"/>
      <c r="BN322" s="201"/>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537"/>
      <c r="E323" s="91">
        <v>3</v>
      </c>
      <c r="F323" s="27"/>
      <c r="G323" s="27"/>
      <c r="H323" s="150"/>
      <c r="I323" s="152"/>
      <c r="J323" s="151"/>
      <c r="K323" s="73">
        <f>IF(A20taxstdlife="n/a","n/a",IF(K$3&gt;(A20taxstdlife+$E323),(Input!$J$196-Input!$J$230)-SUM($J323:J323),(Input!$J$196-Input!$J$230)/A20taxstdlife))</f>
        <v>0</v>
      </c>
      <c r="L323" s="73">
        <f>IF(A20taxstdlife="n/a","n/a",IF(L$3&gt;(A20taxstdlife+$E323),(Input!$J$196-Input!$J$230)-SUM($J323:K323),(Input!$J$196-Input!$J$230)/A20taxstdlife))</f>
        <v>0</v>
      </c>
      <c r="M323" s="73">
        <f>IF(A20taxstdlife="n/a","n/a",IF(M$3&gt;(A20taxstdlife+$E323),(Input!$J$196-Input!$J$230)-SUM($J323:L323),(Input!$J$196-Input!$J$230)/A20taxstdlife))</f>
        <v>0</v>
      </c>
      <c r="N323" s="73">
        <f>IF(A20taxstdlife="n/a","n/a",IF(N$3&gt;(A20taxstdlife+$E323),(Input!$J$196-Input!$J$230)-SUM($J323:M323),(Input!$J$196-Input!$J$230)/A20taxstdlife))</f>
        <v>0</v>
      </c>
      <c r="O323" s="73">
        <f>IF(A20taxstdlife="n/a","n/a",IF(O$3&gt;(A20taxstdlife+$E323),(Input!$J$196-Input!$J$230)-SUM($J323:N323),(Input!$J$196-Input!$J$230)/A20taxstdlife))</f>
        <v>0</v>
      </c>
      <c r="P323" s="73">
        <f>IF(A20taxstdlife="n/a","n/a",IF(P$3&gt;(A20taxstdlife+$E323),(Input!$J$196-Input!$J$230)-SUM($J323:O323),(Input!$J$196-Input!$J$230)/A20taxstdlife))</f>
        <v>0</v>
      </c>
      <c r="Q323" s="73">
        <f>IF(A20taxstdlife="n/a","n/a",IF(Q$3&gt;(A20taxstdlife+$E323),(Input!$J$196-Input!$J$230)-SUM($J323:P323),(Input!$J$196-Input!$J$230)/A20taxstdlife))</f>
        <v>0</v>
      </c>
      <c r="R323" s="73"/>
      <c r="S323" s="107"/>
      <c r="T323" s="107"/>
      <c r="U323" s="107"/>
      <c r="V323" s="107"/>
      <c r="W323" s="107"/>
      <c r="X323" s="107"/>
      <c r="Y323" s="107"/>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2"/>
      <c r="BJ323" s="201"/>
      <c r="BK323" s="201"/>
      <c r="BL323" s="201"/>
      <c r="BM323" s="201"/>
      <c r="BN323" s="201"/>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537"/>
      <c r="E324" s="91">
        <v>4</v>
      </c>
      <c r="F324" s="27"/>
      <c r="G324" s="27"/>
      <c r="H324" s="150"/>
      <c r="I324" s="152"/>
      <c r="J324" s="152"/>
      <c r="K324" s="151"/>
      <c r="L324" s="73">
        <f>IF(A20taxstdlife="n/a","n/a",IF(L$3&gt;(A20taxstdlife+$E324),(Input!$K$196-Input!$K$230)-SUM($K324:K324),(Input!$K$196-Input!$K$230)/A20taxstdlife))</f>
        <v>0</v>
      </c>
      <c r="M324" s="73">
        <f>IF(A20taxstdlife="n/a","n/a",IF(M$3&gt;(A20taxstdlife+$E324),(Input!$K$196-Input!$K$230)-SUM($K324:L324),(Input!$K$196-Input!$K$230)/A20taxstdlife))</f>
        <v>0</v>
      </c>
      <c r="N324" s="73">
        <f>IF(A20taxstdlife="n/a","n/a",IF(N$3&gt;(A20taxstdlife+$E324),(Input!$K$196-Input!$K$230)-SUM($K324:M324),(Input!$K$196-Input!$K$230)/A20taxstdlife))</f>
        <v>0</v>
      </c>
      <c r="O324" s="73">
        <f>IF(A20taxstdlife="n/a","n/a",IF(O$3&gt;(A20taxstdlife+$E324),(Input!$K$196-Input!$K$230)-SUM($K324:N324),(Input!$K$196-Input!$K$230)/A20taxstdlife))</f>
        <v>0</v>
      </c>
      <c r="P324" s="73">
        <f>IF(A20taxstdlife="n/a","n/a",IF(P$3&gt;(A20taxstdlife+$E324),(Input!$K$196-Input!$K$230)-SUM($K324:O324),(Input!$K$196-Input!$K$230)/A20taxstdlife))</f>
        <v>0</v>
      </c>
      <c r="Q324" s="73">
        <f>IF(A20taxstdlife="n/a","n/a",IF(Q$3&gt;(A20taxstdlife+$E324),(Input!$K$196-Input!$K$230)-SUM($K324:P324),(Input!$K$196-Input!$K$230)/A20taxstdlife))</f>
        <v>0</v>
      </c>
      <c r="R324" s="73"/>
      <c r="S324" s="107"/>
      <c r="T324" s="107"/>
      <c r="U324" s="107"/>
      <c r="V324" s="107"/>
      <c r="W324" s="107"/>
      <c r="X324" s="107"/>
      <c r="Y324" s="107"/>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01"/>
      <c r="BJ324" s="201"/>
      <c r="BK324" s="201"/>
      <c r="BL324" s="201"/>
      <c r="BM324" s="201"/>
      <c r="BN324" s="201"/>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537"/>
      <c r="E325" s="91">
        <v>5</v>
      </c>
      <c r="F325" s="27"/>
      <c r="G325" s="27"/>
      <c r="H325" s="150"/>
      <c r="I325" s="152"/>
      <c r="J325" s="152"/>
      <c r="K325" s="152"/>
      <c r="L325" s="151"/>
      <c r="M325" s="73">
        <f>IF(A20taxstdlife="n/a","n/a",IF(M$3&gt;(A20taxstdlife+$E325),(Input!$L$196-Input!$L$230)-SUM($L325:L325),(Input!$L$196-Input!$L$230)/A20taxstdlife))</f>
        <v>0</v>
      </c>
      <c r="N325" s="73">
        <f>IF(A20taxstdlife="n/a","n/a",IF(N$3&gt;(A20taxstdlife+$E325),(Input!$L$196-Input!$L$230)-SUM($L325:M325),(Input!$L$196-Input!$L$230)/A20taxstdlife))</f>
        <v>0</v>
      </c>
      <c r="O325" s="73">
        <f>IF(A20taxstdlife="n/a","n/a",IF(O$3&gt;(A20taxstdlife+$E325),(Input!$L$196-Input!$L$230)-SUM($L325:N325),(Input!$L$196-Input!$L$230)/A20taxstdlife))</f>
        <v>0</v>
      </c>
      <c r="P325" s="73">
        <f>IF(A20taxstdlife="n/a","n/a",IF(P$3&gt;(A20taxstdlife+$E325),(Input!$L$196-Input!$L$230)-SUM($L325:O325),(Input!$L$196-Input!$L$230)/A20taxstdlife))</f>
        <v>0</v>
      </c>
      <c r="Q325" s="73">
        <f>IF(A20taxstdlife="n/a","n/a",IF(Q$3&gt;(A20taxstdlife+$E325),(Input!$L$196-Input!$L$230)-SUM($L325:P325),(Input!$L$196-Input!$L$230)/A20taxstdlife))</f>
        <v>0</v>
      </c>
      <c r="R325" s="73"/>
      <c r="S325" s="107"/>
      <c r="T325" s="107"/>
      <c r="U325" s="107"/>
      <c r="V325" s="107"/>
      <c r="W325" s="107"/>
      <c r="X325" s="107"/>
      <c r="Y325" s="107"/>
      <c r="Z325" s="220"/>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01"/>
      <c r="BJ325" s="201"/>
      <c r="BK325" s="201"/>
      <c r="BL325" s="201"/>
      <c r="BM325" s="201"/>
      <c r="BN325" s="201"/>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537"/>
      <c r="E326" s="91">
        <v>6</v>
      </c>
      <c r="F326" s="27"/>
      <c r="G326" s="27"/>
      <c r="H326" s="150"/>
      <c r="I326" s="152"/>
      <c r="J326" s="152"/>
      <c r="K326" s="152"/>
      <c r="L326" s="152"/>
      <c r="M326" s="151"/>
      <c r="N326" s="73">
        <f>IF(A20taxstdlife="n/a","n/a",IF(N$3&gt;(A20taxstdlife+$E326),(Input!$M$196-Input!$M$230)-SUM($M326:M326),(Input!$M$196-Input!$M$230)/A20taxstdlife))</f>
        <v>0</v>
      </c>
      <c r="O326" s="73">
        <f>IF(A20taxstdlife="n/a","n/a",IF(O$3&gt;(A20taxstdlife+$E326),(Input!$M$196-Input!$M$230)-SUM($M326:N326),(Input!$M$196-Input!$M$230)/A20taxstdlife))</f>
        <v>0</v>
      </c>
      <c r="P326" s="73">
        <f>IF(A20taxstdlife="n/a","n/a",IF(P$3&gt;(A20taxstdlife+$E326),(Input!$M$196-Input!$M$230)-SUM($M326:O326),(Input!$M$196-Input!$M$230)/A20taxstdlife))</f>
        <v>0</v>
      </c>
      <c r="Q326" s="73">
        <f>IF(A20taxstdlife="n/a","n/a",IF(Q$3&gt;(A20taxstdlife+$E326),(Input!$M$196-Input!$M$230)-SUM($M326:P326),(Input!$M$196-Input!$M$230)/A20taxstdlife))</f>
        <v>0</v>
      </c>
      <c r="R326" s="73"/>
      <c r="S326" s="107"/>
      <c r="T326" s="107"/>
      <c r="U326" s="107"/>
      <c r="V326" s="107"/>
      <c r="W326" s="107"/>
      <c r="X326" s="107"/>
      <c r="Y326" s="107"/>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01"/>
      <c r="BJ326" s="201"/>
      <c r="BK326" s="201"/>
      <c r="BL326" s="201"/>
      <c r="BM326" s="201"/>
      <c r="BN326" s="201"/>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537"/>
      <c r="E327" s="91">
        <v>7</v>
      </c>
      <c r="F327" s="27"/>
      <c r="G327" s="27"/>
      <c r="H327" s="150"/>
      <c r="I327" s="152"/>
      <c r="J327" s="152"/>
      <c r="K327" s="152"/>
      <c r="L327" s="152"/>
      <c r="M327" s="152"/>
      <c r="N327" s="151"/>
      <c r="O327" s="73">
        <f>IF(A20taxstdlife="n/a","n/a",IF(O$3&gt;(A20taxstdlife+$E327),(Input!$N$196-Input!$N$230)-SUM($N327:N327),(Input!$N$196-Input!$N$230)/A20taxstdlife))</f>
        <v>0</v>
      </c>
      <c r="P327" s="73">
        <f>IF(A20taxstdlife="n/a","n/a",IF(P$3&gt;(A20taxstdlife+$E327),(Input!$N$196-Input!$N$230)-SUM($N327:O327),(Input!$N$196-Input!$N$230)/A20taxstdlife))</f>
        <v>0</v>
      </c>
      <c r="Q327" s="73">
        <f>IF(A20taxstdlife="n/a","n/a",IF(Q$3&gt;(A20taxstdlife+$E327),(Input!$N$196-Input!$N$230)-SUM($N327:P327),(Input!$N$196-Input!$N$230)/A20taxstdlife))</f>
        <v>0</v>
      </c>
      <c r="R327" s="73"/>
      <c r="S327" s="107"/>
      <c r="T327" s="107"/>
      <c r="U327" s="107"/>
      <c r="V327" s="107"/>
      <c r="W327" s="107"/>
      <c r="X327" s="107"/>
      <c r="Y327" s="107"/>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01"/>
      <c r="BJ327" s="201"/>
      <c r="BK327" s="201"/>
      <c r="BL327" s="201"/>
      <c r="BM327" s="201"/>
      <c r="BN327" s="201"/>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537"/>
      <c r="E328" s="91">
        <v>8</v>
      </c>
      <c r="F328" s="27"/>
      <c r="G328" s="27"/>
      <c r="H328" s="150"/>
      <c r="I328" s="152"/>
      <c r="J328" s="152"/>
      <c r="K328" s="152"/>
      <c r="L328" s="152"/>
      <c r="M328" s="152"/>
      <c r="N328" s="152"/>
      <c r="O328" s="151"/>
      <c r="P328" s="73">
        <f>IF(A20taxstdlife="n/a","n/a",IF(P$3&gt;(A20taxstdlife+$E328),(Input!$O$196-Input!$O$230)-SUM($O328:O328),(Input!$O$196-Input!$O$230)/A20taxstdlife))</f>
        <v>0</v>
      </c>
      <c r="Q328" s="73">
        <f>IF(A20taxstdlife="n/a","n/a",IF(Q$3&gt;(A20taxstdlife+$E328),(Input!$O$196-Input!$O$230)-SUM($O328:P328),(Input!$O$196-Input!$O$230)/A20taxstdlife))</f>
        <v>0</v>
      </c>
      <c r="R328" s="73"/>
      <c r="S328" s="107"/>
      <c r="T328" s="107"/>
      <c r="U328" s="107"/>
      <c r="V328" s="107"/>
      <c r="W328" s="107"/>
      <c r="X328" s="107"/>
      <c r="Y328" s="107"/>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01"/>
      <c r="BJ328" s="201"/>
      <c r="BK328" s="201"/>
      <c r="BL328" s="201"/>
      <c r="BM328" s="201"/>
      <c r="BN328" s="201"/>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537"/>
      <c r="E329" s="91">
        <v>9</v>
      </c>
      <c r="F329" s="27"/>
      <c r="G329" s="27"/>
      <c r="H329" s="150"/>
      <c r="I329" s="152"/>
      <c r="J329" s="152"/>
      <c r="K329" s="152"/>
      <c r="L329" s="152"/>
      <c r="M329" s="152"/>
      <c r="N329" s="152"/>
      <c r="O329" s="152"/>
      <c r="P329" s="151"/>
      <c r="Q329" s="73">
        <f>IF(A20taxstdlife="n/a","n/a",IF(Q$3&gt;(A20taxstdlife+$E329),(Input!$P$196-Input!$P$230)-SUM($P329:P329),(Input!$P$196-Input!$P$230)/A20taxstdlife))</f>
        <v>0</v>
      </c>
      <c r="R329" s="73"/>
      <c r="S329" s="107"/>
      <c r="T329" s="107"/>
      <c r="U329" s="107"/>
      <c r="V329" s="107"/>
      <c r="W329" s="107"/>
      <c r="X329" s="107"/>
      <c r="Y329" s="107"/>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01"/>
      <c r="BJ329" s="201"/>
      <c r="BK329" s="201"/>
      <c r="BL329" s="201"/>
      <c r="BM329" s="201"/>
      <c r="BN329" s="201"/>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537"/>
      <c r="E330" s="92">
        <v>10</v>
      </c>
      <c r="F330" s="27"/>
      <c r="G330" s="27"/>
      <c r="H330" s="150"/>
      <c r="I330" s="152"/>
      <c r="J330" s="152"/>
      <c r="K330" s="152"/>
      <c r="L330" s="152"/>
      <c r="M330" s="152"/>
      <c r="N330" s="152"/>
      <c r="O330" s="152"/>
      <c r="P330" s="152"/>
      <c r="Q330" s="151"/>
      <c r="R330" s="73"/>
      <c r="S330" s="107"/>
      <c r="T330" s="107"/>
      <c r="U330" s="107"/>
      <c r="V330" s="107"/>
      <c r="W330" s="107"/>
      <c r="X330" s="107"/>
      <c r="Y330" s="107"/>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01"/>
      <c r="BJ330" s="201"/>
      <c r="BK330" s="201"/>
      <c r="BL330" s="201"/>
      <c r="BM330" s="201"/>
      <c r="BN330" s="201"/>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2">
        <f>Asset20</f>
        <v>0</v>
      </c>
      <c r="D331" s="9"/>
      <c r="E331" s="9"/>
      <c r="F331" s="23"/>
      <c r="G331" s="23"/>
      <c r="H331" s="298">
        <f>-SUM(H319:H330)</f>
        <v>0</v>
      </c>
      <c r="I331" s="165">
        <f>-SUM(I319:I330)</f>
        <v>0</v>
      </c>
      <c r="J331" s="165">
        <f>-SUM(J319:J330)</f>
        <v>0</v>
      </c>
      <c r="K331" s="165">
        <f>-SUM(K319:K330)</f>
        <v>0</v>
      </c>
      <c r="L331" s="165">
        <f>-SUM(L319:L330)</f>
        <v>0</v>
      </c>
      <c r="M331" s="165">
        <f>IF(COUNT($H331:L331)&gt;=Input!$Y$7,0, -SUM(M319:M330))</f>
        <v>0</v>
      </c>
      <c r="N331" s="165">
        <f>IF(COUNT($H331:M331)&gt;=Input!$Y$7,0, -SUM(N319:N330))</f>
        <v>0</v>
      </c>
      <c r="O331" s="165">
        <f>IF(COUNT($H331:N331)&gt;=Input!$Y$7,0, -SUM(O319:O330))</f>
        <v>0</v>
      </c>
      <c r="P331" s="165">
        <f>IF(COUNT($H331:O331)&gt;=Input!$Y$7,0, -SUM(P319:P330))</f>
        <v>0</v>
      </c>
      <c r="Q331" s="165">
        <f>IF(COUNT($H331:P331)&gt;=Input!$Y$7,0, -SUM(Q319:Q330))</f>
        <v>0</v>
      </c>
      <c r="R331" s="165"/>
      <c r="S331" s="106"/>
      <c r="T331" s="106"/>
      <c r="U331" s="106"/>
      <c r="V331" s="106"/>
      <c r="W331" s="106"/>
      <c r="X331" s="106"/>
      <c r="Y331" s="106"/>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01"/>
      <c r="BJ331" s="201"/>
      <c r="BK331" s="201"/>
      <c r="BL331" s="201"/>
      <c r="BM331" s="201"/>
      <c r="BN331" s="20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73">
        <f>Asset21</f>
        <v>0</v>
      </c>
      <c r="C332" s="31"/>
      <c r="D332" s="32" t="s">
        <v>43</v>
      </c>
      <c r="E332" s="31"/>
      <c r="F332" s="301"/>
      <c r="G332" s="301"/>
      <c r="H332" s="72">
        <f>IF(H$3&gt;A21taxremlife,A21taxvalue-SUM($F332:F332),IF(A21taxremlife="N/A","n/a",A21taxvalue/A21taxremlife))</f>
        <v>0</v>
      </c>
      <c r="I332" s="72">
        <f>IF(I$3&gt;A21taxremlife,A21taxvalue-SUM($F332:H332),IF(A21taxremlife="N/A","n/a",A21taxvalue/A21taxremlife))</f>
        <v>0</v>
      </c>
      <c r="J332" s="72">
        <f>IF(J$3&gt;A21taxremlife,A21taxvalue-SUM($F332:I332),IF(A21taxremlife="N/A","n/a",A21taxvalue/A21taxremlife))</f>
        <v>0</v>
      </c>
      <c r="K332" s="72">
        <f>IF(K$3&gt;A21taxremlife,A21taxvalue-SUM($F332:J332),IF(A21taxremlife="N/A","n/a",A21taxvalue/A21taxremlife))</f>
        <v>0</v>
      </c>
      <c r="L332" s="72">
        <f>IF(L$3&gt;A21taxremlife,A21taxvalue-SUM($F332:K332),IF(A21taxremlife="N/A","n/a",A21taxvalue/A21taxremlife))</f>
        <v>0</v>
      </c>
      <c r="M332" s="72">
        <f>IF(M$3&gt;A21taxremlife,A21taxvalue-SUM($F332:L332),IF(A21taxremlife="N/A","n/a",A21taxvalue/A21taxremlife))</f>
        <v>0</v>
      </c>
      <c r="N332" s="72">
        <f>IF(N$3&gt;A21taxremlife,A21taxvalue-SUM($F332:M332),IF(A21taxremlife="N/A","n/a",A21taxvalue/A21taxremlife))</f>
        <v>0</v>
      </c>
      <c r="O332" s="72">
        <f>IF(O$3&gt;A21taxremlife,A21taxvalue-SUM($F332:N332),IF(A21taxremlife="N/A","n/a",A21taxvalue/A21taxremlife))</f>
        <v>0</v>
      </c>
      <c r="P332" s="72">
        <f>IF(P$3&gt;A21taxremlife,A21taxvalue-SUM($F332:O332),IF(A21taxremlife="N/A","n/a",A21taxvalue/A21taxremlife))</f>
        <v>0</v>
      </c>
      <c r="Q332" s="72">
        <f>IF(Q$3&gt;A21taxremlife,A21taxvalue-SUM($F332:P332),IF(A21taxremlife="N/A","n/a",A21taxvalue/A21taxremlife))</f>
        <v>0</v>
      </c>
      <c r="R332" s="72"/>
      <c r="S332" s="107"/>
      <c r="T332" s="107"/>
      <c r="U332" s="107"/>
      <c r="V332" s="107"/>
      <c r="W332" s="107"/>
      <c r="X332" s="107"/>
      <c r="Y332" s="107"/>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01"/>
      <c r="BJ332" s="201"/>
      <c r="BK332" s="201"/>
      <c r="BL332" s="201"/>
      <c r="BM332" s="201"/>
      <c r="BN332" s="201"/>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536" t="s">
        <v>59</v>
      </c>
      <c r="E333" s="91"/>
      <c r="F333" s="27"/>
      <c r="G333" s="27"/>
      <c r="H333" s="107"/>
      <c r="I333" s="73"/>
      <c r="J333" s="73"/>
      <c r="K333" s="73"/>
      <c r="L333" s="73"/>
      <c r="M333" s="73"/>
      <c r="N333" s="73"/>
      <c r="O333" s="73"/>
      <c r="P333" s="73"/>
      <c r="Q333" s="73"/>
      <c r="R333" s="73"/>
      <c r="S333" s="107"/>
      <c r="T333" s="107"/>
      <c r="U333" s="107"/>
      <c r="V333" s="107"/>
      <c r="W333" s="107"/>
      <c r="X333" s="107"/>
      <c r="Y333" s="107"/>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01"/>
      <c r="BJ333" s="201"/>
      <c r="BK333" s="201"/>
      <c r="BL333" s="201"/>
      <c r="BM333" s="201"/>
      <c r="BN333" s="201"/>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537"/>
      <c r="E334" s="91">
        <v>1</v>
      </c>
      <c r="F334" s="27"/>
      <c r="G334" s="27"/>
      <c r="H334" s="149"/>
      <c r="I334" s="73">
        <f>IF(A21taxstdlife="n/a","n/a",IF(I$3&gt;(A21taxstdlife+$E334),(Input!$H$197-Input!$H$231)-SUM($H334:H334),(Input!$H$197-Input!$H$231)/A21taxstdlife))</f>
        <v>0</v>
      </c>
      <c r="J334" s="73">
        <f>IF(A21taxstdlife="n/a","n/a",IF(J$3&gt;(A21taxstdlife+$E334),(Input!$H$197-Input!$H$231)-SUM($H334:I334),(Input!$H$197-Input!$H$231)/A21taxstdlife))</f>
        <v>0</v>
      </c>
      <c r="K334" s="73">
        <f>IF(A21taxstdlife="n/a","n/a",IF(K$3&gt;(A21taxstdlife+$E334),(Input!$H$197-Input!$H$231)-SUM($H334:J334),(Input!$H$197-Input!$H$231)/A21taxstdlife))</f>
        <v>0</v>
      </c>
      <c r="L334" s="73">
        <f>IF(A21taxstdlife="n/a","n/a",IF(L$3&gt;(A21taxstdlife+$E334),(Input!$H$197-Input!$H$231)-SUM($H334:K334),(Input!$H$197-Input!$H$231)/A21taxstdlife))</f>
        <v>0</v>
      </c>
      <c r="M334" s="73">
        <f>IF(A21taxstdlife="n/a","n/a",IF(M$3&gt;(A21taxstdlife+$E334),(Input!$H$197-Input!$H$231)-SUM($H334:L334),(Input!$H$197-Input!$H$231)/A21taxstdlife))</f>
        <v>0</v>
      </c>
      <c r="N334" s="73">
        <f>IF(A21taxstdlife="n/a","n/a",IF(N$3&gt;(A21taxstdlife+$E334),(Input!$H$197-Input!$H$231)-SUM($H334:M334),(Input!$H$197-Input!$H$231)/A21taxstdlife))</f>
        <v>0</v>
      </c>
      <c r="O334" s="73">
        <f>IF(A21taxstdlife="n/a","n/a",IF(O$3&gt;(A21taxstdlife+$E334),(Input!$H$197-Input!$H$231)-SUM($H334:N334),(Input!$H$197-Input!$H$231)/A21taxstdlife))</f>
        <v>0</v>
      </c>
      <c r="P334" s="73">
        <f>IF(A21taxstdlife="n/a","n/a",IF(P$3&gt;(A21taxstdlife+$E334),(Input!$H$197-Input!$H$231)-SUM($H334:O334),(Input!$H$197-Input!$H$231)/A21taxstdlife))</f>
        <v>0</v>
      </c>
      <c r="Q334" s="73">
        <f>IF(A21taxstdlife="n/a","n/a",IF(Q$3&gt;(A21taxstdlife+$E334),(Input!$H$197-Input!$H$231)-SUM($H334:P334),(Input!$H$197-Input!$H$231)/A21taxstdlife))</f>
        <v>0</v>
      </c>
      <c r="R334" s="73"/>
      <c r="S334" s="107"/>
      <c r="T334" s="107"/>
      <c r="U334" s="107"/>
      <c r="V334" s="107"/>
      <c r="W334" s="107"/>
      <c r="X334" s="107"/>
      <c r="Y334" s="107"/>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01"/>
      <c r="BJ334" s="201"/>
      <c r="BK334" s="201"/>
      <c r="BL334" s="201"/>
      <c r="BM334" s="201"/>
      <c r="BN334" s="201"/>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537"/>
      <c r="E335" s="91">
        <v>2</v>
      </c>
      <c r="F335" s="27"/>
      <c r="G335" s="27"/>
      <c r="H335" s="150"/>
      <c r="I335" s="151"/>
      <c r="J335" s="73">
        <f>IF(A21taxstdlife="n/a","n/a",IF(J$3&gt;(A21taxstdlife+$E335),(Input!$I$197-Input!$I$231)-SUM($I335:I335),(Input!$I$197-Input!$I$231)/A21taxstdlife))</f>
        <v>0</v>
      </c>
      <c r="K335" s="73">
        <f>IF(A21taxstdlife="n/a","n/a",IF(K$3&gt;(A21taxstdlife+$E335),(Input!$I$197-Input!$I$231)-SUM($I335:J335),(Input!$I$197-Input!$I$231)/A21taxstdlife))</f>
        <v>0</v>
      </c>
      <c r="L335" s="73">
        <f>IF(A21taxstdlife="n/a","n/a",IF(L$3&gt;(A21taxstdlife+$E335),(Input!$I$197-Input!$I$231)-SUM($I335:K335),(Input!$I$197-Input!$I$231)/A21taxstdlife))</f>
        <v>0</v>
      </c>
      <c r="M335" s="73">
        <f>IF(A21taxstdlife="n/a","n/a",IF(M$3&gt;(A21taxstdlife+$E335),(Input!$I$197-Input!$I$231)-SUM($I335:L335),(Input!$I$197-Input!$I$231)/A21taxstdlife))</f>
        <v>0</v>
      </c>
      <c r="N335" s="73">
        <f>IF(A21taxstdlife="n/a","n/a",IF(N$3&gt;(A21taxstdlife+$E335),(Input!$I$197-Input!$I$231)-SUM($I335:M335),(Input!$I$197-Input!$I$231)/A21taxstdlife))</f>
        <v>0</v>
      </c>
      <c r="O335" s="73">
        <f>IF(A21taxstdlife="n/a","n/a",IF(O$3&gt;(A21taxstdlife+$E335),(Input!$I$197-Input!$I$231)-SUM($I335:N335),(Input!$I$197-Input!$I$231)/A21taxstdlife))</f>
        <v>0</v>
      </c>
      <c r="P335" s="73">
        <f>IF(A21taxstdlife="n/a","n/a",IF(P$3&gt;(A21taxstdlife+$E335),(Input!$I$197-Input!$I$231)-SUM($I335:O335),(Input!$I$197-Input!$I$231)/A21taxstdlife))</f>
        <v>0</v>
      </c>
      <c r="Q335" s="73">
        <f>IF(A21taxstdlife="n/a","n/a",IF(Q$3&gt;(A21taxstdlife+$E335),(Input!$I$197-Input!$I$231)-SUM($I335:P335),(Input!$I$197-Input!$I$231)/A21taxstdlife))</f>
        <v>0</v>
      </c>
      <c r="R335" s="73"/>
      <c r="S335" s="107"/>
      <c r="T335" s="107"/>
      <c r="U335" s="107"/>
      <c r="V335" s="107"/>
      <c r="W335" s="107"/>
      <c r="X335" s="107"/>
      <c r="Y335" s="107"/>
      <c r="Z335" s="220"/>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01"/>
      <c r="BJ335" s="201"/>
      <c r="BK335" s="201"/>
      <c r="BL335" s="201"/>
      <c r="BM335" s="201"/>
      <c r="BN335" s="201"/>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537"/>
      <c r="E336" s="91">
        <v>3</v>
      </c>
      <c r="F336" s="27"/>
      <c r="G336" s="27"/>
      <c r="H336" s="150"/>
      <c r="I336" s="152"/>
      <c r="J336" s="151"/>
      <c r="K336" s="73">
        <f>IF(A21taxstdlife="n/a","n/a",IF(K$3&gt;(A21taxstdlife+$E336),(Input!$J$197-Input!$J$231)-SUM($J336:J336),(Input!$J$197-Input!$J$231)/A21taxstdlife))</f>
        <v>0</v>
      </c>
      <c r="L336" s="73">
        <f>IF(A21taxstdlife="n/a","n/a",IF(L$3&gt;(A21taxstdlife+$E336),(Input!$J$197-Input!$J$231)-SUM($J336:K336),(Input!$J$197-Input!$J$231)/A21taxstdlife))</f>
        <v>0</v>
      </c>
      <c r="M336" s="73">
        <f>IF(A21taxstdlife="n/a","n/a",IF(M$3&gt;(A21taxstdlife+$E336),(Input!$J$197-Input!$J$231)-SUM($J336:L336),(Input!$J$197-Input!$J$231)/A21taxstdlife))</f>
        <v>0</v>
      </c>
      <c r="N336" s="73">
        <f>IF(A21taxstdlife="n/a","n/a",IF(N$3&gt;(A21taxstdlife+$E336),(Input!$J$197-Input!$J$231)-SUM($J336:M336),(Input!$J$197-Input!$J$231)/A21taxstdlife))</f>
        <v>0</v>
      </c>
      <c r="O336" s="73">
        <f>IF(A21taxstdlife="n/a","n/a",IF(O$3&gt;(A21taxstdlife+$E336),(Input!$J$197-Input!$J$231)-SUM($J336:N336),(Input!$J$197-Input!$J$231)/A21taxstdlife))</f>
        <v>0</v>
      </c>
      <c r="P336" s="73">
        <f>IF(A21taxstdlife="n/a","n/a",IF(P$3&gt;(A21taxstdlife+$E336),(Input!$J$197-Input!$J$231)-SUM($J336:O336),(Input!$J$197-Input!$J$231)/A21taxstdlife))</f>
        <v>0</v>
      </c>
      <c r="Q336" s="73">
        <f>IF(A21taxstdlife="n/a","n/a",IF(Q$3&gt;(A21taxstdlife+$E336),(Input!$J$197-Input!$J$231)-SUM($J336:P336),(Input!$J$197-Input!$J$231)/A21taxstdlife))</f>
        <v>0</v>
      </c>
      <c r="R336" s="73"/>
      <c r="S336" s="107"/>
      <c r="T336" s="107"/>
      <c r="U336" s="107"/>
      <c r="V336" s="107"/>
      <c r="W336" s="107"/>
      <c r="X336" s="107"/>
      <c r="Y336" s="107"/>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2"/>
      <c r="BJ336" s="201"/>
      <c r="BK336" s="201"/>
      <c r="BL336" s="201"/>
      <c r="BM336" s="201"/>
      <c r="BN336" s="201"/>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537"/>
      <c r="E337" s="91">
        <v>4</v>
      </c>
      <c r="F337" s="27"/>
      <c r="G337" s="27"/>
      <c r="H337" s="150"/>
      <c r="I337" s="152"/>
      <c r="J337" s="152"/>
      <c r="K337" s="151"/>
      <c r="L337" s="73">
        <f>IF(A21taxstdlife="n/a","n/a",IF(L$3&gt;(A21taxstdlife+$E337),(Input!$K$197-Input!$K$231)-SUM($K337:K337),(Input!$K$197-Input!$K$231)/A21taxstdlife))</f>
        <v>0</v>
      </c>
      <c r="M337" s="73">
        <f>IF(A21taxstdlife="n/a","n/a",IF(M$3&gt;(A21taxstdlife+$E337),(Input!$K$197-Input!$K$231)-SUM($K337:L337),(Input!$K$197-Input!$K$231)/A21taxstdlife))</f>
        <v>0</v>
      </c>
      <c r="N337" s="73">
        <f>IF(A21taxstdlife="n/a","n/a",IF(N$3&gt;(A21taxstdlife+$E337),(Input!$K$197-Input!$K$231)-SUM($K337:M337),(Input!$K$197-Input!$K$231)/A21taxstdlife))</f>
        <v>0</v>
      </c>
      <c r="O337" s="73">
        <f>IF(A21taxstdlife="n/a","n/a",IF(O$3&gt;(A21taxstdlife+$E337),(Input!$K$197-Input!$K$231)-SUM($K337:N337),(Input!$K$197-Input!$K$231)/A21taxstdlife))</f>
        <v>0</v>
      </c>
      <c r="P337" s="73">
        <f>IF(A21taxstdlife="n/a","n/a",IF(P$3&gt;(A21taxstdlife+$E337),(Input!$K$197-Input!$K$231)-SUM($K337:O337),(Input!$K$197-Input!$K$231)/A21taxstdlife))</f>
        <v>0</v>
      </c>
      <c r="Q337" s="73">
        <f>IF(A21taxstdlife="n/a","n/a",IF(Q$3&gt;(A21taxstdlife+$E337),(Input!$K$197-Input!$K$231)-SUM($K337:P337),(Input!$K$197-Input!$K$231)/A21taxstdlife))</f>
        <v>0</v>
      </c>
      <c r="R337" s="73"/>
      <c r="S337" s="107"/>
      <c r="T337" s="107"/>
      <c r="U337" s="107"/>
      <c r="V337" s="107"/>
      <c r="W337" s="107"/>
      <c r="X337" s="107"/>
      <c r="Y337" s="107"/>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01"/>
      <c r="BJ337" s="201"/>
      <c r="BK337" s="201"/>
      <c r="BL337" s="201"/>
      <c r="BM337" s="201"/>
      <c r="BN337" s="201"/>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537"/>
      <c r="E338" s="91">
        <v>5</v>
      </c>
      <c r="F338" s="27"/>
      <c r="G338" s="27"/>
      <c r="H338" s="150"/>
      <c r="I338" s="152"/>
      <c r="J338" s="152"/>
      <c r="K338" s="152"/>
      <c r="L338" s="151"/>
      <c r="M338" s="73">
        <f>IF(A21taxstdlife="n/a","n/a",IF(M$3&gt;(A21taxstdlife+$E338),(Input!$L$197-Input!$L$231)-SUM($L338:L338),(Input!$L$197-Input!$L$231)/A21taxstdlife))</f>
        <v>0</v>
      </c>
      <c r="N338" s="73">
        <f>IF(A21taxstdlife="n/a","n/a",IF(N$3&gt;(A21taxstdlife+$E338),(Input!$L$197-Input!$L$231)-SUM($L338:M338),(Input!$L$197-Input!$L$231)/A21taxstdlife))</f>
        <v>0</v>
      </c>
      <c r="O338" s="73">
        <f>IF(A21taxstdlife="n/a","n/a",IF(O$3&gt;(A21taxstdlife+$E338),(Input!$L$197-Input!$L$231)-SUM($L338:N338),(Input!$L$197-Input!$L$231)/A21taxstdlife))</f>
        <v>0</v>
      </c>
      <c r="P338" s="73">
        <f>IF(A21taxstdlife="n/a","n/a",IF(P$3&gt;(A21taxstdlife+$E338),(Input!$L$197-Input!$L$231)-SUM($L338:O338),(Input!$L$197-Input!$L$231)/A21taxstdlife))</f>
        <v>0</v>
      </c>
      <c r="Q338" s="73">
        <f>IF(A21taxstdlife="n/a","n/a",IF(Q$3&gt;(A21taxstdlife+$E338),(Input!$L$197-Input!$L$231)-SUM($L338:P338),(Input!$L$197-Input!$L$231)/A21taxstdlife))</f>
        <v>0</v>
      </c>
      <c r="R338" s="73"/>
      <c r="S338" s="107"/>
      <c r="T338" s="107"/>
      <c r="U338" s="107"/>
      <c r="V338" s="107"/>
      <c r="W338" s="107"/>
      <c r="X338" s="107"/>
      <c r="Y338" s="107"/>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01"/>
      <c r="BJ338" s="201"/>
      <c r="BK338" s="201"/>
      <c r="BL338" s="201"/>
      <c r="BM338" s="201"/>
      <c r="BN338" s="201"/>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537"/>
      <c r="E339" s="91">
        <v>6</v>
      </c>
      <c r="F339" s="27"/>
      <c r="G339" s="27"/>
      <c r="H339" s="150"/>
      <c r="I339" s="152"/>
      <c r="J339" s="152"/>
      <c r="K339" s="152"/>
      <c r="L339" s="152"/>
      <c r="M339" s="151"/>
      <c r="N339" s="73">
        <f>IF(A21taxstdlife="n/a","n/a",IF(N$3&gt;(A21taxstdlife+$E339),(Input!$M$197-Input!$M$231)-SUM($M339:M339),(Input!$M$197-Input!$M$231)/A21taxstdlife))</f>
        <v>0</v>
      </c>
      <c r="O339" s="73">
        <f>IF(A21taxstdlife="n/a","n/a",IF(O$3&gt;(A21taxstdlife+$E339),(Input!$M$197-Input!$M$231)-SUM($M339:N339),(Input!$M$197-Input!$M$231)/A21taxstdlife))</f>
        <v>0</v>
      </c>
      <c r="P339" s="73">
        <f>IF(A21taxstdlife="n/a","n/a",IF(P$3&gt;(A21taxstdlife+$E339),(Input!$M$197-Input!$M$231)-SUM($M339:O339),(Input!$M$197-Input!$M$231)/A21taxstdlife))</f>
        <v>0</v>
      </c>
      <c r="Q339" s="73">
        <f>IF(A21taxstdlife="n/a","n/a",IF(Q$3&gt;(A21taxstdlife+$E339),(Input!$M$197-Input!$M$231)-SUM($M339:P339),(Input!$M$197-Input!$M$231)/A21taxstdlife))</f>
        <v>0</v>
      </c>
      <c r="R339" s="73"/>
      <c r="S339" s="107"/>
      <c r="T339" s="107"/>
      <c r="U339" s="107"/>
      <c r="V339" s="107"/>
      <c r="W339" s="107"/>
      <c r="X339" s="107"/>
      <c r="Y339" s="107"/>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01"/>
      <c r="BJ339" s="201"/>
      <c r="BK339" s="201"/>
      <c r="BL339" s="201"/>
      <c r="BM339" s="201"/>
      <c r="BN339" s="201"/>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537"/>
      <c r="E340" s="91">
        <v>7</v>
      </c>
      <c r="F340" s="27"/>
      <c r="G340" s="27"/>
      <c r="H340" s="150"/>
      <c r="I340" s="152"/>
      <c r="J340" s="152"/>
      <c r="K340" s="152"/>
      <c r="L340" s="152"/>
      <c r="M340" s="152"/>
      <c r="N340" s="151"/>
      <c r="O340" s="73">
        <f>IF(A21taxstdlife="n/a","n/a",IF(O$3&gt;(A21taxstdlife+$E340),(Input!$N$197-Input!$N$231)-SUM($N340:N340),(Input!$N$197-Input!$N$231)/A21taxstdlife))</f>
        <v>0</v>
      </c>
      <c r="P340" s="73">
        <f>IF(A21taxstdlife="n/a","n/a",IF(P$3&gt;(A21taxstdlife+$E340),(Input!$N$197-Input!$N$231)-SUM($N340:O340),(Input!$N$197-Input!$N$231)/A21taxstdlife))</f>
        <v>0</v>
      </c>
      <c r="Q340" s="73">
        <f>IF(A21taxstdlife="n/a","n/a",IF(Q$3&gt;(A21taxstdlife+$E340),(Input!$N$197-Input!$N$231)-SUM($N340:P340),(Input!$N$197-Input!$N$231)/A21taxstdlife))</f>
        <v>0</v>
      </c>
      <c r="R340" s="73"/>
      <c r="S340" s="107"/>
      <c r="T340" s="107"/>
      <c r="U340" s="107"/>
      <c r="V340" s="107"/>
      <c r="W340" s="107"/>
      <c r="X340" s="107"/>
      <c r="Y340" s="107"/>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01"/>
      <c r="BJ340" s="201"/>
      <c r="BK340" s="201"/>
      <c r="BL340" s="201"/>
      <c r="BM340" s="201"/>
      <c r="BN340" s="201"/>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537"/>
      <c r="E341" s="91">
        <v>8</v>
      </c>
      <c r="F341" s="27"/>
      <c r="G341" s="27"/>
      <c r="H341" s="150"/>
      <c r="I341" s="152"/>
      <c r="J341" s="152"/>
      <c r="K341" s="152"/>
      <c r="L341" s="152"/>
      <c r="M341" s="152"/>
      <c r="N341" s="152"/>
      <c r="O341" s="151"/>
      <c r="P341" s="73">
        <f>IF(A21taxstdlife="n/a","n/a",IF(P$3&gt;(A21taxstdlife+$E341),(Input!$O$197-Input!$O$231)-SUM($O341:O341),(Input!$O$197-Input!$O$231)/A21taxstdlife))</f>
        <v>0</v>
      </c>
      <c r="Q341" s="73">
        <f>IF(A21taxstdlife="n/a","n/a",IF(Q$3&gt;(A21taxstdlife+$E341),(Input!$O$197-Input!$O$231)-SUM($O341:P341),(Input!$O$197-Input!$O$231)/A21taxstdlife))</f>
        <v>0</v>
      </c>
      <c r="R341" s="73"/>
      <c r="S341" s="107"/>
      <c r="T341" s="107"/>
      <c r="U341" s="107"/>
      <c r="V341" s="107"/>
      <c r="W341" s="107"/>
      <c r="X341" s="107"/>
      <c r="Y341" s="107"/>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01"/>
      <c r="BJ341" s="201"/>
      <c r="BK341" s="201"/>
      <c r="BL341" s="201"/>
      <c r="BM341" s="201"/>
      <c r="BN341" s="20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537"/>
      <c r="E342" s="91">
        <v>9</v>
      </c>
      <c r="F342" s="27"/>
      <c r="G342" s="27"/>
      <c r="H342" s="150"/>
      <c r="I342" s="152"/>
      <c r="J342" s="152"/>
      <c r="K342" s="152"/>
      <c r="L342" s="152"/>
      <c r="M342" s="152"/>
      <c r="N342" s="152"/>
      <c r="O342" s="152"/>
      <c r="P342" s="151"/>
      <c r="Q342" s="73">
        <f>IF(A21taxstdlife="n/a","n/a",IF(Q$3&gt;(A21taxstdlife+$E342),(Input!$P$197-Input!$P$231)-SUM($P342:P342),(Input!$P$197-Input!$P$231)/A21taxstdlife))</f>
        <v>0</v>
      </c>
      <c r="R342" s="73"/>
      <c r="S342" s="107"/>
      <c r="T342" s="107"/>
      <c r="U342" s="107"/>
      <c r="V342" s="107"/>
      <c r="W342" s="107"/>
      <c r="X342" s="107"/>
      <c r="Y342" s="107"/>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01"/>
      <c r="BJ342" s="201"/>
      <c r="BK342" s="201"/>
      <c r="BL342" s="201"/>
      <c r="BM342" s="201"/>
      <c r="BN342" s="201"/>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537"/>
      <c r="E343" s="92">
        <v>10</v>
      </c>
      <c r="F343" s="27"/>
      <c r="G343" s="27"/>
      <c r="H343" s="150"/>
      <c r="I343" s="152"/>
      <c r="J343" s="152"/>
      <c r="K343" s="152"/>
      <c r="L343" s="152"/>
      <c r="M343" s="152"/>
      <c r="N343" s="152"/>
      <c r="O343" s="152"/>
      <c r="P343" s="152"/>
      <c r="Q343" s="151"/>
      <c r="R343" s="73"/>
      <c r="S343" s="107"/>
      <c r="T343" s="107"/>
      <c r="U343" s="107"/>
      <c r="V343" s="107"/>
      <c r="W343" s="107"/>
      <c r="X343" s="107"/>
      <c r="Y343" s="107"/>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01"/>
      <c r="BJ343" s="201"/>
      <c r="BK343" s="201"/>
      <c r="BL343" s="201"/>
      <c r="BM343" s="201"/>
      <c r="BN343" s="201"/>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2">
        <f>Asset21</f>
        <v>0</v>
      </c>
      <c r="D344" s="9"/>
      <c r="E344" s="9"/>
      <c r="F344" s="23"/>
      <c r="G344" s="23"/>
      <c r="H344" s="298">
        <f>-SUM(H332:H343)</f>
        <v>0</v>
      </c>
      <c r="I344" s="165">
        <f>-SUM(I332:I343)</f>
        <v>0</v>
      </c>
      <c r="J344" s="165">
        <f>-SUM(J332:J343)</f>
        <v>0</v>
      </c>
      <c r="K344" s="165">
        <f>-SUM(K332:K343)</f>
        <v>0</v>
      </c>
      <c r="L344" s="165">
        <f>-SUM(L332:L343)</f>
        <v>0</v>
      </c>
      <c r="M344" s="165">
        <f>IF(COUNT($H344:L344)&gt;=Input!$Y$7,0, -SUM(M332:M343))</f>
        <v>0</v>
      </c>
      <c r="N344" s="165">
        <f>IF(COUNT($H344:M344)&gt;=Input!$Y$7,0, -SUM(N332:N343))</f>
        <v>0</v>
      </c>
      <c r="O344" s="165">
        <f>IF(COUNT($H344:N344)&gt;=Input!$Y$7,0, -SUM(O332:O343))</f>
        <v>0</v>
      </c>
      <c r="P344" s="165">
        <f>IF(COUNT($H344:O344)&gt;=Input!$Y$7,0, -SUM(P332:P343))</f>
        <v>0</v>
      </c>
      <c r="Q344" s="165">
        <f>IF(COUNT($H344:P344)&gt;=Input!$Y$7,0, -SUM(Q332:Q343))</f>
        <v>0</v>
      </c>
      <c r="R344" s="165"/>
      <c r="S344" s="106"/>
      <c r="T344" s="106"/>
      <c r="U344" s="106"/>
      <c r="V344" s="106"/>
      <c r="W344" s="106"/>
      <c r="X344" s="106"/>
      <c r="Y344" s="106"/>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01"/>
      <c r="BJ344" s="201"/>
      <c r="BK344" s="201"/>
      <c r="BL344" s="201"/>
      <c r="BM344" s="201"/>
      <c r="BN344" s="201"/>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73">
        <f>Asset22</f>
        <v>0</v>
      </c>
      <c r="C345" s="31"/>
      <c r="D345" s="32" t="s">
        <v>43</v>
      </c>
      <c r="E345" s="31"/>
      <c r="F345" s="301"/>
      <c r="G345" s="301"/>
      <c r="H345" s="72">
        <f>IF(H$3&gt;A22taxremlife,A22taxvalue-SUM($F345:F345),IF(A22taxremlife="N/A","n/a",A22taxvalue/A22taxremlife))</f>
        <v>0</v>
      </c>
      <c r="I345" s="72">
        <f>IF(I$3&gt;A22taxremlife,A22taxvalue-SUM($F345:H345),IF(A22taxremlife="N/A","n/a",A22taxvalue/A22taxremlife))</f>
        <v>0</v>
      </c>
      <c r="J345" s="72">
        <f>IF(J$3&gt;A22taxremlife,A22taxvalue-SUM($F345:I345),IF(A22taxremlife="N/A","n/a",A22taxvalue/A22taxremlife))</f>
        <v>0</v>
      </c>
      <c r="K345" s="72">
        <f>IF(K$3&gt;A22taxremlife,A22taxvalue-SUM($F345:J345),IF(A22taxremlife="N/A","n/a",A22taxvalue/A22taxremlife))</f>
        <v>0</v>
      </c>
      <c r="L345" s="72">
        <f>IF(L$3&gt;A22taxremlife,A22taxvalue-SUM($F345:K345),IF(A22taxremlife="N/A","n/a",A22taxvalue/A22taxremlife))</f>
        <v>0</v>
      </c>
      <c r="M345" s="72">
        <f>IF(M$3&gt;A22taxremlife,A22taxvalue-SUM($F345:L345),IF(A22taxremlife="N/A","n/a",A22taxvalue/A22taxremlife))</f>
        <v>0</v>
      </c>
      <c r="N345" s="72">
        <f>IF(N$3&gt;A22taxremlife,A22taxvalue-SUM($F345:M345),IF(A22taxremlife="N/A","n/a",A22taxvalue/A22taxremlife))</f>
        <v>0</v>
      </c>
      <c r="O345" s="72">
        <f>IF(O$3&gt;A22taxremlife,A22taxvalue-SUM($F345:N345),IF(A22taxremlife="N/A","n/a",A22taxvalue/A22taxremlife))</f>
        <v>0</v>
      </c>
      <c r="P345" s="72">
        <f>IF(P$3&gt;A22taxremlife,A22taxvalue-SUM($F345:O345),IF(A22taxremlife="N/A","n/a",A22taxvalue/A22taxremlife))</f>
        <v>0</v>
      </c>
      <c r="Q345" s="72">
        <f>IF(Q$3&gt;A22taxremlife,A22taxvalue-SUM($F345:P345),IF(A22taxremlife="N/A","n/a",A22taxvalue/A22taxremlife))</f>
        <v>0</v>
      </c>
      <c r="R345" s="72"/>
      <c r="S345" s="107"/>
      <c r="T345" s="107"/>
      <c r="U345" s="107"/>
      <c r="V345" s="107"/>
      <c r="W345" s="107"/>
      <c r="X345" s="107"/>
      <c r="Y345" s="107"/>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01"/>
      <c r="BJ345" s="201"/>
      <c r="BK345" s="201"/>
      <c r="BL345" s="201"/>
      <c r="BM345" s="201"/>
      <c r="BN345" s="201"/>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536" t="s">
        <v>59</v>
      </c>
      <c r="E346" s="91"/>
      <c r="F346" s="27"/>
      <c r="G346" s="27"/>
      <c r="H346" s="107"/>
      <c r="I346" s="73"/>
      <c r="J346" s="73"/>
      <c r="K346" s="73"/>
      <c r="L346" s="73"/>
      <c r="M346" s="73"/>
      <c r="N346" s="73"/>
      <c r="O346" s="73"/>
      <c r="P346" s="73"/>
      <c r="Q346" s="73"/>
      <c r="R346" s="73"/>
      <c r="S346" s="107"/>
      <c r="T346" s="107"/>
      <c r="U346" s="107"/>
      <c r="V346" s="107"/>
      <c r="W346" s="107"/>
      <c r="X346" s="107"/>
      <c r="Y346" s="107"/>
      <c r="Z346" s="220"/>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01"/>
      <c r="BJ346" s="201"/>
      <c r="BK346" s="201"/>
      <c r="BL346" s="201"/>
      <c r="BM346" s="201"/>
      <c r="BN346" s="201"/>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537"/>
      <c r="E347" s="91">
        <v>1</v>
      </c>
      <c r="F347" s="27"/>
      <c r="G347" s="27"/>
      <c r="H347" s="149"/>
      <c r="I347" s="73">
        <f>IF(A22taxstdlife="n/a","n/a",IF(I$3&gt;(A22taxstdlife+$E347),(Input!$H$198-Input!$H$232)-SUM($H347:H347),(Input!$H$198-Input!$H$232)/A22taxstdlife))</f>
        <v>0</v>
      </c>
      <c r="J347" s="73">
        <f>IF(A22taxstdlife="n/a","n/a",IF(J$3&gt;(A22taxstdlife+$E347),(Input!$H$198-Input!$H$232)-SUM($H347:I347),(Input!$H$198-Input!$H$232)/A22taxstdlife))</f>
        <v>0</v>
      </c>
      <c r="K347" s="73">
        <f>IF(A22taxstdlife="n/a","n/a",IF(K$3&gt;(A22taxstdlife+$E347),(Input!$H$198-Input!$H$232)-SUM($H347:J347),(Input!$H$198-Input!$H$232)/A22taxstdlife))</f>
        <v>0</v>
      </c>
      <c r="L347" s="73">
        <f>IF(A22taxstdlife="n/a","n/a",IF(L$3&gt;(A22taxstdlife+$E347),(Input!$H$198-Input!$H$232)-SUM($H347:K347),(Input!$H$198-Input!$H$232)/A22taxstdlife))</f>
        <v>0</v>
      </c>
      <c r="M347" s="73">
        <f>IF(A22taxstdlife="n/a","n/a",IF(M$3&gt;(A22taxstdlife+$E347),(Input!$H$198-Input!$H$232)-SUM($H347:L347),(Input!$H$198-Input!$H$232)/A22taxstdlife))</f>
        <v>0</v>
      </c>
      <c r="N347" s="73">
        <f>IF(A22taxstdlife="n/a","n/a",IF(N$3&gt;(A22taxstdlife+$E347),(Input!$H$198-Input!$H$232)-SUM($H347:M347),(Input!$H$198-Input!$H$232)/A22taxstdlife))</f>
        <v>0</v>
      </c>
      <c r="O347" s="73">
        <f>IF(A22taxstdlife="n/a","n/a",IF(O$3&gt;(A22taxstdlife+$E347),(Input!$H$198-Input!$H$232)-SUM($H347:N347),(Input!$H$198-Input!$H$232)/A22taxstdlife))</f>
        <v>0</v>
      </c>
      <c r="P347" s="73">
        <f>IF(A22taxstdlife="n/a","n/a",IF(P$3&gt;(A22taxstdlife+$E347),(Input!$H$198-Input!$H$232)-SUM($H347:O347),(Input!$H$198-Input!$H$232)/A22taxstdlife))</f>
        <v>0</v>
      </c>
      <c r="Q347" s="73">
        <f>IF(A22taxstdlife="n/a","n/a",IF(Q$3&gt;(A22taxstdlife+$E347),(Input!$H$198-Input!$H$232)-SUM($H347:P347),(Input!$H$198-Input!$H$232)/A22taxstdlife))</f>
        <v>0</v>
      </c>
      <c r="R347" s="73"/>
      <c r="S347" s="107"/>
      <c r="T347" s="107"/>
      <c r="U347" s="107"/>
      <c r="V347" s="107"/>
      <c r="W347" s="107"/>
      <c r="X347" s="107"/>
      <c r="Y347" s="107"/>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01"/>
      <c r="BJ347" s="201"/>
      <c r="BK347" s="201"/>
      <c r="BL347" s="201"/>
      <c r="BM347" s="201"/>
      <c r="BN347" s="201"/>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537"/>
      <c r="E348" s="91">
        <v>2</v>
      </c>
      <c r="F348" s="27"/>
      <c r="G348" s="27"/>
      <c r="H348" s="150"/>
      <c r="I348" s="151"/>
      <c r="J348" s="73">
        <f>IF(A22taxstdlife="n/a","n/a",IF(J$3&gt;(A22taxstdlife+$E348),(Input!$I$198-Input!$I$232)-SUM($I348:I348),(Input!$I$198-Input!$I$232)/A22taxstdlife))</f>
        <v>0</v>
      </c>
      <c r="K348" s="73">
        <f>IF(A22taxstdlife="n/a","n/a",IF(K$3&gt;(A22taxstdlife+$E348),(Input!$I$198-Input!$I$232)-SUM($I348:J348),(Input!$I$198-Input!$I$232)/A22taxstdlife))</f>
        <v>0</v>
      </c>
      <c r="L348" s="73">
        <f>IF(A22taxstdlife="n/a","n/a",IF(L$3&gt;(A22taxstdlife+$E348),(Input!$I$198-Input!$I$232)-SUM($I348:K348),(Input!$I$198-Input!$I$232)/A22taxstdlife))</f>
        <v>0</v>
      </c>
      <c r="M348" s="73">
        <f>IF(A22taxstdlife="n/a","n/a",IF(M$3&gt;(A22taxstdlife+$E348),(Input!$I$198-Input!$I$232)-SUM($I348:L348),(Input!$I$198-Input!$I$232)/A22taxstdlife))</f>
        <v>0</v>
      </c>
      <c r="N348" s="73">
        <f>IF(A22taxstdlife="n/a","n/a",IF(N$3&gt;(A22taxstdlife+$E348),(Input!$I$198-Input!$I$232)-SUM($I348:M348),(Input!$I$198-Input!$I$232)/A22taxstdlife))</f>
        <v>0</v>
      </c>
      <c r="O348" s="73">
        <f>IF(A22taxstdlife="n/a","n/a",IF(O$3&gt;(A22taxstdlife+$E348),(Input!$I$198-Input!$I$232)-SUM($I348:N348),(Input!$I$198-Input!$I$232)/A22taxstdlife))</f>
        <v>0</v>
      </c>
      <c r="P348" s="73">
        <f>IF(A22taxstdlife="n/a","n/a",IF(P$3&gt;(A22taxstdlife+$E348),(Input!$I$198-Input!$I$232)-SUM($I348:O348),(Input!$I$198-Input!$I$232)/A22taxstdlife))</f>
        <v>0</v>
      </c>
      <c r="Q348" s="73">
        <f>IF(A22taxstdlife="n/a","n/a",IF(Q$3&gt;(A22taxstdlife+$E348),(Input!$I$198-Input!$I$232)-SUM($I348:P348),(Input!$I$198-Input!$I$232)/A22taxstdlife))</f>
        <v>0</v>
      </c>
      <c r="R348" s="73"/>
      <c r="S348" s="107"/>
      <c r="T348" s="107"/>
      <c r="U348" s="107"/>
      <c r="V348" s="107"/>
      <c r="W348" s="107"/>
      <c r="X348" s="107"/>
      <c r="Y348" s="107"/>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01"/>
      <c r="BJ348" s="201"/>
      <c r="BK348" s="201"/>
      <c r="BL348" s="201"/>
      <c r="BM348" s="201"/>
      <c r="BN348" s="201"/>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537"/>
      <c r="E349" s="91">
        <v>3</v>
      </c>
      <c r="F349" s="27"/>
      <c r="G349" s="27"/>
      <c r="H349" s="150"/>
      <c r="I349" s="152"/>
      <c r="J349" s="151"/>
      <c r="K349" s="73">
        <f>IF(A22taxstdlife="n/a","n/a",IF(K$3&gt;(A22taxstdlife+$E349),(Input!$J$198-Input!$J$232)-SUM($J349:J349),(Input!$J$198-Input!$J$232)/A22taxstdlife))</f>
        <v>0</v>
      </c>
      <c r="L349" s="73">
        <f>IF(A22taxstdlife="n/a","n/a",IF(L$3&gt;(A22taxstdlife+$E349),(Input!$J$198-Input!$J$232)-SUM($J349:K349),(Input!$J$198-Input!$J$232)/A22taxstdlife))</f>
        <v>0</v>
      </c>
      <c r="M349" s="73">
        <f>IF(A22taxstdlife="n/a","n/a",IF(M$3&gt;(A22taxstdlife+$E349),(Input!$J$198-Input!$J$232)-SUM($J349:L349),(Input!$J$198-Input!$J$232)/A22taxstdlife))</f>
        <v>0</v>
      </c>
      <c r="N349" s="73">
        <f>IF(A22taxstdlife="n/a","n/a",IF(N$3&gt;(A22taxstdlife+$E349),(Input!$J$198-Input!$J$232)-SUM($J349:M349),(Input!$J$198-Input!$J$232)/A22taxstdlife))</f>
        <v>0</v>
      </c>
      <c r="O349" s="73">
        <f>IF(A22taxstdlife="n/a","n/a",IF(O$3&gt;(A22taxstdlife+$E349),(Input!$J$198-Input!$J$232)-SUM($J349:N349),(Input!$J$198-Input!$J$232)/A22taxstdlife))</f>
        <v>0</v>
      </c>
      <c r="P349" s="73">
        <f>IF(A22taxstdlife="n/a","n/a",IF(P$3&gt;(A22taxstdlife+$E349),(Input!$J$198-Input!$J$232)-SUM($J349:O349),(Input!$J$198-Input!$J$232)/A22taxstdlife))</f>
        <v>0</v>
      </c>
      <c r="Q349" s="73">
        <f>IF(A22taxstdlife="n/a","n/a",IF(Q$3&gt;(A22taxstdlife+$E349),(Input!$J$198-Input!$J$232)-SUM($J349:P349),(Input!$J$198-Input!$J$232)/A22taxstdlife))</f>
        <v>0</v>
      </c>
      <c r="R349" s="73"/>
      <c r="S349" s="107"/>
      <c r="T349" s="107"/>
      <c r="U349" s="107"/>
      <c r="V349" s="107"/>
      <c r="W349" s="107"/>
      <c r="X349" s="107"/>
      <c r="Y349" s="107"/>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2"/>
      <c r="BJ349" s="201"/>
      <c r="BK349" s="201"/>
      <c r="BL349" s="201"/>
      <c r="BM349" s="201"/>
      <c r="BN349" s="201"/>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537"/>
      <c r="E350" s="91">
        <v>4</v>
      </c>
      <c r="F350" s="27"/>
      <c r="G350" s="27"/>
      <c r="H350" s="150"/>
      <c r="I350" s="152"/>
      <c r="J350" s="152"/>
      <c r="K350" s="151"/>
      <c r="L350" s="73">
        <f>IF(A22taxstdlife="n/a","n/a",IF(L$3&gt;(A22taxstdlife+$E350),(Input!$K$198-Input!$K$232)-SUM($K350:K350),(Input!$K$198-Input!$K$232)/A22taxstdlife))</f>
        <v>0</v>
      </c>
      <c r="M350" s="73">
        <f>IF(A22taxstdlife="n/a","n/a",IF(M$3&gt;(A22taxstdlife+$E350),(Input!$K$198-Input!$K$232)-SUM($K350:L350),(Input!$K$198-Input!$K$232)/A22taxstdlife))</f>
        <v>0</v>
      </c>
      <c r="N350" s="73">
        <f>IF(A22taxstdlife="n/a","n/a",IF(N$3&gt;(A22taxstdlife+$E350),(Input!$K$198-Input!$K$232)-SUM($K350:M350),(Input!$K$198-Input!$K$232)/A22taxstdlife))</f>
        <v>0</v>
      </c>
      <c r="O350" s="73">
        <f>IF(A22taxstdlife="n/a","n/a",IF(O$3&gt;(A22taxstdlife+$E350),(Input!$K$198-Input!$K$232)-SUM($K350:N350),(Input!$K$198-Input!$K$232)/A22taxstdlife))</f>
        <v>0</v>
      </c>
      <c r="P350" s="73">
        <f>IF(A22taxstdlife="n/a","n/a",IF(P$3&gt;(A22taxstdlife+$E350),(Input!$K$198-Input!$K$232)-SUM($K350:O350),(Input!$K$198-Input!$K$232)/A22taxstdlife))</f>
        <v>0</v>
      </c>
      <c r="Q350" s="73">
        <f>IF(A22taxstdlife="n/a","n/a",IF(Q$3&gt;(A22taxstdlife+$E350),(Input!$K$198-Input!$K$232)-SUM($K350:P350),(Input!$K$198-Input!$K$232)/A22taxstdlife))</f>
        <v>0</v>
      </c>
      <c r="R350" s="73"/>
      <c r="S350" s="107"/>
      <c r="T350" s="107"/>
      <c r="U350" s="107"/>
      <c r="V350" s="107"/>
      <c r="W350" s="107"/>
      <c r="X350" s="107"/>
      <c r="Y350" s="107"/>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01"/>
      <c r="BJ350" s="201"/>
      <c r="BK350" s="201"/>
      <c r="BL350" s="201"/>
      <c r="BM350" s="201"/>
      <c r="BN350" s="201"/>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537"/>
      <c r="E351" s="91">
        <v>5</v>
      </c>
      <c r="F351" s="27"/>
      <c r="G351" s="27"/>
      <c r="H351" s="150"/>
      <c r="I351" s="152"/>
      <c r="J351" s="152"/>
      <c r="K351" s="152"/>
      <c r="L351" s="151"/>
      <c r="M351" s="73">
        <f>IF(A22taxstdlife="n/a","n/a",IF(M$3&gt;(A22taxstdlife+$E351),(Input!$L$198-Input!$L$232)-SUM($L351:L351),(Input!$L$198-Input!$L$232)/A22taxstdlife))</f>
        <v>0</v>
      </c>
      <c r="N351" s="73">
        <f>IF(A22taxstdlife="n/a","n/a",IF(N$3&gt;(A22taxstdlife+$E351),(Input!$L$198-Input!$L$232)-SUM($L351:M351),(Input!$L$198-Input!$L$232)/A22taxstdlife))</f>
        <v>0</v>
      </c>
      <c r="O351" s="73">
        <f>IF(A22taxstdlife="n/a","n/a",IF(O$3&gt;(A22taxstdlife+$E351),(Input!$L$198-Input!$L$232)-SUM($L351:N351),(Input!$L$198-Input!$L$232)/A22taxstdlife))</f>
        <v>0</v>
      </c>
      <c r="P351" s="73">
        <f>IF(A22taxstdlife="n/a","n/a",IF(P$3&gt;(A22taxstdlife+$E351),(Input!$L$198-Input!$L$232)-SUM($L351:O351),(Input!$L$198-Input!$L$232)/A22taxstdlife))</f>
        <v>0</v>
      </c>
      <c r="Q351" s="73">
        <f>IF(A22taxstdlife="n/a","n/a",IF(Q$3&gt;(A22taxstdlife+$E351),(Input!$L$198-Input!$L$232)-SUM($L351:P351),(Input!$L$198-Input!$L$232)/A22taxstdlife))</f>
        <v>0</v>
      </c>
      <c r="R351" s="73"/>
      <c r="S351" s="107"/>
      <c r="T351" s="107"/>
      <c r="U351" s="107"/>
      <c r="V351" s="107"/>
      <c r="W351" s="107"/>
      <c r="X351" s="107"/>
      <c r="Y351" s="107"/>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01"/>
      <c r="BJ351" s="201"/>
      <c r="BK351" s="201"/>
      <c r="BL351" s="201"/>
      <c r="BM351" s="201"/>
      <c r="BN351" s="20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537"/>
      <c r="E352" s="91">
        <v>6</v>
      </c>
      <c r="F352" s="27"/>
      <c r="G352" s="27"/>
      <c r="H352" s="150"/>
      <c r="I352" s="152"/>
      <c r="J352" s="152"/>
      <c r="K352" s="152"/>
      <c r="L352" s="152"/>
      <c r="M352" s="151"/>
      <c r="N352" s="73">
        <f>IF(A22taxstdlife="n/a","n/a",IF(N$3&gt;(A22taxstdlife+$E352),(Input!$M$198-Input!$M$232)-SUM($M352:M352),(Input!$M$198-Input!$M$232)/A22taxstdlife))</f>
        <v>0</v>
      </c>
      <c r="O352" s="73">
        <f>IF(A22taxstdlife="n/a","n/a",IF(O$3&gt;(A22taxstdlife+$E352),(Input!$M$198-Input!$M$232)-SUM($M352:N352),(Input!$M$198-Input!$M$232)/A22taxstdlife))</f>
        <v>0</v>
      </c>
      <c r="P352" s="73">
        <f>IF(A22taxstdlife="n/a","n/a",IF(P$3&gt;(A22taxstdlife+$E352),(Input!$M$198-Input!$M$232)-SUM($M352:O352),(Input!$M$198-Input!$M$232)/A22taxstdlife))</f>
        <v>0</v>
      </c>
      <c r="Q352" s="73">
        <f>IF(A22taxstdlife="n/a","n/a",IF(Q$3&gt;(A22taxstdlife+$E352),(Input!$M$198-Input!$M$232)-SUM($M352:P352),(Input!$M$198-Input!$M$232)/A22taxstdlife))</f>
        <v>0</v>
      </c>
      <c r="R352" s="73"/>
      <c r="S352" s="107"/>
      <c r="T352" s="107"/>
      <c r="U352" s="107"/>
      <c r="V352" s="107"/>
      <c r="W352" s="107"/>
      <c r="X352" s="107"/>
      <c r="Y352" s="107"/>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01"/>
      <c r="BJ352" s="201"/>
      <c r="BK352" s="201"/>
      <c r="BL352" s="201"/>
      <c r="BM352" s="201"/>
      <c r="BN352" s="201"/>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537"/>
      <c r="E353" s="91">
        <v>7</v>
      </c>
      <c r="F353" s="27"/>
      <c r="G353" s="27"/>
      <c r="H353" s="150"/>
      <c r="I353" s="152"/>
      <c r="J353" s="152"/>
      <c r="K353" s="152"/>
      <c r="L353" s="152"/>
      <c r="M353" s="152"/>
      <c r="N353" s="151"/>
      <c r="O353" s="73">
        <f>IF(A22taxstdlife="n/a","n/a",IF(O$3&gt;(A22taxstdlife+$E353),(Input!$N$198-Input!$N$232)-SUM($N353:N353),(Input!$N$198-Input!$N$232)/A22taxstdlife))</f>
        <v>0</v>
      </c>
      <c r="P353" s="73">
        <f>IF(A22taxstdlife="n/a","n/a",IF(P$3&gt;(A22taxstdlife+$E353),(Input!$N$198-Input!$N$232)-SUM($N353:O353),(Input!$N$198-Input!$N$232)/A22taxstdlife))</f>
        <v>0</v>
      </c>
      <c r="Q353" s="73">
        <f>IF(A22taxstdlife="n/a","n/a",IF(Q$3&gt;(A22taxstdlife+$E353),(Input!$N$198-Input!$N$232)-SUM($N353:P353),(Input!$N$198-Input!$N$232)/A22taxstdlife))</f>
        <v>0</v>
      </c>
      <c r="R353" s="73"/>
      <c r="S353" s="107"/>
      <c r="T353" s="107"/>
      <c r="U353" s="107"/>
      <c r="V353" s="107"/>
      <c r="W353" s="107"/>
      <c r="X353" s="107"/>
      <c r="Y353" s="107"/>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01"/>
      <c r="BJ353" s="201"/>
      <c r="BK353" s="201"/>
      <c r="BL353" s="201"/>
      <c r="BM353" s="201"/>
      <c r="BN353" s="201"/>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537"/>
      <c r="E354" s="91">
        <v>8</v>
      </c>
      <c r="F354" s="27"/>
      <c r="G354" s="27"/>
      <c r="H354" s="150"/>
      <c r="I354" s="152"/>
      <c r="J354" s="152"/>
      <c r="K354" s="152"/>
      <c r="L354" s="152"/>
      <c r="M354" s="152"/>
      <c r="N354" s="152"/>
      <c r="O354" s="151"/>
      <c r="P354" s="73">
        <f>IF(A22taxstdlife="n/a","n/a",IF(P$3&gt;(A22taxstdlife+$E354),(Input!$O$198-Input!$O$232)-SUM($O354:O354),(Input!$O$198-Input!$O$232)/A22taxstdlife))</f>
        <v>0</v>
      </c>
      <c r="Q354" s="73">
        <f>IF(A22taxstdlife="n/a","n/a",IF(Q$3&gt;(A22taxstdlife+$E354),(Input!$O$198-Input!$O$232)-SUM($O354:P354),(Input!$O$198-Input!$O$232)/A22taxstdlife))</f>
        <v>0</v>
      </c>
      <c r="R354" s="73"/>
      <c r="S354" s="107"/>
      <c r="T354" s="107"/>
      <c r="U354" s="107"/>
      <c r="V354" s="107"/>
      <c r="W354" s="107"/>
      <c r="X354" s="107"/>
      <c r="Y354" s="107"/>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01"/>
      <c r="BJ354" s="201"/>
      <c r="BK354" s="201"/>
      <c r="BL354" s="201"/>
      <c r="BM354" s="201"/>
      <c r="BN354" s="201"/>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537"/>
      <c r="E355" s="91">
        <v>9</v>
      </c>
      <c r="F355" s="27"/>
      <c r="G355" s="27"/>
      <c r="H355" s="150"/>
      <c r="I355" s="152"/>
      <c r="J355" s="152"/>
      <c r="K355" s="152"/>
      <c r="L355" s="152"/>
      <c r="M355" s="152"/>
      <c r="N355" s="152"/>
      <c r="O355" s="152"/>
      <c r="P355" s="151"/>
      <c r="Q355" s="73">
        <f>IF(A22taxstdlife="n/a","n/a",IF(Q$3&gt;(A22taxstdlife+$E355),(Input!$P$198-Input!$P$232)-SUM($P355:P355),(Input!$P$198-Input!$P$232)/A22taxstdlife))</f>
        <v>0</v>
      </c>
      <c r="R355" s="73"/>
      <c r="S355" s="107"/>
      <c r="T355" s="107"/>
      <c r="U355" s="107"/>
      <c r="V355" s="107"/>
      <c r="W355" s="107"/>
      <c r="X355" s="107"/>
      <c r="Y355" s="107"/>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01"/>
      <c r="BJ355" s="201"/>
      <c r="BK355" s="201"/>
      <c r="BL355" s="201"/>
      <c r="BM355" s="201"/>
      <c r="BN355" s="201"/>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537"/>
      <c r="E356" s="92">
        <v>10</v>
      </c>
      <c r="F356" s="27"/>
      <c r="G356" s="27"/>
      <c r="H356" s="150"/>
      <c r="I356" s="152"/>
      <c r="J356" s="152"/>
      <c r="K356" s="152"/>
      <c r="L356" s="152"/>
      <c r="M356" s="152"/>
      <c r="N356" s="152"/>
      <c r="O356" s="152"/>
      <c r="P356" s="152"/>
      <c r="Q356" s="151"/>
      <c r="R356" s="73"/>
      <c r="S356" s="107"/>
      <c r="T356" s="107"/>
      <c r="U356" s="107"/>
      <c r="V356" s="107"/>
      <c r="W356" s="107"/>
      <c r="X356" s="107"/>
      <c r="Y356" s="107"/>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01"/>
      <c r="BJ356" s="201"/>
      <c r="BK356" s="201"/>
      <c r="BL356" s="201"/>
      <c r="BM356" s="201"/>
      <c r="BN356" s="201"/>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2">
        <f>Asset22</f>
        <v>0</v>
      </c>
      <c r="D357" s="9"/>
      <c r="E357" s="9"/>
      <c r="F357" s="23"/>
      <c r="G357" s="23"/>
      <c r="H357" s="298">
        <f>-SUM(H345:H356)</f>
        <v>0</v>
      </c>
      <c r="I357" s="165">
        <f>-SUM(I345:I356)</f>
        <v>0</v>
      </c>
      <c r="J357" s="165">
        <f>-SUM(J345:J356)</f>
        <v>0</v>
      </c>
      <c r="K357" s="165">
        <f>-SUM(K345:K356)</f>
        <v>0</v>
      </c>
      <c r="L357" s="165">
        <f>-SUM(L345:L356)</f>
        <v>0</v>
      </c>
      <c r="M357" s="165">
        <f>IF(COUNT($H357:L357)&gt;=Input!$Y$7,0, -SUM(M345:M356))</f>
        <v>0</v>
      </c>
      <c r="N357" s="165">
        <f>IF(COUNT($H357:M357)&gt;=Input!$Y$7,0, -SUM(N345:N356))</f>
        <v>0</v>
      </c>
      <c r="O357" s="165">
        <f>IF(COUNT($H357:N357)&gt;=Input!$Y$7,0, -SUM(O345:O356))</f>
        <v>0</v>
      </c>
      <c r="P357" s="165">
        <f>IF(COUNT($H357:O357)&gt;=Input!$Y$7,0, -SUM(P345:P356))</f>
        <v>0</v>
      </c>
      <c r="Q357" s="165">
        <f>IF(COUNT($H357:P357)&gt;=Input!$Y$7,0, -SUM(Q345:Q356))</f>
        <v>0</v>
      </c>
      <c r="R357" s="165"/>
      <c r="S357" s="106"/>
      <c r="T357" s="106"/>
      <c r="U357" s="106"/>
      <c r="V357" s="106"/>
      <c r="W357" s="106"/>
      <c r="X357" s="106"/>
      <c r="Y357" s="106"/>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01"/>
      <c r="BJ357" s="201"/>
      <c r="BK357" s="201"/>
      <c r="BL357" s="201"/>
      <c r="BM357" s="201"/>
      <c r="BN357" s="201"/>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73">
        <f>Asset23</f>
        <v>0</v>
      </c>
      <c r="C358" s="31"/>
      <c r="D358" s="32" t="s">
        <v>43</v>
      </c>
      <c r="E358" s="31"/>
      <c r="F358" s="301"/>
      <c r="G358" s="301"/>
      <c r="H358" s="72">
        <f>IF(H$3&gt;A23taxremlife,A23taxvalue-SUM($F358:F358),IF(A23taxremlife="N/A","n/a",A23taxvalue/A23taxremlife))</f>
        <v>0</v>
      </c>
      <c r="I358" s="72">
        <f>IF(I$3&gt;A23taxremlife,A23taxvalue-SUM($F358:H358),IF(A23taxremlife="N/A","n/a",A23taxvalue/A23taxremlife))</f>
        <v>0</v>
      </c>
      <c r="J358" s="72">
        <f>IF(J$3&gt;A23taxremlife,A23taxvalue-SUM($F358:I358),IF(A23taxremlife="N/A","n/a",A23taxvalue/A23taxremlife))</f>
        <v>0</v>
      </c>
      <c r="K358" s="72">
        <f>IF(K$3&gt;A23taxremlife,A23taxvalue-SUM($F358:J358),IF(A23taxremlife="N/A","n/a",A23taxvalue/A23taxremlife))</f>
        <v>0</v>
      </c>
      <c r="L358" s="72">
        <f>IF(L$3&gt;A23taxremlife,A23taxvalue-SUM($F358:K358),IF(A23taxremlife="N/A","n/a",A23taxvalue/A23taxremlife))</f>
        <v>0</v>
      </c>
      <c r="M358" s="72">
        <f>IF(M$3&gt;A23taxremlife,A23taxvalue-SUM($F358:L358),IF(A23taxremlife="N/A","n/a",A23taxvalue/A23taxremlife))</f>
        <v>0</v>
      </c>
      <c r="N358" s="72">
        <f>IF(N$3&gt;A23taxremlife,A23taxvalue-SUM($F358:M358),IF(A23taxremlife="N/A","n/a",A23taxvalue/A23taxremlife))</f>
        <v>0</v>
      </c>
      <c r="O358" s="72">
        <f>IF(O$3&gt;A23taxremlife,A23taxvalue-SUM($F358:N358),IF(A23taxremlife="N/A","n/a",A23taxvalue/A23taxremlife))</f>
        <v>0</v>
      </c>
      <c r="P358" s="72">
        <f>IF(P$3&gt;A23taxremlife,A23taxvalue-SUM($F358:O358),IF(A23taxremlife="N/A","n/a",A23taxvalue/A23taxremlife))</f>
        <v>0</v>
      </c>
      <c r="Q358" s="72">
        <f>IF(Q$3&gt;A23taxremlife,A23taxvalue-SUM($F358:P358),IF(A23taxremlife="N/A","n/a",A23taxvalue/A23taxremlife))</f>
        <v>0</v>
      </c>
      <c r="R358" s="72"/>
      <c r="S358" s="107"/>
      <c r="T358" s="107"/>
      <c r="U358" s="107"/>
      <c r="V358" s="107"/>
      <c r="W358" s="107"/>
      <c r="X358" s="107"/>
      <c r="Y358" s="107"/>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01"/>
      <c r="BJ358" s="201"/>
      <c r="BK358" s="201"/>
      <c r="BL358" s="201"/>
      <c r="BM358" s="201"/>
      <c r="BN358" s="201"/>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536" t="s">
        <v>59</v>
      </c>
      <c r="E359" s="91"/>
      <c r="F359" s="27"/>
      <c r="G359" s="27"/>
      <c r="H359" s="107"/>
      <c r="I359" s="73"/>
      <c r="J359" s="73"/>
      <c r="K359" s="73"/>
      <c r="L359" s="73"/>
      <c r="M359" s="73"/>
      <c r="N359" s="73"/>
      <c r="O359" s="73"/>
      <c r="P359" s="73"/>
      <c r="Q359" s="73"/>
      <c r="R359" s="73"/>
      <c r="S359" s="107"/>
      <c r="T359" s="107"/>
      <c r="U359" s="107"/>
      <c r="V359" s="107"/>
      <c r="W359" s="107"/>
      <c r="X359" s="107"/>
      <c r="Y359" s="107"/>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01"/>
      <c r="BJ359" s="201"/>
      <c r="BK359" s="201"/>
      <c r="BL359" s="201"/>
      <c r="BM359" s="201"/>
      <c r="BN359" s="201"/>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537"/>
      <c r="E360" s="91">
        <v>1</v>
      </c>
      <c r="F360" s="27"/>
      <c r="G360" s="27"/>
      <c r="H360" s="149"/>
      <c r="I360" s="73">
        <f>IF(A23taxstdlife="n/a","n/a",IF(I$3&gt;(A23taxstdlife+$E360),(Input!$H$199-Input!$H$233)-SUM($H360:H360),(Input!$H$199-Input!$H$233)/A23taxstdlife))</f>
        <v>0</v>
      </c>
      <c r="J360" s="73">
        <f>IF(A23taxstdlife="n/a","n/a",IF(J$3&gt;(A23taxstdlife+$E360),(Input!$H$199-Input!$H$233)-SUM($H360:I360),(Input!$H$199-Input!$H$233)/A23taxstdlife))</f>
        <v>0</v>
      </c>
      <c r="K360" s="73">
        <f>IF(A23taxstdlife="n/a","n/a",IF(K$3&gt;(A23taxstdlife+$E360),(Input!$H$199-Input!$H$233)-SUM($H360:J360),(Input!$H$199-Input!$H$233)/A23taxstdlife))</f>
        <v>0</v>
      </c>
      <c r="L360" s="73">
        <f>IF(A23taxstdlife="n/a","n/a",IF(L$3&gt;(A23taxstdlife+$E360),(Input!$H$199-Input!$H$233)-SUM($H360:K360),(Input!$H$199-Input!$H$233)/A23taxstdlife))</f>
        <v>0</v>
      </c>
      <c r="M360" s="73">
        <f>IF(A23taxstdlife="n/a","n/a",IF(M$3&gt;(A23taxstdlife+$E360),(Input!$H$199-Input!$H$233)-SUM($H360:L360),(Input!$H$199-Input!$H$233)/A23taxstdlife))</f>
        <v>0</v>
      </c>
      <c r="N360" s="73">
        <f>IF(A23taxstdlife="n/a","n/a",IF(N$3&gt;(A23taxstdlife+$E360),(Input!$H$199-Input!$H$233)-SUM($H360:M360),(Input!$H$199-Input!$H$233)/A23taxstdlife))</f>
        <v>0</v>
      </c>
      <c r="O360" s="73">
        <f>IF(A23taxstdlife="n/a","n/a",IF(O$3&gt;(A23taxstdlife+$E360),(Input!$H$199-Input!$H$233)-SUM($H360:N360),(Input!$H$199-Input!$H$233)/A23taxstdlife))</f>
        <v>0</v>
      </c>
      <c r="P360" s="73">
        <f>IF(A23taxstdlife="n/a","n/a",IF(P$3&gt;(A23taxstdlife+$E360),(Input!$H$199-Input!$H$233)-SUM($H360:O360),(Input!$H$199-Input!$H$233)/A23taxstdlife))</f>
        <v>0</v>
      </c>
      <c r="Q360" s="73">
        <f>IF(A23taxstdlife="n/a","n/a",IF(Q$3&gt;(A23taxstdlife+$E360),(Input!$H$199-Input!$H$233)-SUM($H360:P360),(Input!$H$199-Input!$H$233)/A23taxstdlife))</f>
        <v>0</v>
      </c>
      <c r="R360" s="73"/>
      <c r="S360" s="107"/>
      <c r="T360" s="107"/>
      <c r="U360" s="107"/>
      <c r="V360" s="107"/>
      <c r="W360" s="107"/>
      <c r="X360" s="107"/>
      <c r="Y360" s="107"/>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01"/>
      <c r="BJ360" s="201"/>
      <c r="BK360" s="201"/>
      <c r="BL360" s="201"/>
      <c r="BM360" s="201"/>
      <c r="BN360" s="201"/>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537"/>
      <c r="E361" s="91">
        <v>2</v>
      </c>
      <c r="F361" s="27"/>
      <c r="G361" s="27"/>
      <c r="H361" s="150"/>
      <c r="I361" s="151"/>
      <c r="J361" s="73">
        <f>IF(A23taxstdlife="n/a","n/a",IF(J$3&gt;(A23taxstdlife+$E361),(Input!$I$199-Input!$I$233)-SUM($I361:I361),(Input!$I$199-Input!$I$233)/A23taxstdlife))</f>
        <v>0</v>
      </c>
      <c r="K361" s="73">
        <f>IF(A23taxstdlife="n/a","n/a",IF(K$3&gt;(A23taxstdlife+$E361),(Input!$I$199-Input!$I$233)-SUM($I361:J361),(Input!$I$199-Input!$I$233)/A23taxstdlife))</f>
        <v>0</v>
      </c>
      <c r="L361" s="73">
        <f>IF(A23taxstdlife="n/a","n/a",IF(L$3&gt;(A23taxstdlife+$E361),(Input!$I$199-Input!$I$233)-SUM($I361:K361),(Input!$I$199-Input!$I$233)/A23taxstdlife))</f>
        <v>0</v>
      </c>
      <c r="M361" s="73">
        <f>IF(A23taxstdlife="n/a","n/a",IF(M$3&gt;(A23taxstdlife+$E361),(Input!$I$199-Input!$I$233)-SUM($I361:L361),(Input!$I$199-Input!$I$233)/A23taxstdlife))</f>
        <v>0</v>
      </c>
      <c r="N361" s="73">
        <f>IF(A23taxstdlife="n/a","n/a",IF(N$3&gt;(A23taxstdlife+$E361),(Input!$I$199-Input!$I$233)-SUM($I361:M361),(Input!$I$199-Input!$I$233)/A23taxstdlife))</f>
        <v>0</v>
      </c>
      <c r="O361" s="73">
        <f>IF(A23taxstdlife="n/a","n/a",IF(O$3&gt;(A23taxstdlife+$E361),(Input!$I$199-Input!$I$233)-SUM($I361:N361),(Input!$I$199-Input!$I$233)/A23taxstdlife))</f>
        <v>0</v>
      </c>
      <c r="P361" s="73">
        <f>IF(A23taxstdlife="n/a","n/a",IF(P$3&gt;(A23taxstdlife+$E361),(Input!$I$199-Input!$I$233)-SUM($I361:O361),(Input!$I$199-Input!$I$233)/A23taxstdlife))</f>
        <v>0</v>
      </c>
      <c r="Q361" s="73">
        <f>IF(A23taxstdlife="n/a","n/a",IF(Q$3&gt;(A23taxstdlife+$E361),(Input!$I$199-Input!$I$233)-SUM($I361:P361),(Input!$I$199-Input!$I$233)/A23taxstdlife))</f>
        <v>0</v>
      </c>
      <c r="R361" s="73"/>
      <c r="S361" s="107"/>
      <c r="T361" s="107"/>
      <c r="U361" s="107"/>
      <c r="V361" s="107"/>
      <c r="W361" s="107"/>
      <c r="X361" s="107"/>
      <c r="Y361" s="107"/>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01"/>
      <c r="BJ361" s="201"/>
      <c r="BK361" s="201"/>
      <c r="BL361" s="201"/>
      <c r="BM361" s="201"/>
      <c r="BN361" s="20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537"/>
      <c r="E362" s="91">
        <v>3</v>
      </c>
      <c r="F362" s="27"/>
      <c r="G362" s="27"/>
      <c r="H362" s="150"/>
      <c r="I362" s="152"/>
      <c r="J362" s="151"/>
      <c r="K362" s="73">
        <f>IF(A23taxstdlife="n/a","n/a",IF(K$3&gt;(A23taxstdlife+$E362),(Input!$J$199-Input!$J$233)-SUM($J362:J362),(Input!$J$199-Input!$J$233)/A23taxstdlife))</f>
        <v>0</v>
      </c>
      <c r="L362" s="73">
        <f>IF(A23taxstdlife="n/a","n/a",IF(L$3&gt;(A23taxstdlife+$E362),(Input!$J$199-Input!$J$233)-SUM($J362:K362),(Input!$J$199-Input!$J$233)/A23taxstdlife))</f>
        <v>0</v>
      </c>
      <c r="M362" s="73">
        <f>IF(A23taxstdlife="n/a","n/a",IF(M$3&gt;(A23taxstdlife+$E362),(Input!$J$199-Input!$J$233)-SUM($J362:L362),(Input!$J$199-Input!$J$233)/A23taxstdlife))</f>
        <v>0</v>
      </c>
      <c r="N362" s="73">
        <f>IF(A23taxstdlife="n/a","n/a",IF(N$3&gt;(A23taxstdlife+$E362),(Input!$J$199-Input!$J$233)-SUM($J362:M362),(Input!$J$199-Input!$J$233)/A23taxstdlife))</f>
        <v>0</v>
      </c>
      <c r="O362" s="73">
        <f>IF(A23taxstdlife="n/a","n/a",IF(O$3&gt;(A23taxstdlife+$E362),(Input!$J$199-Input!$J$233)-SUM($J362:N362),(Input!$J$199-Input!$J$233)/A23taxstdlife))</f>
        <v>0</v>
      </c>
      <c r="P362" s="73">
        <f>IF(A23taxstdlife="n/a","n/a",IF(P$3&gt;(A23taxstdlife+$E362),(Input!$J$199-Input!$J$233)-SUM($J362:O362),(Input!$J$199-Input!$J$233)/A23taxstdlife))</f>
        <v>0</v>
      </c>
      <c r="Q362" s="73">
        <f>IF(A23taxstdlife="n/a","n/a",IF(Q$3&gt;(A23taxstdlife+$E362),(Input!$J$199-Input!$J$233)-SUM($J362:P362),(Input!$J$199-Input!$J$233)/A23taxstdlife))</f>
        <v>0</v>
      </c>
      <c r="R362" s="73"/>
      <c r="S362" s="107"/>
      <c r="T362" s="107"/>
      <c r="U362" s="107"/>
      <c r="V362" s="107"/>
      <c r="W362" s="107"/>
      <c r="X362" s="107"/>
      <c r="Y362" s="107"/>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2"/>
      <c r="BJ362" s="201"/>
      <c r="BK362" s="201"/>
      <c r="BL362" s="201"/>
      <c r="BM362" s="201"/>
      <c r="BN362" s="201"/>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537"/>
      <c r="E363" s="91">
        <v>4</v>
      </c>
      <c r="F363" s="27"/>
      <c r="G363" s="27"/>
      <c r="H363" s="150"/>
      <c r="I363" s="152"/>
      <c r="J363" s="152"/>
      <c r="K363" s="151"/>
      <c r="L363" s="73">
        <f>IF(A23taxstdlife="n/a","n/a",IF(L$3&gt;(A23taxstdlife+$E363),(Input!$K$199-Input!$K$233)-SUM($K363:K363),(Input!$K$199-Input!$K$233)/A23taxstdlife))</f>
        <v>0</v>
      </c>
      <c r="M363" s="73">
        <f>IF(A23taxstdlife="n/a","n/a",IF(M$3&gt;(A23taxstdlife+$E363),(Input!$K$199-Input!$K$233)-SUM($K363:L363),(Input!$K$199-Input!$K$233)/A23taxstdlife))</f>
        <v>0</v>
      </c>
      <c r="N363" s="73">
        <f>IF(A23taxstdlife="n/a","n/a",IF(N$3&gt;(A23taxstdlife+$E363),(Input!$K$199-Input!$K$233)-SUM($K363:M363),(Input!$K$199-Input!$K$233)/A23taxstdlife))</f>
        <v>0</v>
      </c>
      <c r="O363" s="73">
        <f>IF(A23taxstdlife="n/a","n/a",IF(O$3&gt;(A23taxstdlife+$E363),(Input!$K$199-Input!$K$233)-SUM($K363:N363),(Input!$K$199-Input!$K$233)/A23taxstdlife))</f>
        <v>0</v>
      </c>
      <c r="P363" s="73">
        <f>IF(A23taxstdlife="n/a","n/a",IF(P$3&gt;(A23taxstdlife+$E363),(Input!$K$199-Input!$K$233)-SUM($K363:O363),(Input!$K$199-Input!$K$233)/A23taxstdlife))</f>
        <v>0</v>
      </c>
      <c r="Q363" s="73">
        <f>IF(A23taxstdlife="n/a","n/a",IF(Q$3&gt;(A23taxstdlife+$E363),(Input!$K$199-Input!$K$233)-SUM($K363:P363),(Input!$K$199-Input!$K$233)/A23taxstdlife))</f>
        <v>0</v>
      </c>
      <c r="R363" s="73"/>
      <c r="S363" s="107"/>
      <c r="T363" s="107"/>
      <c r="U363" s="107"/>
      <c r="V363" s="107"/>
      <c r="W363" s="107"/>
      <c r="X363" s="107"/>
      <c r="Y363" s="107"/>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01"/>
      <c r="BJ363" s="201"/>
      <c r="BK363" s="201"/>
      <c r="BL363" s="201"/>
      <c r="BM363" s="201"/>
      <c r="BN363" s="201"/>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537"/>
      <c r="E364" s="91">
        <v>5</v>
      </c>
      <c r="F364" s="27"/>
      <c r="G364" s="27"/>
      <c r="H364" s="150"/>
      <c r="I364" s="152"/>
      <c r="J364" s="152"/>
      <c r="K364" s="152"/>
      <c r="L364" s="151"/>
      <c r="M364" s="73">
        <f>IF(A23taxstdlife="n/a","n/a",IF(M$3&gt;(A23taxstdlife+$E364),(Input!$L$199-Input!$L$233)-SUM($L364:L364),(Input!$L$199-Input!$L$233)/A23taxstdlife))</f>
        <v>0</v>
      </c>
      <c r="N364" s="73">
        <f>IF(A23taxstdlife="n/a","n/a",IF(N$3&gt;(A23taxstdlife+$E364),(Input!$L$199-Input!$L$233)-SUM($L364:M364),(Input!$L$199-Input!$L$233)/A23taxstdlife))</f>
        <v>0</v>
      </c>
      <c r="O364" s="73">
        <f>IF(A23taxstdlife="n/a","n/a",IF(O$3&gt;(A23taxstdlife+$E364),(Input!$L$199-Input!$L$233)-SUM($L364:N364),(Input!$L$199-Input!$L$233)/A23taxstdlife))</f>
        <v>0</v>
      </c>
      <c r="P364" s="73">
        <f>IF(A23taxstdlife="n/a","n/a",IF(P$3&gt;(A23taxstdlife+$E364),(Input!$L$199-Input!$L$233)-SUM($L364:O364),(Input!$L$199-Input!$L$233)/A23taxstdlife))</f>
        <v>0</v>
      </c>
      <c r="Q364" s="73">
        <f>IF(A23taxstdlife="n/a","n/a",IF(Q$3&gt;(A23taxstdlife+$E364),(Input!$L$199-Input!$L$233)-SUM($L364:P364),(Input!$L$199-Input!$L$233)/A23taxstdlife))</f>
        <v>0</v>
      </c>
      <c r="R364" s="73"/>
      <c r="S364" s="107"/>
      <c r="T364" s="107"/>
      <c r="U364" s="107"/>
      <c r="V364" s="107"/>
      <c r="W364" s="107"/>
      <c r="X364" s="107"/>
      <c r="Y364" s="107"/>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01"/>
      <c r="BJ364" s="201"/>
      <c r="BK364" s="201"/>
      <c r="BL364" s="201"/>
      <c r="BM364" s="201"/>
      <c r="BN364" s="201"/>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537"/>
      <c r="E365" s="91">
        <v>6</v>
      </c>
      <c r="F365" s="27"/>
      <c r="G365" s="27"/>
      <c r="H365" s="150"/>
      <c r="I365" s="152"/>
      <c r="J365" s="152"/>
      <c r="K365" s="152"/>
      <c r="L365" s="152"/>
      <c r="M365" s="151"/>
      <c r="N365" s="73">
        <f>IF(A23taxstdlife="n/a","n/a",IF(N$3&gt;(A23taxstdlife+$E365),(Input!$M$199-Input!$M$233)-SUM($M365:M365),(Input!$M$199-Input!$M$233)/A23taxstdlife))</f>
        <v>0</v>
      </c>
      <c r="O365" s="73">
        <f>IF(A23taxstdlife="n/a","n/a",IF(O$3&gt;(A23taxstdlife+$E365),(Input!$M$199-Input!$M$233)-SUM($M365:N365),(Input!$M$199-Input!$M$233)/A23taxstdlife))</f>
        <v>0</v>
      </c>
      <c r="P365" s="73">
        <f>IF(A23taxstdlife="n/a","n/a",IF(P$3&gt;(A23taxstdlife+$E365),(Input!$M$199-Input!$M$233)-SUM($M365:O365),(Input!$M$199-Input!$M$233)/A23taxstdlife))</f>
        <v>0</v>
      </c>
      <c r="Q365" s="73">
        <f>IF(A23taxstdlife="n/a","n/a",IF(Q$3&gt;(A23taxstdlife+$E365),(Input!$M$199-Input!$M$233)-SUM($M365:P365),(Input!$M$199-Input!$M$233)/A23taxstdlife))</f>
        <v>0</v>
      </c>
      <c r="R365" s="73"/>
      <c r="S365" s="107"/>
      <c r="T365" s="107"/>
      <c r="U365" s="107"/>
      <c r="V365" s="107"/>
      <c r="W365" s="107"/>
      <c r="X365" s="107"/>
      <c r="Y365" s="107"/>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01"/>
      <c r="BJ365" s="201"/>
      <c r="BK365" s="201"/>
      <c r="BL365" s="201"/>
      <c r="BM365" s="201"/>
      <c r="BN365" s="201"/>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537"/>
      <c r="E366" s="91">
        <v>7</v>
      </c>
      <c r="F366" s="27"/>
      <c r="G366" s="27"/>
      <c r="H366" s="150"/>
      <c r="I366" s="152"/>
      <c r="J366" s="152"/>
      <c r="K366" s="152"/>
      <c r="L366" s="152"/>
      <c r="M366" s="152"/>
      <c r="N366" s="151"/>
      <c r="O366" s="73">
        <f>IF(A23taxstdlife="n/a","n/a",IF(O$3&gt;(A23taxstdlife+$E366),(Input!$N$199-Input!$N$233)-SUM($N366:N366),(Input!$N$199-Input!$N$233)/A23taxstdlife))</f>
        <v>0</v>
      </c>
      <c r="P366" s="73">
        <f>IF(A23taxstdlife="n/a","n/a",IF(P$3&gt;(A23taxstdlife+$E366),(Input!$N$199-Input!$N$233)-SUM($N366:O366),(Input!$N$199-Input!$N$233)/A23taxstdlife))</f>
        <v>0</v>
      </c>
      <c r="Q366" s="73">
        <f>IF(A23taxstdlife="n/a","n/a",IF(Q$3&gt;(A23taxstdlife+$E366),(Input!$N$199-Input!$N$233)-SUM($N366:P366),(Input!$N$199-Input!$N$233)/A23taxstdlife))</f>
        <v>0</v>
      </c>
      <c r="R366" s="73"/>
      <c r="S366" s="107"/>
      <c r="T366" s="107"/>
      <c r="U366" s="107"/>
      <c r="V366" s="107"/>
      <c r="W366" s="107"/>
      <c r="X366" s="107"/>
      <c r="Y366" s="107"/>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01"/>
      <c r="BJ366" s="201"/>
      <c r="BK366" s="201"/>
      <c r="BL366" s="201"/>
      <c r="BM366" s="201"/>
      <c r="BN366" s="201"/>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537"/>
      <c r="E367" s="91">
        <v>8</v>
      </c>
      <c r="F367" s="27"/>
      <c r="G367" s="27"/>
      <c r="H367" s="150"/>
      <c r="I367" s="152"/>
      <c r="J367" s="152"/>
      <c r="K367" s="152"/>
      <c r="L367" s="152"/>
      <c r="M367" s="152"/>
      <c r="N367" s="152"/>
      <c r="O367" s="151"/>
      <c r="P367" s="73">
        <f>IF(A23taxstdlife="n/a","n/a",IF(P$3&gt;(A23taxstdlife+$E367),(Input!$O$199-Input!$O$233)-SUM($O367:O367),(Input!$O$199-Input!$O$233)/A23taxstdlife))</f>
        <v>0</v>
      </c>
      <c r="Q367" s="73">
        <f>IF(A23taxstdlife="n/a","n/a",IF(Q$3&gt;(A23taxstdlife+$E367),(Input!$O$199-Input!$O$233)-SUM($O367:P367),(Input!$O$199-Input!$O$233)/A23taxstdlife))</f>
        <v>0</v>
      </c>
      <c r="R367" s="73"/>
      <c r="S367" s="107"/>
      <c r="T367" s="107"/>
      <c r="U367" s="107"/>
      <c r="V367" s="107"/>
      <c r="W367" s="107"/>
      <c r="X367" s="107"/>
      <c r="Y367" s="107"/>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01"/>
      <c r="BJ367" s="201"/>
      <c r="BK367" s="201"/>
      <c r="BL367" s="201"/>
      <c r="BM367" s="201"/>
      <c r="BN367" s="201"/>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537"/>
      <c r="E368" s="91">
        <v>9</v>
      </c>
      <c r="F368" s="27"/>
      <c r="G368" s="27"/>
      <c r="H368" s="150"/>
      <c r="I368" s="152"/>
      <c r="J368" s="152"/>
      <c r="K368" s="152"/>
      <c r="L368" s="152"/>
      <c r="M368" s="152"/>
      <c r="N368" s="152"/>
      <c r="O368" s="152"/>
      <c r="P368" s="151"/>
      <c r="Q368" s="73">
        <f>IF(A23taxstdlife="n/a","n/a",IF(Q$3&gt;(A23taxstdlife+$E368),(Input!$P$199-Input!$P$233)-SUM($P368:P368),(Input!$P$199-Input!$P$233)/A23taxstdlife))</f>
        <v>0</v>
      </c>
      <c r="R368" s="73"/>
      <c r="S368" s="107"/>
      <c r="T368" s="107"/>
      <c r="U368" s="107"/>
      <c r="V368" s="107"/>
      <c r="W368" s="107"/>
      <c r="X368" s="107"/>
      <c r="Y368" s="107"/>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01"/>
      <c r="BJ368" s="201"/>
      <c r="BK368" s="201"/>
      <c r="BL368" s="201"/>
      <c r="BM368" s="201"/>
      <c r="BN368" s="201"/>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537"/>
      <c r="E369" s="92">
        <v>10</v>
      </c>
      <c r="F369" s="27"/>
      <c r="G369" s="27"/>
      <c r="H369" s="150"/>
      <c r="I369" s="152"/>
      <c r="J369" s="152"/>
      <c r="K369" s="152"/>
      <c r="L369" s="152"/>
      <c r="M369" s="152"/>
      <c r="N369" s="152"/>
      <c r="O369" s="152"/>
      <c r="P369" s="152"/>
      <c r="Q369" s="151"/>
      <c r="R369" s="73"/>
      <c r="S369" s="107"/>
      <c r="T369" s="107"/>
      <c r="U369" s="107"/>
      <c r="V369" s="107"/>
      <c r="W369" s="107"/>
      <c r="X369" s="107"/>
      <c r="Y369" s="107"/>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01"/>
      <c r="BJ369" s="201"/>
      <c r="BK369" s="201"/>
      <c r="BL369" s="201"/>
      <c r="BM369" s="201"/>
      <c r="BN369" s="201"/>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2">
        <f>Asset23</f>
        <v>0</v>
      </c>
      <c r="D370" s="9"/>
      <c r="E370" s="9"/>
      <c r="F370" s="23"/>
      <c r="G370" s="23"/>
      <c r="H370" s="298">
        <f>-SUM(H358:H369)</f>
        <v>0</v>
      </c>
      <c r="I370" s="165">
        <f>-SUM(I358:I369)</f>
        <v>0</v>
      </c>
      <c r="J370" s="165">
        <f>-SUM(J358:J369)</f>
        <v>0</v>
      </c>
      <c r="K370" s="165">
        <f>-SUM(K358:K369)</f>
        <v>0</v>
      </c>
      <c r="L370" s="165">
        <f>-SUM(L358:L369)</f>
        <v>0</v>
      </c>
      <c r="M370" s="165">
        <f>IF(COUNT($H370:L370)&gt;=Input!$Y$7,0, -SUM(M358:M369))</f>
        <v>0</v>
      </c>
      <c r="N370" s="165">
        <f>IF(COUNT($H370:M370)&gt;=Input!$Y$7,0, -SUM(N358:N369))</f>
        <v>0</v>
      </c>
      <c r="O370" s="165">
        <f>IF(COUNT($H370:N370)&gt;=Input!$Y$7,0, -SUM(O358:O369))</f>
        <v>0</v>
      </c>
      <c r="P370" s="165">
        <f>IF(COUNT($H370:O370)&gt;=Input!$Y$7,0, -SUM(P358:P369))</f>
        <v>0</v>
      </c>
      <c r="Q370" s="165">
        <f>IF(COUNT($H370:P370)&gt;=Input!$Y$7,0, -SUM(Q358:Q369))</f>
        <v>0</v>
      </c>
      <c r="R370" s="165"/>
      <c r="S370" s="106"/>
      <c r="T370" s="106"/>
      <c r="U370" s="106"/>
      <c r="V370" s="106"/>
      <c r="W370" s="106"/>
      <c r="X370" s="106"/>
      <c r="Y370" s="106"/>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01"/>
      <c r="BJ370" s="201"/>
      <c r="BK370" s="201"/>
      <c r="BL370" s="201"/>
      <c r="BM370" s="201"/>
      <c r="BN370" s="201"/>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73">
        <f>Asset24</f>
        <v>0</v>
      </c>
      <c r="C371" s="31"/>
      <c r="D371" s="32" t="s">
        <v>43</v>
      </c>
      <c r="E371" s="31"/>
      <c r="F371" s="301"/>
      <c r="G371" s="301"/>
      <c r="H371" s="72">
        <f>IF(H$3&gt;A24taxremlife,A24taxvalue-SUM($F371:F371),IF(A24taxremlife="N/A","n/a",A24taxvalue/A24taxremlife))</f>
        <v>0</v>
      </c>
      <c r="I371" s="72">
        <f>IF(I$3&gt;A24taxremlife,A24taxvalue-SUM($F371:H371),IF(A24taxremlife="N/A","n/a",A24taxvalue/A24taxremlife))</f>
        <v>0</v>
      </c>
      <c r="J371" s="72">
        <f>IF(J$3&gt;A24taxremlife,A24taxvalue-SUM($F371:I371),IF(A24taxremlife="N/A","n/a",A24taxvalue/A24taxremlife))</f>
        <v>0</v>
      </c>
      <c r="K371" s="72">
        <f>IF(K$3&gt;A24taxremlife,A24taxvalue-SUM($F371:J371),IF(A24taxremlife="N/A","n/a",A24taxvalue/A24taxremlife))</f>
        <v>0</v>
      </c>
      <c r="L371" s="72">
        <f>IF(L$3&gt;A24taxremlife,A24taxvalue-SUM($F371:K371),IF(A24taxremlife="N/A","n/a",A24taxvalue/A24taxremlife))</f>
        <v>0</v>
      </c>
      <c r="M371" s="72">
        <f>IF(M$3&gt;A24taxremlife,A24taxvalue-SUM($F371:L371),IF(A24taxremlife="N/A","n/a",A24taxvalue/A24taxremlife))</f>
        <v>0</v>
      </c>
      <c r="N371" s="72">
        <f>IF(N$3&gt;A24taxremlife,A24taxvalue-SUM($F371:M371),IF(A24taxremlife="N/A","n/a",A24taxvalue/A24taxremlife))</f>
        <v>0</v>
      </c>
      <c r="O371" s="72">
        <f>IF(O$3&gt;A24taxremlife,A24taxvalue-SUM($F371:N371),IF(A24taxremlife="N/A","n/a",A24taxvalue/A24taxremlife))</f>
        <v>0</v>
      </c>
      <c r="P371" s="72">
        <f>IF(P$3&gt;A24taxremlife,A24taxvalue-SUM($F371:O371),IF(A24taxremlife="N/A","n/a",A24taxvalue/A24taxremlife))</f>
        <v>0</v>
      </c>
      <c r="Q371" s="72">
        <f>IF(Q$3&gt;A24taxremlife,A24taxvalue-SUM($F371:P371),IF(A24taxremlife="N/A","n/a",A24taxvalue/A24taxremlife))</f>
        <v>0</v>
      </c>
      <c r="R371" s="72"/>
      <c r="S371" s="107"/>
      <c r="T371" s="107"/>
      <c r="U371" s="107"/>
      <c r="V371" s="107"/>
      <c r="W371" s="107"/>
      <c r="X371" s="107"/>
      <c r="Y371" s="107"/>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01"/>
      <c r="BJ371" s="201"/>
      <c r="BK371" s="201"/>
      <c r="BL371" s="201"/>
      <c r="BM371" s="201"/>
      <c r="BN371" s="20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536" t="s">
        <v>59</v>
      </c>
      <c r="E372" s="91"/>
      <c r="F372" s="27"/>
      <c r="G372" s="27"/>
      <c r="H372" s="107"/>
      <c r="I372" s="73"/>
      <c r="J372" s="73"/>
      <c r="K372" s="73"/>
      <c r="L372" s="73"/>
      <c r="M372" s="73"/>
      <c r="N372" s="73"/>
      <c r="O372" s="73"/>
      <c r="P372" s="73"/>
      <c r="Q372" s="73"/>
      <c r="R372" s="73"/>
      <c r="S372" s="107"/>
      <c r="T372" s="107"/>
      <c r="U372" s="107"/>
      <c r="V372" s="107"/>
      <c r="W372" s="107"/>
      <c r="X372" s="107"/>
      <c r="Y372" s="107"/>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01"/>
      <c r="BJ372" s="201"/>
      <c r="BK372" s="201"/>
      <c r="BL372" s="201"/>
      <c r="BM372" s="201"/>
      <c r="BN372" s="201"/>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537"/>
      <c r="E373" s="91">
        <v>1</v>
      </c>
      <c r="F373" s="27"/>
      <c r="G373" s="27"/>
      <c r="H373" s="149"/>
      <c r="I373" s="73">
        <f>IF(A24taxstdlife="n/a","n/a",IF(I$3&gt;(A24taxstdlife+$E373),(Input!$H$200-Input!$H$234)-SUM($H373:H373),(Input!$H$200-Input!$H$234)/A24taxstdlife))</f>
        <v>0</v>
      </c>
      <c r="J373" s="73">
        <f>IF(A24taxstdlife="n/a","n/a",IF(J$3&gt;(A24taxstdlife+$E373),(Input!$H$200-Input!$H$234)-SUM($H373:I373),(Input!$H$200-Input!$H$234)/A24taxstdlife))</f>
        <v>0</v>
      </c>
      <c r="K373" s="73">
        <f>IF(A24taxstdlife="n/a","n/a",IF(K$3&gt;(A24taxstdlife+$E373),(Input!$H$200-Input!$H$234)-SUM($H373:J373),(Input!$H$200-Input!$H$234)/A24taxstdlife))</f>
        <v>0</v>
      </c>
      <c r="L373" s="73">
        <f>IF(A24taxstdlife="n/a","n/a",IF(L$3&gt;(A24taxstdlife+$E373),(Input!$H$200-Input!$H$234)-SUM($H373:K373),(Input!$H$200-Input!$H$234)/A24taxstdlife))</f>
        <v>0</v>
      </c>
      <c r="M373" s="73">
        <f>IF(A24taxstdlife="n/a","n/a",IF(M$3&gt;(A24taxstdlife+$E373),(Input!$H$200-Input!$H$234)-SUM($H373:L373),(Input!$H$200-Input!$H$234)/A24taxstdlife))</f>
        <v>0</v>
      </c>
      <c r="N373" s="73">
        <f>IF(A24taxstdlife="n/a","n/a",IF(N$3&gt;(A24taxstdlife+$E373),(Input!$H$200-Input!$H$234)-SUM($H373:M373),(Input!$H$200-Input!$H$234)/A24taxstdlife))</f>
        <v>0</v>
      </c>
      <c r="O373" s="73">
        <f>IF(A24taxstdlife="n/a","n/a",IF(O$3&gt;(A24taxstdlife+$E373),(Input!$H$200-Input!$H$234)-SUM($H373:N373),(Input!$H$200-Input!$H$234)/A24taxstdlife))</f>
        <v>0</v>
      </c>
      <c r="P373" s="73">
        <f>IF(A24taxstdlife="n/a","n/a",IF(P$3&gt;(A24taxstdlife+$E373),(Input!$H$200-Input!$H$234)-SUM($H373:O373),(Input!$H$200-Input!$H$234)/A24taxstdlife))</f>
        <v>0</v>
      </c>
      <c r="Q373" s="73">
        <f>IF(A24taxstdlife="n/a","n/a",IF(Q$3&gt;(A24taxstdlife+$E373),(Input!$H$200-Input!$H$234)-SUM($H373:P373),(Input!$H$200-Input!$H$234)/A24taxstdlife))</f>
        <v>0</v>
      </c>
      <c r="R373" s="73"/>
      <c r="S373" s="107"/>
      <c r="T373" s="107"/>
      <c r="U373" s="107"/>
      <c r="V373" s="107"/>
      <c r="W373" s="107"/>
      <c r="X373" s="107"/>
      <c r="Y373" s="107"/>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01"/>
      <c r="BJ373" s="201"/>
      <c r="BK373" s="201"/>
      <c r="BL373" s="201"/>
      <c r="BM373" s="201"/>
      <c r="BN373" s="201"/>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537"/>
      <c r="E374" s="91">
        <v>2</v>
      </c>
      <c r="F374" s="27"/>
      <c r="G374" s="27"/>
      <c r="H374" s="150"/>
      <c r="I374" s="151"/>
      <c r="J374" s="73">
        <f>IF(A24taxstdlife="n/a","n/a",IF(J$3&gt;(A24taxstdlife+$E374),(Input!$I$200-Input!$I$234)-SUM($I374:I374),(Input!$I$200-Input!$I$234)/A24taxstdlife))</f>
        <v>0</v>
      </c>
      <c r="K374" s="73">
        <f>IF(A24taxstdlife="n/a","n/a",IF(K$3&gt;(A24taxstdlife+$E374),(Input!$I$200-Input!$I$234)-SUM($I374:J374),(Input!$I$200-Input!$I$234)/A24taxstdlife))</f>
        <v>0</v>
      </c>
      <c r="L374" s="73">
        <f>IF(A24taxstdlife="n/a","n/a",IF(L$3&gt;(A24taxstdlife+$E374),(Input!$I$200-Input!$I$234)-SUM($I374:K374),(Input!$I$200-Input!$I$234)/A24taxstdlife))</f>
        <v>0</v>
      </c>
      <c r="M374" s="73">
        <f>IF(A24taxstdlife="n/a","n/a",IF(M$3&gt;(A24taxstdlife+$E374),(Input!$I$200-Input!$I$234)-SUM($I374:L374),(Input!$I$200-Input!$I$234)/A24taxstdlife))</f>
        <v>0</v>
      </c>
      <c r="N374" s="73">
        <f>IF(A24taxstdlife="n/a","n/a",IF(N$3&gt;(A24taxstdlife+$E374),(Input!$I$200-Input!$I$234)-SUM($I374:M374),(Input!$I$200-Input!$I$234)/A24taxstdlife))</f>
        <v>0</v>
      </c>
      <c r="O374" s="73">
        <f>IF(A24taxstdlife="n/a","n/a",IF(O$3&gt;(A24taxstdlife+$E374),(Input!$I$200-Input!$I$234)-SUM($I374:N374),(Input!$I$200-Input!$I$234)/A24taxstdlife))</f>
        <v>0</v>
      </c>
      <c r="P374" s="73">
        <f>IF(A24taxstdlife="n/a","n/a",IF(P$3&gt;(A24taxstdlife+$E374),(Input!$I$200-Input!$I$234)-SUM($I374:O374),(Input!$I$200-Input!$I$234)/A24taxstdlife))</f>
        <v>0</v>
      </c>
      <c r="Q374" s="73">
        <f>IF(A24taxstdlife="n/a","n/a",IF(Q$3&gt;(A24taxstdlife+$E374),(Input!$I$200-Input!$I$234)-SUM($I374:P374),(Input!$I$200-Input!$I$234)/A24taxstdlife))</f>
        <v>0</v>
      </c>
      <c r="R374" s="73"/>
      <c r="S374" s="107"/>
      <c r="T374" s="107"/>
      <c r="U374" s="107"/>
      <c r="V374" s="107"/>
      <c r="W374" s="107"/>
      <c r="X374" s="107"/>
      <c r="Y374" s="107"/>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01"/>
      <c r="BJ374" s="201"/>
      <c r="BK374" s="201"/>
      <c r="BL374" s="201"/>
      <c r="BM374" s="201"/>
      <c r="BN374" s="201"/>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537"/>
      <c r="E375" s="91">
        <v>3</v>
      </c>
      <c r="F375" s="27"/>
      <c r="G375" s="27"/>
      <c r="H375" s="150"/>
      <c r="I375" s="152"/>
      <c r="J375" s="151"/>
      <c r="K375" s="73">
        <f>IF(A24taxstdlife="n/a","n/a",IF(K$3&gt;(A24taxstdlife+$E375),(Input!$J$200-Input!$J$234)-SUM($J375:J375),(Input!$J$200-Input!$J$234)/A24taxstdlife))</f>
        <v>0</v>
      </c>
      <c r="L375" s="73">
        <f>IF(A24taxstdlife="n/a","n/a",IF(L$3&gt;(A24taxstdlife+$E375),(Input!$J$200-Input!$J$234)-SUM($J375:K375),(Input!$J$200-Input!$J$234)/A24taxstdlife))</f>
        <v>0</v>
      </c>
      <c r="M375" s="73">
        <f>IF(A24taxstdlife="n/a","n/a",IF(M$3&gt;(A24taxstdlife+$E375),(Input!$J$200-Input!$J$234)-SUM($J375:L375),(Input!$J$200-Input!$J$234)/A24taxstdlife))</f>
        <v>0</v>
      </c>
      <c r="N375" s="73">
        <f>IF(A24taxstdlife="n/a","n/a",IF(N$3&gt;(A24taxstdlife+$E375),(Input!$J$200-Input!$J$234)-SUM($J375:M375),(Input!$J$200-Input!$J$234)/A24taxstdlife))</f>
        <v>0</v>
      </c>
      <c r="O375" s="73">
        <f>IF(A24taxstdlife="n/a","n/a",IF(O$3&gt;(A24taxstdlife+$E375),(Input!$J$200-Input!$J$234)-SUM($J375:N375),(Input!$J$200-Input!$J$234)/A24taxstdlife))</f>
        <v>0</v>
      </c>
      <c r="P375" s="73">
        <f>IF(A24taxstdlife="n/a","n/a",IF(P$3&gt;(A24taxstdlife+$E375),(Input!$J$200-Input!$J$234)-SUM($J375:O375),(Input!$J$200-Input!$J$234)/A24taxstdlife))</f>
        <v>0</v>
      </c>
      <c r="Q375" s="73">
        <f>IF(A24taxstdlife="n/a","n/a",IF(Q$3&gt;(A24taxstdlife+$E375),(Input!$J$200-Input!$J$234)-SUM($J375:P375),(Input!$J$200-Input!$J$234)/A24taxstdlife))</f>
        <v>0</v>
      </c>
      <c r="R375" s="73"/>
      <c r="S375" s="107"/>
      <c r="T375" s="107"/>
      <c r="U375" s="107"/>
      <c r="V375" s="107"/>
      <c r="W375" s="107"/>
      <c r="X375" s="107"/>
      <c r="Y375" s="107"/>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2"/>
      <c r="BJ375" s="201"/>
      <c r="BK375" s="201"/>
      <c r="BL375" s="201"/>
      <c r="BM375" s="201"/>
      <c r="BN375" s="201"/>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537"/>
      <c r="E376" s="91">
        <v>4</v>
      </c>
      <c r="F376" s="27"/>
      <c r="G376" s="27"/>
      <c r="H376" s="150"/>
      <c r="I376" s="152"/>
      <c r="J376" s="152"/>
      <c r="K376" s="151"/>
      <c r="L376" s="73">
        <f>IF(A24taxstdlife="n/a","n/a",IF(L$3&gt;(A24taxstdlife+$E376),(Input!$K$200-Input!$K$234)-SUM($K376:K376),(Input!$K$200-Input!$K$234)/A24taxstdlife))</f>
        <v>0</v>
      </c>
      <c r="M376" s="73">
        <f>IF(A24taxstdlife="n/a","n/a",IF(M$3&gt;(A24taxstdlife+$E376),(Input!$K$200-Input!$K$234)-SUM($K376:L376),(Input!$K$200-Input!$K$234)/A24taxstdlife))</f>
        <v>0</v>
      </c>
      <c r="N376" s="73">
        <f>IF(A24taxstdlife="n/a","n/a",IF(N$3&gt;(A24taxstdlife+$E376),(Input!$K$200-Input!$K$234)-SUM($K376:M376),(Input!$K$200-Input!$K$234)/A24taxstdlife))</f>
        <v>0</v>
      </c>
      <c r="O376" s="73">
        <f>IF(A24taxstdlife="n/a","n/a",IF(O$3&gt;(A24taxstdlife+$E376),(Input!$K$200-Input!$K$234)-SUM($K376:N376),(Input!$K$200-Input!$K$234)/A24taxstdlife))</f>
        <v>0</v>
      </c>
      <c r="P376" s="73">
        <f>IF(A24taxstdlife="n/a","n/a",IF(P$3&gt;(A24taxstdlife+$E376),(Input!$K$200-Input!$K$234)-SUM($K376:O376),(Input!$K$200-Input!$K$234)/A24taxstdlife))</f>
        <v>0</v>
      </c>
      <c r="Q376" s="73">
        <f>IF(A24taxstdlife="n/a","n/a",IF(Q$3&gt;(A24taxstdlife+$E376),(Input!$K$200-Input!$K$234)-SUM($K376:P376),(Input!$K$200-Input!$K$234)/A24taxstdlife))</f>
        <v>0</v>
      </c>
      <c r="R376" s="73"/>
      <c r="S376" s="107"/>
      <c r="T376" s="107"/>
      <c r="U376" s="107"/>
      <c r="V376" s="107"/>
      <c r="W376" s="107"/>
      <c r="X376" s="107"/>
      <c r="Y376" s="107"/>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01"/>
      <c r="BJ376" s="201"/>
      <c r="BK376" s="201"/>
      <c r="BL376" s="201"/>
      <c r="BM376" s="201"/>
      <c r="BN376" s="201"/>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537"/>
      <c r="E377" s="91">
        <v>5</v>
      </c>
      <c r="F377" s="27"/>
      <c r="G377" s="27"/>
      <c r="H377" s="150"/>
      <c r="I377" s="152"/>
      <c r="J377" s="152"/>
      <c r="K377" s="152"/>
      <c r="L377" s="151"/>
      <c r="M377" s="73">
        <f>IF(A24taxstdlife="n/a","n/a",IF(M$3&gt;(A24taxstdlife+$E377),(Input!$L$200-Input!$L$234)-SUM($L377:L377),(Input!$L$200-Input!$L$234)/A24taxstdlife))</f>
        <v>0</v>
      </c>
      <c r="N377" s="73">
        <f>IF(A24taxstdlife="n/a","n/a",IF(N$3&gt;(A24taxstdlife+$E377),(Input!$L$200-Input!$L$234)-SUM($L377:M377),(Input!$L$200-Input!$L$234)/A24taxstdlife))</f>
        <v>0</v>
      </c>
      <c r="O377" s="73">
        <f>IF(A24taxstdlife="n/a","n/a",IF(O$3&gt;(A24taxstdlife+$E377),(Input!$L$200-Input!$L$234)-SUM($L377:N377),(Input!$L$200-Input!$L$234)/A24taxstdlife))</f>
        <v>0</v>
      </c>
      <c r="P377" s="73">
        <f>IF(A24taxstdlife="n/a","n/a",IF(P$3&gt;(A24taxstdlife+$E377),(Input!$L$200-Input!$L$234)-SUM($L377:O377),(Input!$L$200-Input!$L$234)/A24taxstdlife))</f>
        <v>0</v>
      </c>
      <c r="Q377" s="73">
        <f>IF(A24taxstdlife="n/a","n/a",IF(Q$3&gt;(A24taxstdlife+$E377),(Input!$L$200-Input!$L$234)-SUM($L377:P377),(Input!$L$200-Input!$L$234)/A24taxstdlife))</f>
        <v>0</v>
      </c>
      <c r="R377" s="73"/>
      <c r="S377" s="107"/>
      <c r="T377" s="107"/>
      <c r="U377" s="107"/>
      <c r="V377" s="107"/>
      <c r="W377" s="107"/>
      <c r="X377" s="107"/>
      <c r="Y377" s="107"/>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01"/>
      <c r="BJ377" s="201"/>
      <c r="BK377" s="201"/>
      <c r="BL377" s="201"/>
      <c r="BM377" s="201"/>
      <c r="BN377" s="201"/>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537"/>
      <c r="E378" s="91">
        <v>6</v>
      </c>
      <c r="F378" s="27"/>
      <c r="G378" s="27"/>
      <c r="H378" s="150"/>
      <c r="I378" s="152"/>
      <c r="J378" s="152"/>
      <c r="K378" s="152"/>
      <c r="L378" s="152"/>
      <c r="M378" s="151"/>
      <c r="N378" s="73">
        <f>IF(A24taxstdlife="n/a","n/a",IF(N$3&gt;(A24taxstdlife+$E378),(Input!$M$200-Input!$M$234)-SUM($M378:M378),(Input!$M$200-Input!$M$234)/A24taxstdlife))</f>
        <v>0</v>
      </c>
      <c r="O378" s="73">
        <f>IF(A24taxstdlife="n/a","n/a",IF(O$3&gt;(A24taxstdlife+$E378),(Input!$M$200-Input!$M$234)-SUM($M378:N378),(Input!$M$200-Input!$M$234)/A24taxstdlife))</f>
        <v>0</v>
      </c>
      <c r="P378" s="73">
        <f>IF(A24taxstdlife="n/a","n/a",IF(P$3&gt;(A24taxstdlife+$E378),(Input!$M$200-Input!$M$234)-SUM($M378:O378),(Input!$M$200-Input!$M$234)/A24taxstdlife))</f>
        <v>0</v>
      </c>
      <c r="Q378" s="73">
        <f>IF(A24taxstdlife="n/a","n/a",IF(Q$3&gt;(A24taxstdlife+$E378),(Input!$M$200-Input!$M$234)-SUM($M378:P378),(Input!$M$200-Input!$M$234)/A24taxstdlife))</f>
        <v>0</v>
      </c>
      <c r="R378" s="73"/>
      <c r="S378" s="107"/>
      <c r="T378" s="107"/>
      <c r="U378" s="107"/>
      <c r="V378" s="107"/>
      <c r="W378" s="107"/>
      <c r="X378" s="107"/>
      <c r="Y378" s="107"/>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01"/>
      <c r="BJ378" s="201"/>
      <c r="BK378" s="201"/>
      <c r="BL378" s="201"/>
      <c r="BM378" s="201"/>
      <c r="BN378" s="201"/>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537"/>
      <c r="E379" s="91">
        <v>7</v>
      </c>
      <c r="F379" s="27"/>
      <c r="G379" s="27"/>
      <c r="H379" s="150"/>
      <c r="I379" s="152"/>
      <c r="J379" s="152"/>
      <c r="K379" s="152"/>
      <c r="L379" s="152"/>
      <c r="M379" s="152"/>
      <c r="N379" s="151"/>
      <c r="O379" s="73">
        <f>IF(A24taxstdlife="n/a","n/a",IF(O$3&gt;(A24taxstdlife+$E379),(Input!$N$200-Input!$N$234)-SUM($N379:N379),(Input!$N$200-Input!$N$234)/A24taxstdlife))</f>
        <v>0</v>
      </c>
      <c r="P379" s="73">
        <f>IF(A24taxstdlife="n/a","n/a",IF(P$3&gt;(A24taxstdlife+$E379),(Input!$N$200-Input!$N$234)-SUM($N379:O379),(Input!$N$200-Input!$N$234)/A24taxstdlife))</f>
        <v>0</v>
      </c>
      <c r="Q379" s="73">
        <f>IF(A24taxstdlife="n/a","n/a",IF(Q$3&gt;(A24taxstdlife+$E379),(Input!$N$200-Input!$N$234)-SUM($N379:P379),(Input!$N$200-Input!$N$234)/A24taxstdlife))</f>
        <v>0</v>
      </c>
      <c r="R379" s="73"/>
      <c r="S379" s="107"/>
      <c r="T379" s="107"/>
      <c r="U379" s="107"/>
      <c r="V379" s="107"/>
      <c r="W379" s="107"/>
      <c r="X379" s="107"/>
      <c r="Y379" s="107"/>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01"/>
      <c r="BJ379" s="201"/>
      <c r="BK379" s="201"/>
      <c r="BL379" s="201"/>
      <c r="BM379" s="201"/>
      <c r="BN379" s="201"/>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537"/>
      <c r="E380" s="91">
        <v>8</v>
      </c>
      <c r="F380" s="27"/>
      <c r="G380" s="27"/>
      <c r="H380" s="150"/>
      <c r="I380" s="152"/>
      <c r="J380" s="152"/>
      <c r="K380" s="152"/>
      <c r="L380" s="152"/>
      <c r="M380" s="152"/>
      <c r="N380" s="152"/>
      <c r="O380" s="151"/>
      <c r="P380" s="73">
        <f>IF(A24taxstdlife="n/a","n/a",IF(P$3&gt;(A24taxstdlife+$E380),(Input!$O$200-Input!$O$234)-SUM($O380:O380),(Input!$O$200-Input!$O$234)/A24taxstdlife))</f>
        <v>0</v>
      </c>
      <c r="Q380" s="73">
        <f>IF(A24taxstdlife="n/a","n/a",IF(Q$3&gt;(A24taxstdlife+$E380),(Input!$O$200-Input!$O$234)-SUM($O380:P380),(Input!$O$200-Input!$O$234)/A24taxstdlife))</f>
        <v>0</v>
      </c>
      <c r="R380" s="73"/>
      <c r="S380" s="107"/>
      <c r="T380" s="107"/>
      <c r="U380" s="107"/>
      <c r="V380" s="107"/>
      <c r="W380" s="107"/>
      <c r="X380" s="107"/>
      <c r="Y380" s="107"/>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01"/>
      <c r="BJ380" s="201"/>
      <c r="BK380" s="201"/>
      <c r="BL380" s="201"/>
      <c r="BM380" s="201"/>
      <c r="BN380" s="201"/>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537"/>
      <c r="E381" s="91">
        <v>9</v>
      </c>
      <c r="F381" s="27"/>
      <c r="G381" s="27"/>
      <c r="H381" s="150"/>
      <c r="I381" s="152"/>
      <c r="J381" s="152"/>
      <c r="K381" s="152"/>
      <c r="L381" s="152"/>
      <c r="M381" s="152"/>
      <c r="N381" s="152"/>
      <c r="O381" s="152"/>
      <c r="P381" s="151"/>
      <c r="Q381" s="73">
        <f>IF(A24taxstdlife="n/a","n/a",IF(Q$3&gt;(A24taxstdlife+$E381),(Input!$P$200-Input!$P$234)-SUM($P381:P381),(Input!$P$200-Input!$P$234)/A24taxstdlife))</f>
        <v>0</v>
      </c>
      <c r="R381" s="73"/>
      <c r="S381" s="107"/>
      <c r="T381" s="107"/>
      <c r="U381" s="107"/>
      <c r="V381" s="107"/>
      <c r="W381" s="107"/>
      <c r="X381" s="107"/>
      <c r="Y381" s="107"/>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01"/>
      <c r="BJ381" s="201"/>
      <c r="BK381" s="201"/>
      <c r="BL381" s="201"/>
      <c r="BM381" s="201"/>
      <c r="BN381" s="20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537"/>
      <c r="E382" s="92">
        <v>10</v>
      </c>
      <c r="F382" s="27"/>
      <c r="G382" s="27"/>
      <c r="H382" s="150"/>
      <c r="I382" s="152"/>
      <c r="J382" s="152"/>
      <c r="K382" s="152"/>
      <c r="L382" s="152"/>
      <c r="M382" s="152"/>
      <c r="N382" s="152"/>
      <c r="O382" s="152"/>
      <c r="P382" s="152"/>
      <c r="Q382" s="151"/>
      <c r="R382" s="73"/>
      <c r="S382" s="107"/>
      <c r="T382" s="107"/>
      <c r="U382" s="107"/>
      <c r="V382" s="107"/>
      <c r="W382" s="107"/>
      <c r="X382" s="107"/>
      <c r="Y382" s="107"/>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01"/>
      <c r="BJ382" s="201"/>
      <c r="BK382" s="201"/>
      <c r="BL382" s="201"/>
      <c r="BM382" s="201"/>
      <c r="BN382" s="201"/>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2">
        <f>Asset24</f>
        <v>0</v>
      </c>
      <c r="D383" s="9"/>
      <c r="E383" s="9"/>
      <c r="F383" s="23"/>
      <c r="G383" s="23"/>
      <c r="H383" s="298">
        <f>-SUM(H371:H382)</f>
        <v>0</v>
      </c>
      <c r="I383" s="165">
        <f>-SUM(I371:I382)</f>
        <v>0</v>
      </c>
      <c r="J383" s="165">
        <f>-SUM(J371:J382)</f>
        <v>0</v>
      </c>
      <c r="K383" s="165">
        <f>-SUM(K371:K382)</f>
        <v>0</v>
      </c>
      <c r="L383" s="165">
        <f>-SUM(L371:L382)</f>
        <v>0</v>
      </c>
      <c r="M383" s="165">
        <f>IF(COUNT($H383:L383)&gt;=Input!$Y$7,0, -SUM(M371:M382))</f>
        <v>0</v>
      </c>
      <c r="N383" s="165">
        <f>IF(COUNT($H383:M383)&gt;=Input!$Y$7,0, -SUM(N371:N382))</f>
        <v>0</v>
      </c>
      <c r="O383" s="165">
        <f>IF(COUNT($H383:N383)&gt;=Input!$Y$7,0, -SUM(O371:O382))</f>
        <v>0</v>
      </c>
      <c r="P383" s="165">
        <f>IF(COUNT($H383:O383)&gt;=Input!$Y$7,0, -SUM(P371:P382))</f>
        <v>0</v>
      </c>
      <c r="Q383" s="165">
        <f>IF(COUNT($H383:P383)&gt;=Input!$Y$7,0, -SUM(Q371:Q382))</f>
        <v>0</v>
      </c>
      <c r="R383" s="165"/>
      <c r="S383" s="106"/>
      <c r="T383" s="106"/>
      <c r="U383" s="106"/>
      <c r="V383" s="106"/>
      <c r="W383" s="106"/>
      <c r="X383" s="106"/>
      <c r="Y383" s="106"/>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01"/>
      <c r="BJ383" s="201"/>
      <c r="BK383" s="201"/>
      <c r="BL383" s="201"/>
      <c r="BM383" s="201"/>
      <c r="BN383" s="201"/>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73">
        <f>Asset25</f>
        <v>0</v>
      </c>
      <c r="C384" s="31"/>
      <c r="D384" s="32" t="s">
        <v>43</v>
      </c>
      <c r="E384" s="31"/>
      <c r="F384" s="301"/>
      <c r="G384" s="301"/>
      <c r="H384" s="72">
        <f>IF(H$3&gt;A25taxremlife,A25taxvalue-SUM($F384:F384),IF(A25taxremlife="N/A","n/a",A25taxvalue/A25taxremlife))</f>
        <v>0</v>
      </c>
      <c r="I384" s="72">
        <f>IF(I$3&gt;A25taxremlife,A25taxvalue-SUM($F384:H384),IF(A25taxremlife="N/A","n/a",A25taxvalue/A25taxremlife))</f>
        <v>0</v>
      </c>
      <c r="J384" s="72">
        <f>IF(J$3&gt;A25taxremlife,A25taxvalue-SUM($F384:I384),IF(A25taxremlife="N/A","n/a",A25taxvalue/A25taxremlife))</f>
        <v>0</v>
      </c>
      <c r="K384" s="72">
        <f>IF(K$3&gt;A25taxremlife,A25taxvalue-SUM($F384:J384),IF(A25taxremlife="N/A","n/a",A25taxvalue/A25taxremlife))</f>
        <v>0</v>
      </c>
      <c r="L384" s="72">
        <f>IF(L$3&gt;A25taxremlife,A25taxvalue-SUM($F384:K384),IF(A25taxremlife="N/A","n/a",A25taxvalue/A25taxremlife))</f>
        <v>0</v>
      </c>
      <c r="M384" s="72">
        <f>IF(M$3&gt;A25taxremlife,A25taxvalue-SUM($F384:L384),IF(A25taxremlife="N/A","n/a",A25taxvalue/A25taxremlife))</f>
        <v>0</v>
      </c>
      <c r="N384" s="72">
        <f>IF(N$3&gt;A25taxremlife,A25taxvalue-SUM($F384:M384),IF(A25taxremlife="N/A","n/a",A25taxvalue/A25taxremlife))</f>
        <v>0</v>
      </c>
      <c r="O384" s="72">
        <f>IF(O$3&gt;A25taxremlife,A25taxvalue-SUM($F384:N384),IF(A25taxremlife="N/A","n/a",A25taxvalue/A25taxremlife))</f>
        <v>0</v>
      </c>
      <c r="P384" s="72">
        <f>IF(P$3&gt;A25taxremlife,A25taxvalue-SUM($F384:O384),IF(A25taxremlife="N/A","n/a",A25taxvalue/A25taxremlife))</f>
        <v>0</v>
      </c>
      <c r="Q384" s="72">
        <f>IF(Q$3&gt;A25taxremlife,A25taxvalue-SUM($F384:P384),IF(A25taxremlife="N/A","n/a",A25taxvalue/A25taxremlife))</f>
        <v>0</v>
      </c>
      <c r="R384" s="72"/>
      <c r="S384" s="107"/>
      <c r="T384" s="107"/>
      <c r="U384" s="107"/>
      <c r="V384" s="107"/>
      <c r="W384" s="107"/>
      <c r="X384" s="107"/>
      <c r="Y384" s="107"/>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01"/>
      <c r="BJ384" s="201"/>
      <c r="BK384" s="201"/>
      <c r="BL384" s="201"/>
      <c r="BM384" s="201"/>
      <c r="BN384" s="201"/>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536" t="s">
        <v>59</v>
      </c>
      <c r="E385" s="91"/>
      <c r="F385" s="27"/>
      <c r="G385" s="27"/>
      <c r="H385" s="107"/>
      <c r="I385" s="73"/>
      <c r="J385" s="73"/>
      <c r="K385" s="73"/>
      <c r="L385" s="73"/>
      <c r="M385" s="73"/>
      <c r="N385" s="73"/>
      <c r="O385" s="73"/>
      <c r="P385" s="73"/>
      <c r="Q385" s="73"/>
      <c r="R385" s="73"/>
      <c r="S385" s="107"/>
      <c r="T385" s="107"/>
      <c r="U385" s="107"/>
      <c r="V385" s="107"/>
      <c r="W385" s="107"/>
      <c r="X385" s="107"/>
      <c r="Y385" s="107"/>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01"/>
      <c r="BJ385" s="201"/>
      <c r="BK385" s="201"/>
      <c r="BL385" s="201"/>
      <c r="BM385" s="201"/>
      <c r="BN385" s="201"/>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537"/>
      <c r="E386" s="91">
        <v>1</v>
      </c>
      <c r="F386" s="27"/>
      <c r="G386" s="27"/>
      <c r="H386" s="149"/>
      <c r="I386" s="73">
        <f>IF(A25taxstdlife="n/a","n/a",IF(I$3&gt;(A25taxstdlife+$E386),(Input!$H$201-Input!$H$235)-SUM($H386:H386),(Input!$H$201-Input!$H$235)/A25taxstdlife))</f>
        <v>0</v>
      </c>
      <c r="J386" s="73">
        <f>IF(A25taxstdlife="n/a","n/a",IF(J$3&gt;(A25taxstdlife+$E386),(Input!$H$201-Input!$H$235)-SUM($H386:I386),(Input!$H$201-Input!$H$235)/A25taxstdlife))</f>
        <v>0</v>
      </c>
      <c r="K386" s="73">
        <f>IF(A25taxstdlife="n/a","n/a",IF(K$3&gt;(A25taxstdlife+$E386),(Input!$H$201-Input!$H$235)-SUM($H386:J386),(Input!$H$201-Input!$H$235)/A25taxstdlife))</f>
        <v>0</v>
      </c>
      <c r="L386" s="73">
        <f>IF(A25taxstdlife="n/a","n/a",IF(L$3&gt;(A25taxstdlife+$E386),(Input!$H$201-Input!$H$235)-SUM($H386:K386),(Input!$H$201-Input!$H$235)/A25taxstdlife))</f>
        <v>0</v>
      </c>
      <c r="M386" s="73">
        <f>IF(A25taxstdlife="n/a","n/a",IF(M$3&gt;(A25taxstdlife+$E386),(Input!$H$201-Input!$H$235)-SUM($H386:L386),(Input!$H$201-Input!$H$235)/A25taxstdlife))</f>
        <v>0</v>
      </c>
      <c r="N386" s="73">
        <f>IF(A25taxstdlife="n/a","n/a",IF(N$3&gt;(A25taxstdlife+$E386),(Input!$H$201-Input!$H$235)-SUM($H386:M386),(Input!$H$201-Input!$H$235)/A25taxstdlife))</f>
        <v>0</v>
      </c>
      <c r="O386" s="73">
        <f>IF(A25taxstdlife="n/a","n/a",IF(O$3&gt;(A25taxstdlife+$E386),(Input!$H$201-Input!$H$235)-SUM($H386:N386),(Input!$H$201-Input!$H$235)/A25taxstdlife))</f>
        <v>0</v>
      </c>
      <c r="P386" s="73">
        <f>IF(A25taxstdlife="n/a","n/a",IF(P$3&gt;(A25taxstdlife+$E386),(Input!$H$201-Input!$H$235)-SUM($H386:O386),(Input!$H$201-Input!$H$235)/A25taxstdlife))</f>
        <v>0</v>
      </c>
      <c r="Q386" s="73">
        <f>IF(A25taxstdlife="n/a","n/a",IF(Q$3&gt;(A25taxstdlife+$E386),(Input!$H$201-Input!$H$235)-SUM($H386:P386),(Input!$H$201-Input!$H$235)/A25taxstdlife))</f>
        <v>0</v>
      </c>
      <c r="R386" s="73"/>
      <c r="S386" s="107"/>
      <c r="T386" s="107"/>
      <c r="U386" s="107"/>
      <c r="V386" s="107"/>
      <c r="W386" s="107"/>
      <c r="X386" s="107"/>
      <c r="Y386" s="107"/>
      <c r="Z386" s="220"/>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01"/>
      <c r="BJ386" s="201"/>
      <c r="BK386" s="201"/>
      <c r="BL386" s="201"/>
      <c r="BM386" s="201"/>
      <c r="BN386" s="201"/>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537"/>
      <c r="E387" s="91">
        <v>2</v>
      </c>
      <c r="F387" s="27"/>
      <c r="G387" s="27"/>
      <c r="H387" s="150"/>
      <c r="I387" s="151"/>
      <c r="J387" s="73">
        <f>IF(A25taxstdlife="n/a","n/a",IF(J$3&gt;(A25taxstdlife+$E387),(Input!$I$201-Input!$I$235)-SUM($I387:I387),(Input!$I$201-Input!$I$235)/A25taxstdlife))</f>
        <v>0</v>
      </c>
      <c r="K387" s="73">
        <f>IF(A25taxstdlife="n/a","n/a",IF(K$3&gt;(A25taxstdlife+$E387),(Input!$I$201-Input!$I$235)-SUM($I387:J387),(Input!$I$201-Input!$I$235)/A25taxstdlife))</f>
        <v>0</v>
      </c>
      <c r="L387" s="73">
        <f>IF(A25taxstdlife="n/a","n/a",IF(L$3&gt;(A25taxstdlife+$E387),(Input!$I$201-Input!$I$235)-SUM($I387:K387),(Input!$I$201-Input!$I$235)/A25taxstdlife))</f>
        <v>0</v>
      </c>
      <c r="M387" s="73">
        <f>IF(A25taxstdlife="n/a","n/a",IF(M$3&gt;(A25taxstdlife+$E387),(Input!$I$201-Input!$I$235)-SUM($I387:L387),(Input!$I$201-Input!$I$235)/A25taxstdlife))</f>
        <v>0</v>
      </c>
      <c r="N387" s="73">
        <f>IF(A25taxstdlife="n/a","n/a",IF(N$3&gt;(A25taxstdlife+$E387),(Input!$I$201-Input!$I$235)-SUM($I387:M387),(Input!$I$201-Input!$I$235)/A25taxstdlife))</f>
        <v>0</v>
      </c>
      <c r="O387" s="73">
        <f>IF(A25taxstdlife="n/a","n/a",IF(O$3&gt;(A25taxstdlife+$E387),(Input!$I$201-Input!$I$235)-SUM($I387:N387),(Input!$I$201-Input!$I$235)/A25taxstdlife))</f>
        <v>0</v>
      </c>
      <c r="P387" s="73">
        <f>IF(A25taxstdlife="n/a","n/a",IF(P$3&gt;(A25taxstdlife+$E387),(Input!$I$201-Input!$I$235)-SUM($I387:O387),(Input!$I$201-Input!$I$235)/A25taxstdlife))</f>
        <v>0</v>
      </c>
      <c r="Q387" s="73">
        <f>IF(A25taxstdlife="n/a","n/a",IF(Q$3&gt;(A25taxstdlife+$E387),(Input!$I$201-Input!$I$235)-SUM($I387:P387),(Input!$I$201-Input!$I$235)/A25taxstdlife))</f>
        <v>0</v>
      </c>
      <c r="R387" s="73"/>
      <c r="S387" s="107"/>
      <c r="T387" s="107"/>
      <c r="U387" s="107"/>
      <c r="V387" s="107"/>
      <c r="W387" s="107"/>
      <c r="X387" s="107"/>
      <c r="Y387" s="107"/>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01"/>
      <c r="BJ387" s="201"/>
      <c r="BK387" s="201"/>
      <c r="BL387" s="201"/>
      <c r="BM387" s="201"/>
      <c r="BN387" s="201"/>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537"/>
      <c r="E388" s="91">
        <v>3</v>
      </c>
      <c r="F388" s="27"/>
      <c r="G388" s="27"/>
      <c r="H388" s="150"/>
      <c r="I388" s="152"/>
      <c r="J388" s="151"/>
      <c r="K388" s="73">
        <f>IF(A25taxstdlife="n/a","n/a",IF(K$3&gt;(A25taxstdlife+$E388),(Input!$J$201-Input!$J$235)-SUM($J388:J388),(Input!$J$201-Input!$J$235)/A25taxstdlife))</f>
        <v>0</v>
      </c>
      <c r="L388" s="73">
        <f>IF(A25taxstdlife="n/a","n/a",IF(L$3&gt;(A25taxstdlife+$E388),(Input!$J$201-Input!$J$235)-SUM($J388:K388),(Input!$J$201-Input!$J$235)/A25taxstdlife))</f>
        <v>0</v>
      </c>
      <c r="M388" s="73">
        <f>IF(A25taxstdlife="n/a","n/a",IF(M$3&gt;(A25taxstdlife+$E388),(Input!$J$201-Input!$J$235)-SUM($J388:L388),(Input!$J$201-Input!$J$235)/A25taxstdlife))</f>
        <v>0</v>
      </c>
      <c r="N388" s="73">
        <f>IF(A25taxstdlife="n/a","n/a",IF(N$3&gt;(A25taxstdlife+$E388),(Input!$J$201-Input!$J$235)-SUM($J388:M388),(Input!$J$201-Input!$J$235)/A25taxstdlife))</f>
        <v>0</v>
      </c>
      <c r="O388" s="73">
        <f>IF(A25taxstdlife="n/a","n/a",IF(O$3&gt;(A25taxstdlife+$E388),(Input!$J$201-Input!$J$235)-SUM($J388:N388),(Input!$J$201-Input!$J$235)/A25taxstdlife))</f>
        <v>0</v>
      </c>
      <c r="P388" s="73">
        <f>IF(A25taxstdlife="n/a","n/a",IF(P$3&gt;(A25taxstdlife+$E388),(Input!$J$201-Input!$J$235)-SUM($J388:O388),(Input!$J$201-Input!$J$235)/A25taxstdlife))</f>
        <v>0</v>
      </c>
      <c r="Q388" s="73">
        <f>IF(A25taxstdlife="n/a","n/a",IF(Q$3&gt;(A25taxstdlife+$E388),(Input!$J$201-Input!$J$235)-SUM($J388:P388),(Input!$J$201-Input!$J$235)/A25taxstdlife))</f>
        <v>0</v>
      </c>
      <c r="R388" s="73"/>
      <c r="S388" s="107"/>
      <c r="T388" s="107"/>
      <c r="U388" s="107"/>
      <c r="V388" s="107"/>
      <c r="W388" s="107"/>
      <c r="X388" s="107"/>
      <c r="Y388" s="107"/>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2"/>
      <c r="BJ388" s="201"/>
      <c r="BK388" s="201"/>
      <c r="BL388" s="201"/>
      <c r="BM388" s="201"/>
      <c r="BN388" s="201"/>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537"/>
      <c r="E389" s="91">
        <v>4</v>
      </c>
      <c r="F389" s="27"/>
      <c r="G389" s="27"/>
      <c r="H389" s="150"/>
      <c r="I389" s="152"/>
      <c r="J389" s="152"/>
      <c r="K389" s="151"/>
      <c r="L389" s="73">
        <f>IF(A25taxstdlife="n/a","n/a",IF(L$3&gt;(A25taxstdlife+$E389),(Input!$K$201-Input!$K$235)-SUM($K389:K389),(Input!$K$201-Input!$K$235)/A25taxstdlife))</f>
        <v>0</v>
      </c>
      <c r="M389" s="73">
        <f>IF(A25taxstdlife="n/a","n/a",IF(M$3&gt;(A25taxstdlife+$E389),(Input!$K$201-Input!$K$235)-SUM($K389:L389),(Input!$K$201-Input!$K$235)/A25taxstdlife))</f>
        <v>0</v>
      </c>
      <c r="N389" s="73">
        <f>IF(A25taxstdlife="n/a","n/a",IF(N$3&gt;(A25taxstdlife+$E389),(Input!$K$201-Input!$K$235)-SUM($K389:M389),(Input!$K$201-Input!$K$235)/A25taxstdlife))</f>
        <v>0</v>
      </c>
      <c r="O389" s="73">
        <f>IF(A25taxstdlife="n/a","n/a",IF(O$3&gt;(A25taxstdlife+$E389),(Input!$K$201-Input!$K$235)-SUM($K389:N389),(Input!$K$201-Input!$K$235)/A25taxstdlife))</f>
        <v>0</v>
      </c>
      <c r="P389" s="73">
        <f>IF(A25taxstdlife="n/a","n/a",IF(P$3&gt;(A25taxstdlife+$E389),(Input!$K$201-Input!$K$235)-SUM($K389:O389),(Input!$K$201-Input!$K$235)/A25taxstdlife))</f>
        <v>0</v>
      </c>
      <c r="Q389" s="73">
        <f>IF(A25taxstdlife="n/a","n/a",IF(Q$3&gt;(A25taxstdlife+$E389),(Input!$K$201-Input!$K$235)-SUM($K389:P389),(Input!$K$201-Input!$K$235)/A25taxstdlife))</f>
        <v>0</v>
      </c>
      <c r="R389" s="73"/>
      <c r="S389" s="107"/>
      <c r="T389" s="107"/>
      <c r="U389" s="107"/>
      <c r="V389" s="107"/>
      <c r="W389" s="107"/>
      <c r="X389" s="107"/>
      <c r="Y389" s="107"/>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01"/>
      <c r="BJ389" s="201"/>
      <c r="BK389" s="201"/>
      <c r="BL389" s="201"/>
      <c r="BM389" s="201"/>
      <c r="BN389" s="201"/>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537"/>
      <c r="E390" s="91">
        <v>5</v>
      </c>
      <c r="F390" s="27"/>
      <c r="G390" s="27"/>
      <c r="H390" s="150"/>
      <c r="I390" s="152"/>
      <c r="J390" s="152"/>
      <c r="K390" s="152"/>
      <c r="L390" s="151"/>
      <c r="M390" s="73">
        <f>IF(A25taxstdlife="n/a","n/a",IF(M$3&gt;(A25taxstdlife+$E390),(Input!$L$201-Input!$L$235)-SUM($L390:L390),(Input!$L$201-Input!$L$235)/A25taxstdlife))</f>
        <v>0</v>
      </c>
      <c r="N390" s="73">
        <f>IF(A25taxstdlife="n/a","n/a",IF(N$3&gt;(A25taxstdlife+$E390),(Input!$L$201-Input!$L$235)-SUM($L390:M390),(Input!$L$201-Input!$L$235)/A25taxstdlife))</f>
        <v>0</v>
      </c>
      <c r="O390" s="73">
        <f>IF(A25taxstdlife="n/a","n/a",IF(O$3&gt;(A25taxstdlife+$E390),(Input!$L$201-Input!$L$235)-SUM($L390:N390),(Input!$L$201-Input!$L$235)/A25taxstdlife))</f>
        <v>0</v>
      </c>
      <c r="P390" s="73">
        <f>IF(A25taxstdlife="n/a","n/a",IF(P$3&gt;(A25taxstdlife+$E390),(Input!$L$201-Input!$L$235)-SUM($L390:O390),(Input!$L$201-Input!$L$235)/A25taxstdlife))</f>
        <v>0</v>
      </c>
      <c r="Q390" s="73">
        <f>IF(A25taxstdlife="n/a","n/a",IF(Q$3&gt;(A25taxstdlife+$E390),(Input!$L$201-Input!$L$235)-SUM($L390:P390),(Input!$L$201-Input!$L$235)/A25taxstdlife))</f>
        <v>0</v>
      </c>
      <c r="R390" s="73"/>
      <c r="S390" s="107"/>
      <c r="T390" s="107"/>
      <c r="U390" s="107"/>
      <c r="V390" s="107"/>
      <c r="W390" s="107"/>
      <c r="X390" s="107"/>
      <c r="Y390" s="107"/>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01"/>
      <c r="BJ390" s="201"/>
      <c r="BK390" s="201"/>
      <c r="BL390" s="201"/>
      <c r="BM390" s="201"/>
      <c r="BN390" s="201"/>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537"/>
      <c r="E391" s="91">
        <v>6</v>
      </c>
      <c r="F391" s="27"/>
      <c r="G391" s="27"/>
      <c r="H391" s="150"/>
      <c r="I391" s="152"/>
      <c r="J391" s="152"/>
      <c r="K391" s="152"/>
      <c r="L391" s="152"/>
      <c r="M391" s="151"/>
      <c r="N391" s="73">
        <f>IF(A25taxstdlife="n/a","n/a",IF(N$3&gt;(A25taxstdlife+$E391),(Input!$M$201-Input!$M$235)-SUM($M391:M391),(Input!$M$201-Input!$M$235)/A25taxstdlife))</f>
        <v>0</v>
      </c>
      <c r="O391" s="73">
        <f>IF(A25taxstdlife="n/a","n/a",IF(O$3&gt;(A25taxstdlife+$E391),(Input!$M$201-Input!$M$235)-SUM($M391:N391),(Input!$M$201-Input!$M$235)/A25taxstdlife))</f>
        <v>0</v>
      </c>
      <c r="P391" s="73">
        <f>IF(A25taxstdlife="n/a","n/a",IF(P$3&gt;(A25taxstdlife+$E391),(Input!$M$201-Input!$M$235)-SUM($M391:O391),(Input!$M$201-Input!$M$235)/A25taxstdlife))</f>
        <v>0</v>
      </c>
      <c r="Q391" s="73">
        <f>IF(A25taxstdlife="n/a","n/a",IF(Q$3&gt;(A25taxstdlife+$E391),(Input!$M$201-Input!$M$235)-SUM($M391:P391),(Input!$M$201-Input!$M$235)/A25taxstdlife))</f>
        <v>0</v>
      </c>
      <c r="R391" s="73"/>
      <c r="S391" s="107"/>
      <c r="T391" s="107"/>
      <c r="U391" s="107"/>
      <c r="V391" s="107"/>
      <c r="W391" s="107"/>
      <c r="X391" s="107"/>
      <c r="Y391" s="107"/>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01"/>
      <c r="BJ391" s="201"/>
      <c r="BK391" s="201"/>
      <c r="BL391" s="201"/>
      <c r="BM391" s="201"/>
      <c r="BN391" s="20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537"/>
      <c r="E392" s="91">
        <v>7</v>
      </c>
      <c r="F392" s="27"/>
      <c r="G392" s="27"/>
      <c r="H392" s="150"/>
      <c r="I392" s="152"/>
      <c r="J392" s="152"/>
      <c r="K392" s="152"/>
      <c r="L392" s="152"/>
      <c r="M392" s="152"/>
      <c r="N392" s="151"/>
      <c r="O392" s="73">
        <f>IF(A25taxstdlife="n/a","n/a",IF(O$3&gt;(A25taxstdlife+$E392),(Input!$N$201-Input!$N$235)-SUM($N392:N392),(Input!$N$201-Input!$N$235)/A25taxstdlife))</f>
        <v>0</v>
      </c>
      <c r="P392" s="73">
        <f>IF(A25taxstdlife="n/a","n/a",IF(P$3&gt;(A25taxstdlife+$E392),(Input!$N$201-Input!$N$235)-SUM($N392:O392),(Input!$N$201-Input!$N$235)/A25taxstdlife))</f>
        <v>0</v>
      </c>
      <c r="Q392" s="73">
        <f>IF(A25taxstdlife="n/a","n/a",IF(Q$3&gt;(A25taxstdlife+$E392),(Input!$N$201-Input!$N$235)-SUM($N392:P392),(Input!$N$201-Input!$N$235)/A25taxstdlife))</f>
        <v>0</v>
      </c>
      <c r="R392" s="73"/>
      <c r="S392" s="107"/>
      <c r="T392" s="107"/>
      <c r="U392" s="107"/>
      <c r="V392" s="107"/>
      <c r="W392" s="107"/>
      <c r="X392" s="107"/>
      <c r="Y392" s="107"/>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01"/>
      <c r="BJ392" s="201"/>
      <c r="BK392" s="201"/>
      <c r="BL392" s="201"/>
      <c r="BM392" s="201"/>
      <c r="BN392" s="201"/>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537"/>
      <c r="E393" s="91">
        <v>8</v>
      </c>
      <c r="F393" s="27"/>
      <c r="G393" s="27"/>
      <c r="H393" s="150"/>
      <c r="I393" s="152"/>
      <c r="J393" s="152"/>
      <c r="K393" s="152"/>
      <c r="L393" s="152"/>
      <c r="M393" s="152"/>
      <c r="N393" s="152"/>
      <c r="O393" s="151"/>
      <c r="P393" s="73">
        <f>IF(A25taxstdlife="n/a","n/a",IF(P$3&gt;(A25taxstdlife+$E393),(Input!$O$201-Input!$O$235)-SUM($O393:O393),(Input!$O$201-Input!$O$235)/A25taxstdlife))</f>
        <v>0</v>
      </c>
      <c r="Q393" s="73">
        <f>IF(A25taxstdlife="n/a","n/a",IF(Q$3&gt;(A25taxstdlife+$E393),(Input!$O$201-Input!$O$235)-SUM($O393:P393),(Input!$O$201-Input!$O$235)/A25taxstdlife))</f>
        <v>0</v>
      </c>
      <c r="R393" s="73"/>
      <c r="S393" s="107"/>
      <c r="T393" s="107"/>
      <c r="U393" s="107"/>
      <c r="V393" s="107"/>
      <c r="W393" s="107"/>
      <c r="X393" s="107"/>
      <c r="Y393" s="107"/>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01"/>
      <c r="BJ393" s="201"/>
      <c r="BK393" s="201"/>
      <c r="BL393" s="201"/>
      <c r="BM393" s="201"/>
      <c r="BN393" s="201"/>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537"/>
      <c r="E394" s="91">
        <v>9</v>
      </c>
      <c r="F394" s="27"/>
      <c r="G394" s="27"/>
      <c r="H394" s="150"/>
      <c r="I394" s="152"/>
      <c r="J394" s="152"/>
      <c r="K394" s="152"/>
      <c r="L394" s="152"/>
      <c r="M394" s="152"/>
      <c r="N394" s="152"/>
      <c r="O394" s="152"/>
      <c r="P394" s="151"/>
      <c r="Q394" s="73">
        <f>IF(A25taxstdlife="n/a","n/a",IF(Q$3&gt;(A25taxstdlife+$E394),(Input!$P$201-Input!$P$235)-SUM($P394:P394),(Input!$P$201-Input!$P$235)/A25taxstdlife))</f>
        <v>0</v>
      </c>
      <c r="R394" s="73"/>
      <c r="S394" s="107"/>
      <c r="T394" s="107"/>
      <c r="U394" s="107"/>
      <c r="V394" s="107"/>
      <c r="W394" s="107"/>
      <c r="X394" s="107"/>
      <c r="Y394" s="107"/>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01"/>
      <c r="BJ394" s="201"/>
      <c r="BK394" s="201"/>
      <c r="BL394" s="201"/>
      <c r="BM394" s="201"/>
      <c r="BN394" s="201"/>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537"/>
      <c r="E395" s="92">
        <v>10</v>
      </c>
      <c r="F395" s="27"/>
      <c r="G395" s="27"/>
      <c r="H395" s="150"/>
      <c r="I395" s="152"/>
      <c r="J395" s="152"/>
      <c r="K395" s="152"/>
      <c r="L395" s="152"/>
      <c r="M395" s="152"/>
      <c r="N395" s="152"/>
      <c r="O395" s="152"/>
      <c r="P395" s="152"/>
      <c r="Q395" s="151"/>
      <c r="R395" s="73"/>
      <c r="S395" s="107"/>
      <c r="T395" s="107"/>
      <c r="U395" s="107"/>
      <c r="V395" s="107"/>
      <c r="W395" s="107"/>
      <c r="X395" s="107"/>
      <c r="Y395" s="107"/>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01"/>
      <c r="BJ395" s="201"/>
      <c r="BK395" s="201"/>
      <c r="BL395" s="201"/>
      <c r="BM395" s="201"/>
      <c r="BN395" s="201"/>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2">
        <f>Asset25</f>
        <v>0</v>
      </c>
      <c r="D396" s="9"/>
      <c r="E396" s="9"/>
      <c r="F396" s="23"/>
      <c r="G396" s="23"/>
      <c r="H396" s="298">
        <f>-SUM(H384:H395)</f>
        <v>0</v>
      </c>
      <c r="I396" s="165">
        <f>-SUM(I384:I395)</f>
        <v>0</v>
      </c>
      <c r="J396" s="165">
        <f>-SUM(J384:J395)</f>
        <v>0</v>
      </c>
      <c r="K396" s="165">
        <f>-SUM(K384:K395)</f>
        <v>0</v>
      </c>
      <c r="L396" s="165">
        <f>-SUM(L384:L395)</f>
        <v>0</v>
      </c>
      <c r="M396" s="165">
        <f>IF(COUNT($H396:L396)&gt;=Input!$Y$7,0, -SUM(M384:M395))</f>
        <v>0</v>
      </c>
      <c r="N396" s="165">
        <f>IF(COUNT($H396:M396)&gt;=Input!$Y$7,0, -SUM(N384:N395))</f>
        <v>0</v>
      </c>
      <c r="O396" s="165">
        <f>IF(COUNT($H396:N396)&gt;=Input!$Y$7,0, -SUM(O384:O395))</f>
        <v>0</v>
      </c>
      <c r="P396" s="165">
        <f>IF(COUNT($H396:O396)&gt;=Input!$Y$7,0, -SUM(P384:P395))</f>
        <v>0</v>
      </c>
      <c r="Q396" s="165">
        <f>IF(COUNT($H396:P396)&gt;=Input!$Y$7,0, -SUM(Q384:Q395))</f>
        <v>0</v>
      </c>
      <c r="R396" s="165"/>
      <c r="S396" s="106"/>
      <c r="T396" s="106"/>
      <c r="U396" s="106"/>
      <c r="V396" s="106"/>
      <c r="W396" s="106"/>
      <c r="X396" s="106"/>
      <c r="Y396" s="106"/>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01"/>
      <c r="BJ396" s="201"/>
      <c r="BK396" s="201"/>
      <c r="BL396" s="201"/>
      <c r="BM396" s="201"/>
      <c r="BN396" s="201"/>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73">
        <f>Asset26</f>
        <v>0</v>
      </c>
      <c r="C397" s="31"/>
      <c r="D397" s="32" t="s">
        <v>43</v>
      </c>
      <c r="E397" s="31"/>
      <c r="F397" s="301"/>
      <c r="G397" s="301"/>
      <c r="H397" s="72">
        <f>IF(H$3&gt;A26taxremlife,A26taxvalue-SUM($F397:F397),IF(A26taxremlife="N/A","n/a",A26taxvalue/A26taxremlife))</f>
        <v>0</v>
      </c>
      <c r="I397" s="72">
        <f>IF(I$3&gt;A26taxremlife,A26taxvalue-SUM($F397:H397),IF(A26taxremlife="N/A","n/a",A26taxvalue/A26taxremlife))</f>
        <v>0</v>
      </c>
      <c r="J397" s="72">
        <f>IF(J$3&gt;A26taxremlife,A26taxvalue-SUM($F397:I397),IF(A26taxremlife="N/A","n/a",A26taxvalue/A26taxremlife))</f>
        <v>0</v>
      </c>
      <c r="K397" s="72">
        <f>IF(K$3&gt;A26taxremlife,A26taxvalue-SUM($F397:J397),IF(A26taxremlife="N/A","n/a",A26taxvalue/A26taxremlife))</f>
        <v>0</v>
      </c>
      <c r="L397" s="72">
        <f>IF(L$3&gt;A26taxremlife,A26taxvalue-SUM($F397:K397),IF(A26taxremlife="N/A","n/a",A26taxvalue/A26taxremlife))</f>
        <v>0</v>
      </c>
      <c r="M397" s="72">
        <f>IF(M$3&gt;A26taxremlife,A26taxvalue-SUM($F397:L397),IF(A26taxremlife="N/A","n/a",A26taxvalue/A26taxremlife))</f>
        <v>0</v>
      </c>
      <c r="N397" s="72">
        <f>IF(N$3&gt;A26taxremlife,A26taxvalue-SUM($F397:M397),IF(A26taxremlife="N/A","n/a",A26taxvalue/A26taxremlife))</f>
        <v>0</v>
      </c>
      <c r="O397" s="72">
        <f>IF(O$3&gt;A26taxremlife,A26taxvalue-SUM($F397:N397),IF(A26taxremlife="N/A","n/a",A26taxvalue/A26taxremlife))</f>
        <v>0</v>
      </c>
      <c r="P397" s="72">
        <f>IF(P$3&gt;A26taxremlife,A26taxvalue-SUM($F397:O397),IF(A26taxremlife="N/A","n/a",A26taxvalue/A26taxremlife))</f>
        <v>0</v>
      </c>
      <c r="Q397" s="72">
        <f>IF(Q$3&gt;A26taxremlife,A26taxvalue-SUM($F397:P397),IF(A26taxremlife="N/A","n/a",A26taxvalue/A26taxremlife))</f>
        <v>0</v>
      </c>
      <c r="R397" s="72"/>
      <c r="S397" s="107"/>
      <c r="T397" s="107"/>
      <c r="U397" s="107"/>
      <c r="V397" s="107"/>
      <c r="W397" s="107"/>
      <c r="X397" s="107"/>
      <c r="Y397" s="107"/>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01"/>
      <c r="BJ397" s="201"/>
      <c r="BK397" s="201"/>
      <c r="BL397" s="201"/>
      <c r="BM397" s="201"/>
      <c r="BN397" s="201"/>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536" t="s">
        <v>59</v>
      </c>
      <c r="E398" s="91"/>
      <c r="F398" s="27"/>
      <c r="G398" s="27"/>
      <c r="H398" s="107"/>
      <c r="I398" s="73"/>
      <c r="J398" s="73"/>
      <c r="K398" s="73"/>
      <c r="L398" s="73"/>
      <c r="M398" s="73"/>
      <c r="N398" s="73"/>
      <c r="O398" s="73"/>
      <c r="P398" s="73"/>
      <c r="Q398" s="73"/>
      <c r="R398" s="73"/>
      <c r="S398" s="107"/>
      <c r="T398" s="107"/>
      <c r="U398" s="107"/>
      <c r="V398" s="107"/>
      <c r="W398" s="107"/>
      <c r="X398" s="107"/>
      <c r="Y398" s="107"/>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01"/>
      <c r="BJ398" s="201"/>
      <c r="BK398" s="201"/>
      <c r="BL398" s="201"/>
      <c r="BM398" s="201"/>
      <c r="BN398" s="201"/>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537"/>
      <c r="E399" s="91">
        <v>1</v>
      </c>
      <c r="F399" s="27"/>
      <c r="G399" s="27"/>
      <c r="H399" s="149"/>
      <c r="I399" s="73">
        <f>IF(A26taxstdlife="n/a","n/a",IF(I$3&gt;(A26taxstdlife+$E399),(Input!$H$202-Input!$H$236)-SUM($H399:H399),(Input!$H$202-Input!$H$236)/A26taxstdlife))</f>
        <v>0</v>
      </c>
      <c r="J399" s="73">
        <f>IF(A26taxstdlife="n/a","n/a",IF(J$3&gt;(A26taxstdlife+$E399),(Input!$H$202-Input!$H$236)-SUM($H399:I399),(Input!$H$202-Input!$H$236)/A26taxstdlife))</f>
        <v>0</v>
      </c>
      <c r="K399" s="73">
        <f>IF(A26taxstdlife="n/a","n/a",IF(K$3&gt;(A26taxstdlife+$E399),(Input!$H$202-Input!$H$236)-SUM($H399:J399),(Input!$H$202-Input!$H$236)/A26taxstdlife))</f>
        <v>0</v>
      </c>
      <c r="L399" s="73">
        <f>IF(A26taxstdlife="n/a","n/a",IF(L$3&gt;(A26taxstdlife+$E399),(Input!$H$202-Input!$H$236)-SUM($H399:K399),(Input!$H$202-Input!$H$236)/A26taxstdlife))</f>
        <v>0</v>
      </c>
      <c r="M399" s="73">
        <f>IF(A26taxstdlife="n/a","n/a",IF(M$3&gt;(A26taxstdlife+$E399),(Input!$H$202-Input!$H$236)-SUM($H399:L399),(Input!$H$202-Input!$H$236)/A26taxstdlife))</f>
        <v>0</v>
      </c>
      <c r="N399" s="73">
        <f>IF(A26taxstdlife="n/a","n/a",IF(N$3&gt;(A26taxstdlife+$E399),(Input!$H$202-Input!$H$236)-SUM($H399:M399),(Input!$H$202-Input!$H$236)/A26taxstdlife))</f>
        <v>0</v>
      </c>
      <c r="O399" s="73">
        <f>IF(A26taxstdlife="n/a","n/a",IF(O$3&gt;(A26taxstdlife+$E399),(Input!$H$202-Input!$H$236)-SUM($H399:N399),(Input!$H$202-Input!$H$236)/A26taxstdlife))</f>
        <v>0</v>
      </c>
      <c r="P399" s="73">
        <f>IF(A26taxstdlife="n/a","n/a",IF(P$3&gt;(A26taxstdlife+$E399),(Input!$H$202-Input!$H$236)-SUM($H399:O399),(Input!$H$202-Input!$H$236)/A26taxstdlife))</f>
        <v>0</v>
      </c>
      <c r="Q399" s="73">
        <f>IF(A26taxstdlife="n/a","n/a",IF(Q$3&gt;(A26taxstdlife+$E399),(Input!$H$202-Input!$H$236)-SUM($H399:P399),(Input!$H$202-Input!$H$236)/A26taxstdlife))</f>
        <v>0</v>
      </c>
      <c r="R399" s="73"/>
      <c r="S399" s="107"/>
      <c r="T399" s="107"/>
      <c r="U399" s="107"/>
      <c r="V399" s="107"/>
      <c r="W399" s="107"/>
      <c r="X399" s="107"/>
      <c r="Y399" s="107"/>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01"/>
      <c r="BJ399" s="201"/>
      <c r="BK399" s="201"/>
      <c r="BL399" s="201"/>
      <c r="BM399" s="201"/>
      <c r="BN399" s="201"/>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537"/>
      <c r="E400" s="91">
        <v>2</v>
      </c>
      <c r="F400" s="27"/>
      <c r="G400" s="27"/>
      <c r="H400" s="150"/>
      <c r="I400" s="151"/>
      <c r="J400" s="73">
        <f>IF(A26taxstdlife="n/a","n/a",IF(J$3&gt;(A26taxstdlife+$E400),(Input!$I$202-Input!$I$236)-SUM($I400:I400),(Input!$I$202-Input!$I$236)/A26taxstdlife))</f>
        <v>0</v>
      </c>
      <c r="K400" s="73">
        <f>IF(A26taxstdlife="n/a","n/a",IF(K$3&gt;(A26taxstdlife+$E400),(Input!$I$202-Input!$I$236)-SUM($I400:J400),(Input!$I$202-Input!$I$236)/A26taxstdlife))</f>
        <v>0</v>
      </c>
      <c r="L400" s="73">
        <f>IF(A26taxstdlife="n/a","n/a",IF(L$3&gt;(A26taxstdlife+$E400),(Input!$I$202-Input!$I$236)-SUM($I400:K400),(Input!$I$202-Input!$I$236)/A26taxstdlife))</f>
        <v>0</v>
      </c>
      <c r="M400" s="73">
        <f>IF(A26taxstdlife="n/a","n/a",IF(M$3&gt;(A26taxstdlife+$E400),(Input!$I$202-Input!$I$236)-SUM($I400:L400),(Input!$I$202-Input!$I$236)/A26taxstdlife))</f>
        <v>0</v>
      </c>
      <c r="N400" s="73">
        <f>IF(A26taxstdlife="n/a","n/a",IF(N$3&gt;(A26taxstdlife+$E400),(Input!$I$202-Input!$I$236)-SUM($I400:M400),(Input!$I$202-Input!$I$236)/A26taxstdlife))</f>
        <v>0</v>
      </c>
      <c r="O400" s="73">
        <f>IF(A26taxstdlife="n/a","n/a",IF(O$3&gt;(A26taxstdlife+$E400),(Input!$I$202-Input!$I$236)-SUM($I400:N400),(Input!$I$202-Input!$I$236)/A26taxstdlife))</f>
        <v>0</v>
      </c>
      <c r="P400" s="73">
        <f>IF(A26taxstdlife="n/a","n/a",IF(P$3&gt;(A26taxstdlife+$E400),(Input!$I$202-Input!$I$236)-SUM($I400:O400),(Input!$I$202-Input!$I$236)/A26taxstdlife))</f>
        <v>0</v>
      </c>
      <c r="Q400" s="73">
        <f>IF(A26taxstdlife="n/a","n/a",IF(Q$3&gt;(A26taxstdlife+$E400),(Input!$I$202-Input!$I$236)-SUM($I400:P400),(Input!$I$202-Input!$I$236)/A26taxstdlife))</f>
        <v>0</v>
      </c>
      <c r="R400" s="73"/>
      <c r="S400" s="107"/>
      <c r="T400" s="107"/>
      <c r="U400" s="107"/>
      <c r="V400" s="107"/>
      <c r="W400" s="107"/>
      <c r="X400" s="107"/>
      <c r="Y400" s="107"/>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01"/>
      <c r="BJ400" s="201"/>
      <c r="BK400" s="201"/>
      <c r="BL400" s="201"/>
      <c r="BM400" s="201"/>
      <c r="BN400" s="201"/>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537"/>
      <c r="E401" s="91">
        <v>3</v>
      </c>
      <c r="F401" s="27"/>
      <c r="G401" s="27"/>
      <c r="H401" s="150"/>
      <c r="I401" s="152"/>
      <c r="J401" s="151"/>
      <c r="K401" s="73">
        <f>IF(A26taxstdlife="n/a","n/a",IF(K$3&gt;(A26taxstdlife+$E401),(Input!$J$202-Input!$J$236)-SUM($J401:J401),(Input!$J$202-Input!$J$236)/A26taxstdlife))</f>
        <v>0</v>
      </c>
      <c r="L401" s="73">
        <f>IF(A26taxstdlife="n/a","n/a",IF(L$3&gt;(A26taxstdlife+$E401),(Input!$J$202-Input!$J$236)-SUM($J401:K401),(Input!$J$202-Input!$J$236)/A26taxstdlife))</f>
        <v>0</v>
      </c>
      <c r="M401" s="73">
        <f>IF(A26taxstdlife="n/a","n/a",IF(M$3&gt;(A26taxstdlife+$E401),(Input!$J$202-Input!$J$236)-SUM($J401:L401),(Input!$J$202-Input!$J$236)/A26taxstdlife))</f>
        <v>0</v>
      </c>
      <c r="N401" s="73">
        <f>IF(A26taxstdlife="n/a","n/a",IF(N$3&gt;(A26taxstdlife+$E401),(Input!$J$202-Input!$J$236)-SUM($J401:M401),(Input!$J$202-Input!$J$236)/A26taxstdlife))</f>
        <v>0</v>
      </c>
      <c r="O401" s="73">
        <f>IF(A26taxstdlife="n/a","n/a",IF(O$3&gt;(A26taxstdlife+$E401),(Input!$J$202-Input!$J$236)-SUM($J401:N401),(Input!$J$202-Input!$J$236)/A26taxstdlife))</f>
        <v>0</v>
      </c>
      <c r="P401" s="73">
        <f>IF(A26taxstdlife="n/a","n/a",IF(P$3&gt;(A26taxstdlife+$E401),(Input!$J$202-Input!$J$236)-SUM($J401:O401),(Input!$J$202-Input!$J$236)/A26taxstdlife))</f>
        <v>0</v>
      </c>
      <c r="Q401" s="73">
        <f>IF(A26taxstdlife="n/a","n/a",IF(Q$3&gt;(A26taxstdlife+$E401),(Input!$J$202-Input!$J$236)-SUM($J401:P401),(Input!$J$202-Input!$J$236)/A26taxstdlife))</f>
        <v>0</v>
      </c>
      <c r="R401" s="73"/>
      <c r="S401" s="107"/>
      <c r="T401" s="107"/>
      <c r="U401" s="107"/>
      <c r="V401" s="107"/>
      <c r="W401" s="107"/>
      <c r="X401" s="107"/>
      <c r="Y401" s="107"/>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2"/>
      <c r="BJ401" s="201"/>
      <c r="BK401" s="201"/>
      <c r="BL401" s="201"/>
      <c r="BM401" s="201"/>
      <c r="BN401" s="2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537"/>
      <c r="E402" s="91">
        <v>4</v>
      </c>
      <c r="F402" s="27"/>
      <c r="G402" s="27"/>
      <c r="H402" s="150"/>
      <c r="I402" s="152"/>
      <c r="J402" s="152"/>
      <c r="K402" s="151"/>
      <c r="L402" s="73">
        <f>IF(A26taxstdlife="n/a","n/a",IF(L$3&gt;(A26taxstdlife+$E402),(Input!$K$202-Input!$K$236)-SUM($K402:K402),(Input!$K$202-Input!$K$236)/A26taxstdlife))</f>
        <v>0</v>
      </c>
      <c r="M402" s="73">
        <f>IF(A26taxstdlife="n/a","n/a",IF(M$3&gt;(A26taxstdlife+$E402),(Input!$K$202-Input!$K$236)-SUM($K402:L402),(Input!$K$202-Input!$K$236)/A26taxstdlife))</f>
        <v>0</v>
      </c>
      <c r="N402" s="73">
        <f>IF(A26taxstdlife="n/a","n/a",IF(N$3&gt;(A26taxstdlife+$E402),(Input!$K$202-Input!$K$236)-SUM($K402:M402),(Input!$K$202-Input!$K$236)/A26taxstdlife))</f>
        <v>0</v>
      </c>
      <c r="O402" s="73">
        <f>IF(A26taxstdlife="n/a","n/a",IF(O$3&gt;(A26taxstdlife+$E402),(Input!$K$202-Input!$K$236)-SUM($K402:N402),(Input!$K$202-Input!$K$236)/A26taxstdlife))</f>
        <v>0</v>
      </c>
      <c r="P402" s="73">
        <f>IF(A26taxstdlife="n/a","n/a",IF(P$3&gt;(A26taxstdlife+$E402),(Input!$K$202-Input!$K$236)-SUM($K402:O402),(Input!$K$202-Input!$K$236)/A26taxstdlife))</f>
        <v>0</v>
      </c>
      <c r="Q402" s="73">
        <f>IF(A26taxstdlife="n/a","n/a",IF(Q$3&gt;(A26taxstdlife+$E402),(Input!$K$202-Input!$K$236)-SUM($K402:P402),(Input!$K$202-Input!$K$236)/A26taxstdlife))</f>
        <v>0</v>
      </c>
      <c r="R402" s="73"/>
      <c r="S402" s="107"/>
      <c r="T402" s="107"/>
      <c r="U402" s="107"/>
      <c r="V402" s="107"/>
      <c r="W402" s="107"/>
      <c r="X402" s="107"/>
      <c r="Y402" s="107"/>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01"/>
      <c r="BJ402" s="201"/>
      <c r="BK402" s="201"/>
      <c r="BL402" s="201"/>
      <c r="BM402" s="201"/>
      <c r="BN402" s="201"/>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537"/>
      <c r="E403" s="91">
        <v>5</v>
      </c>
      <c r="F403" s="27"/>
      <c r="G403" s="27"/>
      <c r="H403" s="150"/>
      <c r="I403" s="152"/>
      <c r="J403" s="152"/>
      <c r="K403" s="152"/>
      <c r="L403" s="151"/>
      <c r="M403" s="73">
        <f>IF(A26taxstdlife="n/a","n/a",IF(M$3&gt;(A26taxstdlife+$E403),(Input!$L$202-Input!$L$236)-SUM($L403:L403),(Input!$L$202-Input!$L$236)/A26taxstdlife))</f>
        <v>0</v>
      </c>
      <c r="N403" s="73">
        <f>IF(A26taxstdlife="n/a","n/a",IF(N$3&gt;(A26taxstdlife+$E403),(Input!$L$202-Input!$L$236)-SUM($L403:M403),(Input!$L$202-Input!$L$236)/A26taxstdlife))</f>
        <v>0</v>
      </c>
      <c r="O403" s="73">
        <f>IF(A26taxstdlife="n/a","n/a",IF(O$3&gt;(A26taxstdlife+$E403),(Input!$L$202-Input!$L$236)-SUM($L403:N403),(Input!$L$202-Input!$L$236)/A26taxstdlife))</f>
        <v>0</v>
      </c>
      <c r="P403" s="73">
        <f>IF(A26taxstdlife="n/a","n/a",IF(P$3&gt;(A26taxstdlife+$E403),(Input!$L$202-Input!$L$236)-SUM($L403:O403),(Input!$L$202-Input!$L$236)/A26taxstdlife))</f>
        <v>0</v>
      </c>
      <c r="Q403" s="73">
        <f>IF(A26taxstdlife="n/a","n/a",IF(Q$3&gt;(A26taxstdlife+$E403),(Input!$L$202-Input!$L$236)-SUM($L403:P403),(Input!$L$202-Input!$L$236)/A26taxstdlife))</f>
        <v>0</v>
      </c>
      <c r="R403" s="73"/>
      <c r="S403" s="107"/>
      <c r="T403" s="107"/>
      <c r="U403" s="107"/>
      <c r="V403" s="107"/>
      <c r="W403" s="107"/>
      <c r="X403" s="107"/>
      <c r="Y403" s="107"/>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01"/>
      <c r="BJ403" s="201"/>
      <c r="BK403" s="201"/>
      <c r="BL403" s="201"/>
      <c r="BM403" s="201"/>
      <c r="BN403" s="201"/>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537"/>
      <c r="E404" s="91">
        <v>6</v>
      </c>
      <c r="F404" s="27"/>
      <c r="G404" s="27"/>
      <c r="H404" s="150"/>
      <c r="I404" s="152"/>
      <c r="J404" s="152"/>
      <c r="K404" s="152"/>
      <c r="L404" s="152"/>
      <c r="M404" s="151"/>
      <c r="N404" s="73">
        <f>IF(A26taxstdlife="n/a","n/a",IF(N$3&gt;(A26taxstdlife+$E404),(Input!$M$202-Input!$M$236)-SUM($M404:M404),(Input!$M$202-Input!$M$236)/A26taxstdlife))</f>
        <v>0</v>
      </c>
      <c r="O404" s="73">
        <f>IF(A26taxstdlife="n/a","n/a",IF(O$3&gt;(A26taxstdlife+$E404),(Input!$M$202-Input!$M$236)-SUM($M404:N404),(Input!$M$202-Input!$M$236)/A26taxstdlife))</f>
        <v>0</v>
      </c>
      <c r="P404" s="73">
        <f>IF(A26taxstdlife="n/a","n/a",IF(P$3&gt;(A26taxstdlife+$E404),(Input!$M$202-Input!$M$236)-SUM($M404:O404),(Input!$M$202-Input!$M$236)/A26taxstdlife))</f>
        <v>0</v>
      </c>
      <c r="Q404" s="73">
        <f>IF(A26taxstdlife="n/a","n/a",IF(Q$3&gt;(A26taxstdlife+$E404),(Input!$M$202-Input!$M$236)-SUM($M404:P404),(Input!$M$202-Input!$M$236)/A26taxstdlife))</f>
        <v>0</v>
      </c>
      <c r="R404" s="73"/>
      <c r="S404" s="107"/>
      <c r="T404" s="107"/>
      <c r="U404" s="107"/>
      <c r="V404" s="107"/>
      <c r="W404" s="107"/>
      <c r="X404" s="107"/>
      <c r="Y404" s="107"/>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01"/>
      <c r="BJ404" s="201"/>
      <c r="BK404" s="201"/>
      <c r="BL404" s="201"/>
      <c r="BM404" s="201"/>
      <c r="BN404" s="201"/>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537"/>
      <c r="E405" s="91">
        <v>7</v>
      </c>
      <c r="F405" s="27"/>
      <c r="G405" s="27"/>
      <c r="H405" s="150"/>
      <c r="I405" s="152"/>
      <c r="J405" s="152"/>
      <c r="K405" s="152"/>
      <c r="L405" s="152"/>
      <c r="M405" s="152"/>
      <c r="N405" s="151"/>
      <c r="O405" s="73">
        <f>IF(A26taxstdlife="n/a","n/a",IF(O$3&gt;(A26taxstdlife+$E405),(Input!$N$202-Input!$N$236)-SUM($N405:N405),(Input!$N$202-Input!$N$236)/A26taxstdlife))</f>
        <v>0</v>
      </c>
      <c r="P405" s="73">
        <f>IF(A26taxstdlife="n/a","n/a",IF(P$3&gt;(A26taxstdlife+$E405),(Input!$N$202-Input!$N$236)-SUM($N405:O405),(Input!$N$202-Input!$N$236)/A26taxstdlife))</f>
        <v>0</v>
      </c>
      <c r="Q405" s="73">
        <f>IF(A26taxstdlife="n/a","n/a",IF(Q$3&gt;(A26taxstdlife+$E405),(Input!$N$202-Input!$N$236)-SUM($N405:P405),(Input!$N$202-Input!$N$236)/A26taxstdlife))</f>
        <v>0</v>
      </c>
      <c r="R405" s="73"/>
      <c r="S405" s="107"/>
      <c r="T405" s="107"/>
      <c r="U405" s="107"/>
      <c r="V405" s="107"/>
      <c r="W405" s="107"/>
      <c r="X405" s="107"/>
      <c r="Y405" s="107"/>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01"/>
      <c r="BJ405" s="201"/>
      <c r="BK405" s="201"/>
      <c r="BL405" s="201"/>
      <c r="BM405" s="201"/>
      <c r="BN405" s="201"/>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537"/>
      <c r="E406" s="91">
        <v>8</v>
      </c>
      <c r="F406" s="27"/>
      <c r="G406" s="27"/>
      <c r="H406" s="150"/>
      <c r="I406" s="152"/>
      <c r="J406" s="152"/>
      <c r="K406" s="152"/>
      <c r="L406" s="152"/>
      <c r="M406" s="152"/>
      <c r="N406" s="152"/>
      <c r="O406" s="151"/>
      <c r="P406" s="73">
        <f>IF(A26taxstdlife="n/a","n/a",IF(P$3&gt;(A26taxstdlife+$E406),(Input!$O$202-Input!$O$236)-SUM($O406:O406),(Input!$O$202-Input!$O$236)/A26taxstdlife))</f>
        <v>0</v>
      </c>
      <c r="Q406" s="73">
        <f>IF(A26taxstdlife="n/a","n/a",IF(Q$3&gt;(A26taxstdlife+$E406),(Input!$O$202-Input!$O$236)-SUM($O406:P406),(Input!$O$202-Input!$O$236)/A26taxstdlife))</f>
        <v>0</v>
      </c>
      <c r="R406" s="73"/>
      <c r="S406" s="107"/>
      <c r="T406" s="107"/>
      <c r="U406" s="107"/>
      <c r="V406" s="107"/>
      <c r="W406" s="107"/>
      <c r="X406" s="107"/>
      <c r="Y406" s="107"/>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01"/>
      <c r="BJ406" s="201"/>
      <c r="BK406" s="201"/>
      <c r="BL406" s="201"/>
      <c r="BM406" s="201"/>
      <c r="BN406" s="201"/>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537"/>
      <c r="E407" s="91">
        <v>9</v>
      </c>
      <c r="F407" s="27"/>
      <c r="G407" s="27"/>
      <c r="H407" s="150"/>
      <c r="I407" s="152"/>
      <c r="J407" s="152"/>
      <c r="K407" s="152"/>
      <c r="L407" s="152"/>
      <c r="M407" s="152"/>
      <c r="N407" s="152"/>
      <c r="O407" s="152"/>
      <c r="P407" s="151"/>
      <c r="Q407" s="73">
        <f>IF(A26taxstdlife="n/a","n/a",IF(Q$3&gt;(A26taxstdlife+$E407),(Input!$P$202-Input!$P$236)-SUM($P407:P407),(Input!$P$202-Input!$P$236)/A26taxstdlife))</f>
        <v>0</v>
      </c>
      <c r="R407" s="73"/>
      <c r="S407" s="107"/>
      <c r="T407" s="107"/>
      <c r="U407" s="107"/>
      <c r="V407" s="107"/>
      <c r="W407" s="107"/>
      <c r="X407" s="107"/>
      <c r="Y407" s="107"/>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01"/>
      <c r="BJ407" s="201"/>
      <c r="BK407" s="201"/>
      <c r="BL407" s="201"/>
      <c r="BM407" s="201"/>
      <c r="BN407" s="201"/>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537"/>
      <c r="E408" s="92">
        <v>10</v>
      </c>
      <c r="F408" s="27"/>
      <c r="G408" s="27"/>
      <c r="H408" s="150"/>
      <c r="I408" s="152"/>
      <c r="J408" s="152"/>
      <c r="K408" s="152"/>
      <c r="L408" s="152"/>
      <c r="M408" s="152"/>
      <c r="N408" s="152"/>
      <c r="O408" s="152"/>
      <c r="P408" s="152"/>
      <c r="Q408" s="151"/>
      <c r="R408" s="73"/>
      <c r="S408" s="107"/>
      <c r="T408" s="107"/>
      <c r="U408" s="107"/>
      <c r="V408" s="107"/>
      <c r="W408" s="107"/>
      <c r="X408" s="107"/>
      <c r="Y408" s="107"/>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01"/>
      <c r="BJ408" s="201"/>
      <c r="BK408" s="201"/>
      <c r="BL408" s="201"/>
      <c r="BM408" s="201"/>
      <c r="BN408" s="201"/>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2">
        <f>Asset26</f>
        <v>0</v>
      </c>
      <c r="D409" s="9"/>
      <c r="E409" s="9"/>
      <c r="F409" s="23"/>
      <c r="G409" s="23"/>
      <c r="H409" s="298">
        <f>-SUM(H397:H408)</f>
        <v>0</v>
      </c>
      <c r="I409" s="165">
        <f>-SUM(I397:I408)</f>
        <v>0</v>
      </c>
      <c r="J409" s="165">
        <f>-SUM(J397:J408)</f>
        <v>0</v>
      </c>
      <c r="K409" s="165">
        <f>-SUM(K397:K408)</f>
        <v>0</v>
      </c>
      <c r="L409" s="165">
        <f>-SUM(L397:L408)</f>
        <v>0</v>
      </c>
      <c r="M409" s="165">
        <f>IF(COUNT($H409:L409)&gt;=Input!$Y$7,0, -SUM(M397:M408))</f>
        <v>0</v>
      </c>
      <c r="N409" s="165">
        <f>IF(COUNT($H409:M409)&gt;=Input!$Y$7,0, -SUM(N397:N408))</f>
        <v>0</v>
      </c>
      <c r="O409" s="165">
        <f>IF(COUNT($H409:N409)&gt;=Input!$Y$7,0, -SUM(O397:O408))</f>
        <v>0</v>
      </c>
      <c r="P409" s="165">
        <f>IF(COUNT($H409:O409)&gt;=Input!$Y$7,0, -SUM(P397:P408))</f>
        <v>0</v>
      </c>
      <c r="Q409" s="165">
        <f>IF(COUNT($H409:P409)&gt;=Input!$Y$7,0, -SUM(Q397:Q408))</f>
        <v>0</v>
      </c>
      <c r="R409" s="165"/>
      <c r="S409" s="106"/>
      <c r="T409" s="106"/>
      <c r="U409" s="106"/>
      <c r="V409" s="106"/>
      <c r="W409" s="106"/>
      <c r="X409" s="106"/>
      <c r="Y409" s="106"/>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01"/>
      <c r="BJ409" s="201"/>
      <c r="BK409" s="201"/>
      <c r="BL409" s="201"/>
      <c r="BM409" s="201"/>
      <c r="BN409" s="201"/>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73">
        <f>Asset27</f>
        <v>0</v>
      </c>
      <c r="C410" s="31"/>
      <c r="D410" s="32" t="s">
        <v>43</v>
      </c>
      <c r="E410" s="31"/>
      <c r="F410" s="301"/>
      <c r="G410" s="301"/>
      <c r="H410" s="72">
        <f>IF(H$3&gt;A27taxremlife,A27taxvalue-SUM($F410:F410),IF(A27taxremlife="N/A","n/a",A27taxvalue/A27taxremlife))</f>
        <v>0</v>
      </c>
      <c r="I410" s="72">
        <f>IF(I$3&gt;A27taxremlife,A27taxvalue-SUM($F410:H410),IF(A27taxremlife="N/A","n/a",A27taxvalue/A27taxremlife))</f>
        <v>0</v>
      </c>
      <c r="J410" s="72">
        <f>IF(J$3&gt;A27taxremlife,A27taxvalue-SUM($F410:I410),IF(A27taxremlife="N/A","n/a",A27taxvalue/A27taxremlife))</f>
        <v>0</v>
      </c>
      <c r="K410" s="72">
        <f>IF(K$3&gt;A27taxremlife,A27taxvalue-SUM($F410:J410),IF(A27taxremlife="N/A","n/a",A27taxvalue/A27taxremlife))</f>
        <v>0</v>
      </c>
      <c r="L410" s="72">
        <f>IF(L$3&gt;A27taxremlife,A27taxvalue-SUM($F410:K410),IF(A27taxremlife="N/A","n/a",A27taxvalue/A27taxremlife))</f>
        <v>0</v>
      </c>
      <c r="M410" s="72">
        <f>IF(M$3&gt;A27taxremlife,A27taxvalue-SUM($F410:L410),IF(A27taxremlife="N/A","n/a",A27taxvalue/A27taxremlife))</f>
        <v>0</v>
      </c>
      <c r="N410" s="72">
        <f>IF(N$3&gt;A27taxremlife,A27taxvalue-SUM($F410:M410),IF(A27taxremlife="N/A","n/a",A27taxvalue/A27taxremlife))</f>
        <v>0</v>
      </c>
      <c r="O410" s="72">
        <f>IF(O$3&gt;A27taxremlife,A27taxvalue-SUM($F410:N410),IF(A27taxremlife="N/A","n/a",A27taxvalue/A27taxremlife))</f>
        <v>0</v>
      </c>
      <c r="P410" s="72">
        <f>IF(P$3&gt;A27taxremlife,A27taxvalue-SUM($F410:O410),IF(A27taxremlife="N/A","n/a",A27taxvalue/A27taxremlife))</f>
        <v>0</v>
      </c>
      <c r="Q410" s="72">
        <f>IF(Q$3&gt;A27taxremlife,A27taxvalue-SUM($F410:P410),IF(A27taxremlife="N/A","n/a",A27taxvalue/A27taxremlife))</f>
        <v>0</v>
      </c>
      <c r="R410" s="72"/>
      <c r="S410" s="107"/>
      <c r="T410" s="107"/>
      <c r="U410" s="107"/>
      <c r="V410" s="107"/>
      <c r="W410" s="107"/>
      <c r="X410" s="107"/>
      <c r="Y410" s="107"/>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01"/>
      <c r="BJ410" s="201"/>
      <c r="BK410" s="201"/>
      <c r="BL410" s="201"/>
      <c r="BM410" s="201"/>
      <c r="BN410" s="201"/>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536" t="s">
        <v>59</v>
      </c>
      <c r="E411" s="91"/>
      <c r="F411" s="27"/>
      <c r="G411" s="27"/>
      <c r="H411" s="107"/>
      <c r="I411" s="73"/>
      <c r="J411" s="73"/>
      <c r="K411" s="73"/>
      <c r="L411" s="73"/>
      <c r="M411" s="73"/>
      <c r="N411" s="73"/>
      <c r="O411" s="73"/>
      <c r="P411" s="73"/>
      <c r="Q411" s="73"/>
      <c r="R411" s="73"/>
      <c r="S411" s="107"/>
      <c r="T411" s="107"/>
      <c r="U411" s="107"/>
      <c r="V411" s="107"/>
      <c r="W411" s="107"/>
      <c r="X411" s="107"/>
      <c r="Y411" s="107"/>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01"/>
      <c r="BJ411" s="201"/>
      <c r="BK411" s="201"/>
      <c r="BL411" s="201"/>
      <c r="BM411" s="201"/>
      <c r="BN411" s="20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537"/>
      <c r="E412" s="91">
        <v>1</v>
      </c>
      <c r="F412" s="27"/>
      <c r="G412" s="27"/>
      <c r="H412" s="149"/>
      <c r="I412" s="73">
        <f>IF(A27taxstdlife="n/a","n/a",IF(I$3&gt;(A27taxstdlife+$E412),(Input!$H$203-Input!$H$237)-SUM($H412:H412),(Input!$H$203-Input!$H$237)/A27taxstdlife))</f>
        <v>0</v>
      </c>
      <c r="J412" s="73">
        <f>IF(A27taxstdlife="n/a","n/a",IF(J$3&gt;(A27taxstdlife+$E412),(Input!$H$203-Input!$H$237)-SUM($H412:I412),(Input!$H$203-Input!$H$237)/A27taxstdlife))</f>
        <v>0</v>
      </c>
      <c r="K412" s="73">
        <f>IF(A27taxstdlife="n/a","n/a",IF(K$3&gt;(A27taxstdlife+$E412),(Input!$H$203-Input!$H$237)-SUM($H412:J412),(Input!$H$203-Input!$H$237)/A27taxstdlife))</f>
        <v>0</v>
      </c>
      <c r="L412" s="73">
        <f>IF(A27taxstdlife="n/a","n/a",IF(L$3&gt;(A27taxstdlife+$E412),(Input!$H$203-Input!$H$237)-SUM($H412:K412),(Input!$H$203-Input!$H$237)/A27taxstdlife))</f>
        <v>0</v>
      </c>
      <c r="M412" s="73">
        <f>IF(A27taxstdlife="n/a","n/a",IF(M$3&gt;(A27taxstdlife+$E412),(Input!$H$203-Input!$H$237)-SUM($H412:L412),(Input!$H$203-Input!$H$237)/A27taxstdlife))</f>
        <v>0</v>
      </c>
      <c r="N412" s="73">
        <f>IF(A27taxstdlife="n/a","n/a",IF(N$3&gt;(A27taxstdlife+$E412),(Input!$H$203-Input!$H$237)-SUM($H412:M412),(Input!$H$203-Input!$H$237)/A27taxstdlife))</f>
        <v>0</v>
      </c>
      <c r="O412" s="73">
        <f>IF(A27taxstdlife="n/a","n/a",IF(O$3&gt;(A27taxstdlife+$E412),(Input!$H$203-Input!$H$237)-SUM($H412:N412),(Input!$H$203-Input!$H$237)/A27taxstdlife))</f>
        <v>0</v>
      </c>
      <c r="P412" s="73">
        <f>IF(A27taxstdlife="n/a","n/a",IF(P$3&gt;(A27taxstdlife+$E412),(Input!$H$203-Input!$H$237)-SUM($H412:O412),(Input!$H$203-Input!$H$237)/A27taxstdlife))</f>
        <v>0</v>
      </c>
      <c r="Q412" s="73">
        <f>IF(A27taxstdlife="n/a","n/a",IF(Q$3&gt;(A27taxstdlife+$E412),(Input!$H$203-Input!$H$237)-SUM($H412:P412),(Input!$H$203-Input!$H$237)/A27taxstdlife))</f>
        <v>0</v>
      </c>
      <c r="R412" s="73"/>
      <c r="S412" s="107"/>
      <c r="T412" s="107"/>
      <c r="U412" s="107"/>
      <c r="V412" s="107"/>
      <c r="W412" s="107"/>
      <c r="X412" s="107"/>
      <c r="Y412" s="107"/>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01"/>
      <c r="BJ412" s="201"/>
      <c r="BK412" s="201"/>
      <c r="BL412" s="201"/>
      <c r="BM412" s="201"/>
      <c r="BN412" s="201"/>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537"/>
      <c r="E413" s="91">
        <v>2</v>
      </c>
      <c r="F413" s="27"/>
      <c r="G413" s="27"/>
      <c r="H413" s="150"/>
      <c r="I413" s="151"/>
      <c r="J413" s="73">
        <f>IF(A27taxstdlife="n/a","n/a",IF(J$3&gt;(A27taxstdlife+$E413),(Input!$I$203-Input!$I$237)-SUM($I413:I413),(Input!$I$203-Input!$I$237)/A27taxstdlife))</f>
        <v>0</v>
      </c>
      <c r="K413" s="73">
        <f>IF(A27taxstdlife="n/a","n/a",IF(K$3&gt;(A27taxstdlife+$E413),(Input!$I$203-Input!$I$237)-SUM($I413:J413),(Input!$I$203-Input!$I$237)/A27taxstdlife))</f>
        <v>0</v>
      </c>
      <c r="L413" s="73">
        <f>IF(A27taxstdlife="n/a","n/a",IF(L$3&gt;(A27taxstdlife+$E413),(Input!$I$203-Input!$I$237)-SUM($I413:K413),(Input!$I$203-Input!$I$237)/A27taxstdlife))</f>
        <v>0</v>
      </c>
      <c r="M413" s="73">
        <f>IF(A27taxstdlife="n/a","n/a",IF(M$3&gt;(A27taxstdlife+$E413),(Input!$I$203-Input!$I$237)-SUM($I413:L413),(Input!$I$203-Input!$I$237)/A27taxstdlife))</f>
        <v>0</v>
      </c>
      <c r="N413" s="73">
        <f>IF(A27taxstdlife="n/a","n/a",IF(N$3&gt;(A27taxstdlife+$E413),(Input!$I$203-Input!$I$237)-SUM($I413:M413),(Input!$I$203-Input!$I$237)/A27taxstdlife))</f>
        <v>0</v>
      </c>
      <c r="O413" s="73">
        <f>IF(A27taxstdlife="n/a","n/a",IF(O$3&gt;(A27taxstdlife+$E413),(Input!$I$203-Input!$I$237)-SUM($I413:N413),(Input!$I$203-Input!$I$237)/A27taxstdlife))</f>
        <v>0</v>
      </c>
      <c r="P413" s="73">
        <f>IF(A27taxstdlife="n/a","n/a",IF(P$3&gt;(A27taxstdlife+$E413),(Input!$I$203-Input!$I$237)-SUM($I413:O413),(Input!$I$203-Input!$I$237)/A27taxstdlife))</f>
        <v>0</v>
      </c>
      <c r="Q413" s="73">
        <f>IF(A27taxstdlife="n/a","n/a",IF(Q$3&gt;(A27taxstdlife+$E413),(Input!$I$203-Input!$I$237)-SUM($I413:P413),(Input!$I$203-Input!$I$237)/A27taxstdlife))</f>
        <v>0</v>
      </c>
      <c r="R413" s="73"/>
      <c r="S413" s="107"/>
      <c r="T413" s="107"/>
      <c r="U413" s="107"/>
      <c r="V413" s="107"/>
      <c r="W413" s="107"/>
      <c r="X413" s="107"/>
      <c r="Y413" s="107"/>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01"/>
      <c r="BJ413" s="201"/>
      <c r="BK413" s="201"/>
      <c r="BL413" s="201"/>
      <c r="BM413" s="201"/>
      <c r="BN413" s="201"/>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537"/>
      <c r="E414" s="91">
        <v>3</v>
      </c>
      <c r="F414" s="27"/>
      <c r="G414" s="27"/>
      <c r="H414" s="150"/>
      <c r="I414" s="152"/>
      <c r="J414" s="151"/>
      <c r="K414" s="73">
        <f>IF(A27taxstdlife="n/a","n/a",IF(K$3&gt;(A27taxstdlife+$E414),(Input!$J$203-Input!$J$237)-SUM($J414:J414),(Input!$J$203-Input!$J$237)/A27taxstdlife))</f>
        <v>0</v>
      </c>
      <c r="L414" s="73">
        <f>IF(A27taxstdlife="n/a","n/a",IF(L$3&gt;(A27taxstdlife+$E414),(Input!$J$203-Input!$J$237)-SUM($J414:K414),(Input!$J$203-Input!$J$237)/A27taxstdlife))</f>
        <v>0</v>
      </c>
      <c r="M414" s="73">
        <f>IF(A27taxstdlife="n/a","n/a",IF(M$3&gt;(A27taxstdlife+$E414),(Input!$J$203-Input!$J$237)-SUM($J414:L414),(Input!$J$203-Input!$J$237)/A27taxstdlife))</f>
        <v>0</v>
      </c>
      <c r="N414" s="73">
        <f>IF(A27taxstdlife="n/a","n/a",IF(N$3&gt;(A27taxstdlife+$E414),(Input!$J$203-Input!$J$237)-SUM($J414:M414),(Input!$J$203-Input!$J$237)/A27taxstdlife))</f>
        <v>0</v>
      </c>
      <c r="O414" s="73">
        <f>IF(A27taxstdlife="n/a","n/a",IF(O$3&gt;(A27taxstdlife+$E414),(Input!$J$203-Input!$J$237)-SUM($J414:N414),(Input!$J$203-Input!$J$237)/A27taxstdlife))</f>
        <v>0</v>
      </c>
      <c r="P414" s="73">
        <f>IF(A27taxstdlife="n/a","n/a",IF(P$3&gt;(A27taxstdlife+$E414),(Input!$J$203-Input!$J$237)-SUM($J414:O414),(Input!$J$203-Input!$J$237)/A27taxstdlife))</f>
        <v>0</v>
      </c>
      <c r="Q414" s="73">
        <f>IF(A27taxstdlife="n/a","n/a",IF(Q$3&gt;(A27taxstdlife+$E414),(Input!$J$203-Input!$J$237)-SUM($J414:P414),(Input!$J$203-Input!$J$237)/A27taxstdlife))</f>
        <v>0</v>
      </c>
      <c r="R414" s="73"/>
      <c r="S414" s="107"/>
      <c r="T414" s="107"/>
      <c r="U414" s="107"/>
      <c r="V414" s="107"/>
      <c r="W414" s="107"/>
      <c r="X414" s="107"/>
      <c r="Y414" s="107"/>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2"/>
      <c r="BJ414" s="201"/>
      <c r="BK414" s="201"/>
      <c r="BL414" s="201"/>
      <c r="BM414" s="201"/>
      <c r="BN414" s="201"/>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537"/>
      <c r="E415" s="91">
        <v>4</v>
      </c>
      <c r="F415" s="27"/>
      <c r="G415" s="27"/>
      <c r="H415" s="150"/>
      <c r="I415" s="152"/>
      <c r="J415" s="152"/>
      <c r="K415" s="151"/>
      <c r="L415" s="73">
        <f>IF(A27taxstdlife="n/a","n/a",IF(L$3&gt;(A27taxstdlife+$E415),(Input!$K$203-Input!$K$237)-SUM($K415:K415),(Input!$K$203-Input!$K$237)/A27taxstdlife))</f>
        <v>0</v>
      </c>
      <c r="M415" s="73">
        <f>IF(A27taxstdlife="n/a","n/a",IF(M$3&gt;(A27taxstdlife+$E415),(Input!$K$203-Input!$K$237)-SUM($K415:L415),(Input!$K$203-Input!$K$237)/A27taxstdlife))</f>
        <v>0</v>
      </c>
      <c r="N415" s="73">
        <f>IF(A27taxstdlife="n/a","n/a",IF(N$3&gt;(A27taxstdlife+$E415),(Input!$K$203-Input!$K$237)-SUM($K415:M415),(Input!$K$203-Input!$K$237)/A27taxstdlife))</f>
        <v>0</v>
      </c>
      <c r="O415" s="73">
        <f>IF(A27taxstdlife="n/a","n/a",IF(O$3&gt;(A27taxstdlife+$E415),(Input!$K$203-Input!$K$237)-SUM($K415:N415),(Input!$K$203-Input!$K$237)/A27taxstdlife))</f>
        <v>0</v>
      </c>
      <c r="P415" s="73">
        <f>IF(A27taxstdlife="n/a","n/a",IF(P$3&gt;(A27taxstdlife+$E415),(Input!$K$203-Input!$K$237)-SUM($K415:O415),(Input!$K$203-Input!$K$237)/A27taxstdlife))</f>
        <v>0</v>
      </c>
      <c r="Q415" s="73">
        <f>IF(A27taxstdlife="n/a","n/a",IF(Q$3&gt;(A27taxstdlife+$E415),(Input!$K$203-Input!$K$237)-SUM($K415:P415),(Input!$K$203-Input!$K$237)/A27taxstdlife))</f>
        <v>0</v>
      </c>
      <c r="R415" s="73"/>
      <c r="S415" s="107"/>
      <c r="T415" s="107"/>
      <c r="U415" s="107"/>
      <c r="V415" s="107"/>
      <c r="W415" s="107"/>
      <c r="X415" s="107"/>
      <c r="Y415" s="107"/>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01"/>
      <c r="BJ415" s="201"/>
      <c r="BK415" s="201"/>
      <c r="BL415" s="201"/>
      <c r="BM415" s="201"/>
      <c r="BN415" s="201"/>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537"/>
      <c r="E416" s="91">
        <v>5</v>
      </c>
      <c r="F416" s="27"/>
      <c r="G416" s="27"/>
      <c r="H416" s="150"/>
      <c r="I416" s="152"/>
      <c r="J416" s="152"/>
      <c r="K416" s="152"/>
      <c r="L416" s="151"/>
      <c r="M416" s="73">
        <f>IF(A27taxstdlife="n/a","n/a",IF(M$3&gt;(A27taxstdlife+$E416),(Input!$L$203-Input!$L$237)-SUM($L416:L416),(Input!$L$203-Input!$L$237)/A27taxstdlife))</f>
        <v>0</v>
      </c>
      <c r="N416" s="73">
        <f>IF(A27taxstdlife="n/a","n/a",IF(N$3&gt;(A27taxstdlife+$E416),(Input!$L$203-Input!$L$237)-SUM($L416:M416),(Input!$L$203-Input!$L$237)/A27taxstdlife))</f>
        <v>0</v>
      </c>
      <c r="O416" s="73">
        <f>IF(A27taxstdlife="n/a","n/a",IF(O$3&gt;(A27taxstdlife+$E416),(Input!$L$203-Input!$L$237)-SUM($L416:N416),(Input!$L$203-Input!$L$237)/A27taxstdlife))</f>
        <v>0</v>
      </c>
      <c r="P416" s="73">
        <f>IF(A27taxstdlife="n/a","n/a",IF(P$3&gt;(A27taxstdlife+$E416),(Input!$L$203-Input!$L$237)-SUM($L416:O416),(Input!$L$203-Input!$L$237)/A27taxstdlife))</f>
        <v>0</v>
      </c>
      <c r="Q416" s="73">
        <f>IF(A27taxstdlife="n/a","n/a",IF(Q$3&gt;(A27taxstdlife+$E416),(Input!$L$203-Input!$L$237)-SUM($L416:P416),(Input!$L$203-Input!$L$237)/A27taxstdlife))</f>
        <v>0</v>
      </c>
      <c r="R416" s="73"/>
      <c r="S416" s="107"/>
      <c r="T416" s="107"/>
      <c r="U416" s="107"/>
      <c r="V416" s="107"/>
      <c r="W416" s="107"/>
      <c r="X416" s="107"/>
      <c r="Y416" s="107"/>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01"/>
      <c r="BJ416" s="201"/>
      <c r="BK416" s="201"/>
      <c r="BL416" s="201"/>
      <c r="BM416" s="201"/>
      <c r="BN416" s="201"/>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537"/>
      <c r="E417" s="91">
        <v>6</v>
      </c>
      <c r="F417" s="27"/>
      <c r="G417" s="27"/>
      <c r="H417" s="150"/>
      <c r="I417" s="152"/>
      <c r="J417" s="152"/>
      <c r="K417" s="152"/>
      <c r="L417" s="152"/>
      <c r="M417" s="151"/>
      <c r="N417" s="73">
        <f>IF(A27taxstdlife="n/a","n/a",IF(N$3&gt;(A27taxstdlife+$E417),(Input!$M$203-Input!$M$237)-SUM($M417:M417),(Input!$M$203-Input!$M$237)/A27taxstdlife))</f>
        <v>0</v>
      </c>
      <c r="O417" s="73">
        <f>IF(A27taxstdlife="n/a","n/a",IF(O$3&gt;(A27taxstdlife+$E417),(Input!$M$203-Input!$M$237)-SUM($M417:N417),(Input!$M$203-Input!$M$237)/A27taxstdlife))</f>
        <v>0</v>
      </c>
      <c r="P417" s="73">
        <f>IF(A27taxstdlife="n/a","n/a",IF(P$3&gt;(A27taxstdlife+$E417),(Input!$M$203-Input!$M$237)-SUM($M417:O417),(Input!$M$203-Input!$M$237)/A27taxstdlife))</f>
        <v>0</v>
      </c>
      <c r="Q417" s="73">
        <f>IF(A27taxstdlife="n/a","n/a",IF(Q$3&gt;(A27taxstdlife+$E417),(Input!$M$203-Input!$M$237)-SUM($M417:P417),(Input!$M$203-Input!$M$237)/A27taxstdlife))</f>
        <v>0</v>
      </c>
      <c r="R417" s="73"/>
      <c r="S417" s="107"/>
      <c r="T417" s="107"/>
      <c r="U417" s="107"/>
      <c r="V417" s="107"/>
      <c r="W417" s="107"/>
      <c r="X417" s="107"/>
      <c r="Y417" s="107"/>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01"/>
      <c r="BJ417" s="201"/>
      <c r="BK417" s="201"/>
      <c r="BL417" s="201"/>
      <c r="BM417" s="201"/>
      <c r="BN417" s="201"/>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537"/>
      <c r="E418" s="91">
        <v>7</v>
      </c>
      <c r="F418" s="27"/>
      <c r="G418" s="27"/>
      <c r="H418" s="150"/>
      <c r="I418" s="152"/>
      <c r="J418" s="152"/>
      <c r="K418" s="152"/>
      <c r="L418" s="152"/>
      <c r="M418" s="152"/>
      <c r="N418" s="151"/>
      <c r="O418" s="73">
        <f>IF(A27taxstdlife="n/a","n/a",IF(O$3&gt;(A27taxstdlife+$E418),(Input!$N$203-Input!$N$237)-SUM($N418:N418),(Input!$N$203-Input!$N$237)/A27taxstdlife))</f>
        <v>0</v>
      </c>
      <c r="P418" s="73">
        <f>IF(A27taxstdlife="n/a","n/a",IF(P$3&gt;(A27taxstdlife+$E418),(Input!$N$203-Input!$N$237)-SUM($N418:O418),(Input!$N$203-Input!$N$237)/A27taxstdlife))</f>
        <v>0</v>
      </c>
      <c r="Q418" s="73">
        <f>IF(A27taxstdlife="n/a","n/a",IF(Q$3&gt;(A27taxstdlife+$E418),(Input!$N$203-Input!$N$237)-SUM($N418:P418),(Input!$N$203-Input!$N$237)/A27taxstdlife))</f>
        <v>0</v>
      </c>
      <c r="R418" s="73"/>
      <c r="S418" s="107"/>
      <c r="T418" s="107"/>
      <c r="U418" s="107"/>
      <c r="V418" s="107"/>
      <c r="W418" s="107"/>
      <c r="X418" s="107"/>
      <c r="Y418" s="107"/>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01"/>
      <c r="BJ418" s="201"/>
      <c r="BK418" s="201"/>
      <c r="BL418" s="201"/>
      <c r="BM418" s="201"/>
      <c r="BN418" s="201"/>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537"/>
      <c r="E419" s="91">
        <v>8</v>
      </c>
      <c r="F419" s="27"/>
      <c r="G419" s="27"/>
      <c r="H419" s="150"/>
      <c r="I419" s="152"/>
      <c r="J419" s="152"/>
      <c r="K419" s="152"/>
      <c r="L419" s="152"/>
      <c r="M419" s="152"/>
      <c r="N419" s="152"/>
      <c r="O419" s="151"/>
      <c r="P419" s="73">
        <f>IF(A27taxstdlife="n/a","n/a",IF(P$3&gt;(A27taxstdlife+$E419),(Input!$O$203-Input!$O$237)-SUM($O419:O419),(Input!$O$203-Input!$O$237)/A27taxstdlife))</f>
        <v>0</v>
      </c>
      <c r="Q419" s="73">
        <f>IF(A27taxstdlife="n/a","n/a",IF(Q$3&gt;(A27taxstdlife+$E419),(Input!$O$203-Input!$O$237)-SUM($O419:P419),(Input!$O$203-Input!$O$237)/A27taxstdlife))</f>
        <v>0</v>
      </c>
      <c r="R419" s="73"/>
      <c r="S419" s="107"/>
      <c r="T419" s="107"/>
      <c r="U419" s="107"/>
      <c r="V419" s="107"/>
      <c r="W419" s="107"/>
      <c r="X419" s="107"/>
      <c r="Y419" s="107"/>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01"/>
      <c r="BJ419" s="201"/>
      <c r="BK419" s="201"/>
      <c r="BL419" s="201"/>
      <c r="BM419" s="201"/>
      <c r="BN419" s="201"/>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537"/>
      <c r="E420" s="91">
        <v>9</v>
      </c>
      <c r="F420" s="27"/>
      <c r="G420" s="27"/>
      <c r="H420" s="150"/>
      <c r="I420" s="152"/>
      <c r="J420" s="152"/>
      <c r="K420" s="152"/>
      <c r="L420" s="152"/>
      <c r="M420" s="152"/>
      <c r="N420" s="152"/>
      <c r="O420" s="152"/>
      <c r="P420" s="151"/>
      <c r="Q420" s="73">
        <f>IF(A27taxstdlife="n/a","n/a",IF(Q$3&gt;(A27taxstdlife+$E420),(Input!$P$203-Input!$P$237)-SUM($P420:P420),(Input!$P$203-Input!$P$237)/A27taxstdlife))</f>
        <v>0</v>
      </c>
      <c r="R420" s="73"/>
      <c r="S420" s="107"/>
      <c r="T420" s="107"/>
      <c r="U420" s="107"/>
      <c r="V420" s="107"/>
      <c r="W420" s="107"/>
      <c r="X420" s="107"/>
      <c r="Y420" s="107"/>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01"/>
      <c r="BJ420" s="201"/>
      <c r="BK420" s="201"/>
      <c r="BL420" s="201"/>
      <c r="BM420" s="201"/>
      <c r="BN420" s="201"/>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537"/>
      <c r="E421" s="92">
        <v>10</v>
      </c>
      <c r="F421" s="27"/>
      <c r="G421" s="27"/>
      <c r="H421" s="150"/>
      <c r="I421" s="152"/>
      <c r="J421" s="152"/>
      <c r="K421" s="152"/>
      <c r="L421" s="152"/>
      <c r="M421" s="152"/>
      <c r="N421" s="152"/>
      <c r="O421" s="152"/>
      <c r="P421" s="152"/>
      <c r="Q421" s="151"/>
      <c r="R421" s="73"/>
      <c r="S421" s="107"/>
      <c r="T421" s="107"/>
      <c r="U421" s="107"/>
      <c r="V421" s="107"/>
      <c r="W421" s="107"/>
      <c r="X421" s="107"/>
      <c r="Y421" s="107"/>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01"/>
      <c r="BJ421" s="201"/>
      <c r="BK421" s="201"/>
      <c r="BL421" s="201"/>
      <c r="BM421" s="201"/>
      <c r="BN421" s="20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2">
        <f>Asset27</f>
        <v>0</v>
      </c>
      <c r="D422" s="9"/>
      <c r="E422" s="9"/>
      <c r="F422" s="23"/>
      <c r="G422" s="23"/>
      <c r="H422" s="298">
        <f>-SUM(H410:H421)</f>
        <v>0</v>
      </c>
      <c r="I422" s="165">
        <f>-SUM(I410:I421)</f>
        <v>0</v>
      </c>
      <c r="J422" s="165">
        <f>-SUM(J410:J421)</f>
        <v>0</v>
      </c>
      <c r="K422" s="165">
        <f>-SUM(K410:K421)</f>
        <v>0</v>
      </c>
      <c r="L422" s="165">
        <f>-SUM(L410:L421)</f>
        <v>0</v>
      </c>
      <c r="M422" s="165">
        <f>IF(COUNT($H422:L422)&gt;=Input!$Y$7,0, -SUM(M410:M421))</f>
        <v>0</v>
      </c>
      <c r="N422" s="165">
        <f>IF(COUNT($H422:M422)&gt;=Input!$Y$7,0, -SUM(N410:N421))</f>
        <v>0</v>
      </c>
      <c r="O422" s="165">
        <f>IF(COUNT($H422:N422)&gt;=Input!$Y$7,0, -SUM(O410:O421))</f>
        <v>0</v>
      </c>
      <c r="P422" s="165">
        <f>IF(COUNT($H422:O422)&gt;=Input!$Y$7,0, -SUM(P410:P421))</f>
        <v>0</v>
      </c>
      <c r="Q422" s="165">
        <f>IF(COUNT($H422:P422)&gt;=Input!$Y$7,0, -SUM(Q410:Q421))</f>
        <v>0</v>
      </c>
      <c r="R422" s="165"/>
      <c r="S422" s="106"/>
      <c r="T422" s="106"/>
      <c r="U422" s="106"/>
      <c r="V422" s="106"/>
      <c r="W422" s="106"/>
      <c r="X422" s="106"/>
      <c r="Y422" s="106"/>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01"/>
      <c r="BJ422" s="201"/>
      <c r="BK422" s="201"/>
      <c r="BL422" s="201"/>
      <c r="BM422" s="201"/>
      <c r="BN422" s="201"/>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73">
        <f>Asset28</f>
        <v>0</v>
      </c>
      <c r="C423" s="31"/>
      <c r="D423" s="32" t="s">
        <v>43</v>
      </c>
      <c r="E423" s="31"/>
      <c r="F423" s="301"/>
      <c r="G423" s="301"/>
      <c r="H423" s="72">
        <f>IF(H$3&gt;A28taxremlife,A28taxvalue-SUM($F423:F423),IF(A28taxremlife="N/A","n/a",A28taxvalue/A28taxremlife))</f>
        <v>0</v>
      </c>
      <c r="I423" s="72">
        <f>IF(I$3&gt;A28taxremlife,A28taxvalue-SUM($F423:H423),IF(A28taxremlife="N/A","n/a",A28taxvalue/A28taxremlife))</f>
        <v>0</v>
      </c>
      <c r="J423" s="72">
        <f>IF(J$3&gt;A28taxremlife,A28taxvalue-SUM($F423:I423),IF(A28taxremlife="N/A","n/a",A28taxvalue/A28taxremlife))</f>
        <v>0</v>
      </c>
      <c r="K423" s="72">
        <f>IF(K$3&gt;A28taxremlife,A28taxvalue-SUM($F423:J423),IF(A28taxremlife="N/A","n/a",A28taxvalue/A28taxremlife))</f>
        <v>0</v>
      </c>
      <c r="L423" s="72">
        <f>IF(L$3&gt;A28taxremlife,A28taxvalue-SUM($F423:K423),IF(A28taxremlife="N/A","n/a",A28taxvalue/A28taxremlife))</f>
        <v>0</v>
      </c>
      <c r="M423" s="72">
        <f>IF(M$3&gt;A28taxremlife,A28taxvalue-SUM($F423:L423),IF(A28taxremlife="N/A","n/a",A28taxvalue/A28taxremlife))</f>
        <v>0</v>
      </c>
      <c r="N423" s="72">
        <f>IF(N$3&gt;A28taxremlife,A28taxvalue-SUM($F423:M423),IF(A28taxremlife="N/A","n/a",A28taxvalue/A28taxremlife))</f>
        <v>0</v>
      </c>
      <c r="O423" s="72">
        <f>IF(O$3&gt;A28taxremlife,A28taxvalue-SUM($F423:N423),IF(A28taxremlife="N/A","n/a",A28taxvalue/A28taxremlife))</f>
        <v>0</v>
      </c>
      <c r="P423" s="72">
        <f>IF(P$3&gt;A28taxremlife,A28taxvalue-SUM($F423:O423),IF(A28taxremlife="N/A","n/a",A28taxvalue/A28taxremlife))</f>
        <v>0</v>
      </c>
      <c r="Q423" s="72">
        <f>IF(Q$3&gt;A28taxremlife,A28taxvalue-SUM($F423:P423),IF(A28taxremlife="N/A","n/a",A28taxvalue/A28taxremlife))</f>
        <v>0</v>
      </c>
      <c r="R423" s="72"/>
      <c r="S423" s="107"/>
      <c r="T423" s="107"/>
      <c r="U423" s="107"/>
      <c r="V423" s="107"/>
      <c r="W423" s="107"/>
      <c r="X423" s="107"/>
      <c r="Y423" s="107"/>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01"/>
      <c r="BJ423" s="201"/>
      <c r="BK423" s="201"/>
      <c r="BL423" s="201"/>
      <c r="BM423" s="201"/>
      <c r="BN423" s="201"/>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536" t="s">
        <v>59</v>
      </c>
      <c r="E424" s="91"/>
      <c r="F424" s="27"/>
      <c r="G424" s="27"/>
      <c r="H424" s="107"/>
      <c r="I424" s="73"/>
      <c r="J424" s="73"/>
      <c r="K424" s="73"/>
      <c r="L424" s="73"/>
      <c r="M424" s="73"/>
      <c r="N424" s="73"/>
      <c r="O424" s="73"/>
      <c r="P424" s="73"/>
      <c r="Q424" s="73"/>
      <c r="R424" s="73"/>
      <c r="S424" s="107"/>
      <c r="T424" s="107"/>
      <c r="U424" s="107"/>
      <c r="V424" s="107"/>
      <c r="W424" s="107"/>
      <c r="X424" s="107"/>
      <c r="Y424" s="107"/>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01"/>
      <c r="BJ424" s="201"/>
      <c r="BK424" s="201"/>
      <c r="BL424" s="201"/>
      <c r="BM424" s="201"/>
      <c r="BN424" s="201"/>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537"/>
      <c r="E425" s="91">
        <v>1</v>
      </c>
      <c r="F425" s="27"/>
      <c r="G425" s="27"/>
      <c r="H425" s="149"/>
      <c r="I425" s="73">
        <f>IF(A28taxstdlife="n/a","n/a",IF(I$3&gt;(A28taxstdlife+$E425),(Input!$H$204-Input!$H$238)-SUM($H425:H425),(Input!$H$204-Input!$H$238)/A28taxstdlife))</f>
        <v>0</v>
      </c>
      <c r="J425" s="73">
        <f>IF(A28taxstdlife="n/a","n/a",IF(J$3&gt;(A28taxstdlife+$E425),(Input!$H$204-Input!$H$238)-SUM($H425:I425),(Input!$H$204-Input!$H$238)/A28taxstdlife))</f>
        <v>0</v>
      </c>
      <c r="K425" s="73">
        <f>IF(A28taxstdlife="n/a","n/a",IF(K$3&gt;(A28taxstdlife+$E425),(Input!$H$204-Input!$H$238)-SUM($H425:J425),(Input!$H$204-Input!$H$238)/A28taxstdlife))</f>
        <v>0</v>
      </c>
      <c r="L425" s="73">
        <f>IF(A28taxstdlife="n/a","n/a",IF(L$3&gt;(A28taxstdlife+$E425),(Input!$H$204-Input!$H$238)-SUM($H425:K425),(Input!$H$204-Input!$H$238)/A28taxstdlife))</f>
        <v>0</v>
      </c>
      <c r="M425" s="73">
        <f>IF(A28taxstdlife="n/a","n/a",IF(M$3&gt;(A28taxstdlife+$E425),(Input!$H$204-Input!$H$238)-SUM($H425:L425),(Input!$H$204-Input!$H$238)/A28taxstdlife))</f>
        <v>0</v>
      </c>
      <c r="N425" s="73">
        <f>IF(A28taxstdlife="n/a","n/a",IF(N$3&gt;(A28taxstdlife+$E425),(Input!$H$204-Input!$H$238)-SUM($H425:M425),(Input!$H$204-Input!$H$238)/A28taxstdlife))</f>
        <v>0</v>
      </c>
      <c r="O425" s="73">
        <f>IF(A28taxstdlife="n/a","n/a",IF(O$3&gt;(A28taxstdlife+$E425),(Input!$H$204-Input!$H$238)-SUM($H425:N425),(Input!$H$204-Input!$H$238)/A28taxstdlife))</f>
        <v>0</v>
      </c>
      <c r="P425" s="73">
        <f>IF(A28taxstdlife="n/a","n/a",IF(P$3&gt;(A28taxstdlife+$E425),(Input!$H$204-Input!$H$238)-SUM($H425:O425),(Input!$H$204-Input!$H$238)/A28taxstdlife))</f>
        <v>0</v>
      </c>
      <c r="Q425" s="73">
        <f>IF(A28taxstdlife="n/a","n/a",IF(Q$3&gt;(A28taxstdlife+$E425),(Input!$H$204-Input!$H$238)-SUM($H425:P425),(Input!$H$204-Input!$H$238)/A28taxstdlife))</f>
        <v>0</v>
      </c>
      <c r="R425" s="73"/>
      <c r="S425" s="107"/>
      <c r="T425" s="107"/>
      <c r="U425" s="107"/>
      <c r="V425" s="107"/>
      <c r="W425" s="107"/>
      <c r="X425" s="107"/>
      <c r="Y425" s="107"/>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01"/>
      <c r="BJ425" s="201"/>
      <c r="BK425" s="201"/>
      <c r="BL425" s="201"/>
      <c r="BM425" s="201"/>
      <c r="BN425" s="201"/>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537"/>
      <c r="E426" s="91">
        <v>2</v>
      </c>
      <c r="F426" s="27"/>
      <c r="G426" s="27"/>
      <c r="H426" s="150"/>
      <c r="I426" s="151"/>
      <c r="J426" s="73">
        <f>IF(A28taxstdlife="n/a","n/a",IF(J$3&gt;(A28taxstdlife+$E426),(Input!$I$204-Input!$I$238)-SUM($I426:I426),(Input!$I$204-Input!$I$238)/A28taxstdlife))</f>
        <v>0</v>
      </c>
      <c r="K426" s="73">
        <f>IF(A28taxstdlife="n/a","n/a",IF(K$3&gt;(A28taxstdlife+$E426),(Input!$I$204-Input!$I$238)-SUM($I426:J426),(Input!$I$204-Input!$I$238)/A28taxstdlife))</f>
        <v>0</v>
      </c>
      <c r="L426" s="73">
        <f>IF(A28taxstdlife="n/a","n/a",IF(L$3&gt;(A28taxstdlife+$E426),(Input!$I$204-Input!$I$238)-SUM($I426:K426),(Input!$I$204-Input!$I$238)/A28taxstdlife))</f>
        <v>0</v>
      </c>
      <c r="M426" s="73">
        <f>IF(A28taxstdlife="n/a","n/a",IF(M$3&gt;(A28taxstdlife+$E426),(Input!$I$204-Input!$I$238)-SUM($I426:L426),(Input!$I$204-Input!$I$238)/A28taxstdlife))</f>
        <v>0</v>
      </c>
      <c r="N426" s="73">
        <f>IF(A28taxstdlife="n/a","n/a",IF(N$3&gt;(A28taxstdlife+$E426),(Input!$I$204-Input!$I$238)-SUM($I426:M426),(Input!$I$204-Input!$I$238)/A28taxstdlife))</f>
        <v>0</v>
      </c>
      <c r="O426" s="73">
        <f>IF(A28taxstdlife="n/a","n/a",IF(O$3&gt;(A28taxstdlife+$E426),(Input!$I$204-Input!$I$238)-SUM($I426:N426),(Input!$I$204-Input!$I$238)/A28taxstdlife))</f>
        <v>0</v>
      </c>
      <c r="P426" s="73">
        <f>IF(A28taxstdlife="n/a","n/a",IF(P$3&gt;(A28taxstdlife+$E426),(Input!$I$204-Input!$I$238)-SUM($I426:O426),(Input!$I$204-Input!$I$238)/A28taxstdlife))</f>
        <v>0</v>
      </c>
      <c r="Q426" s="73">
        <f>IF(A28taxstdlife="n/a","n/a",IF(Q$3&gt;(A28taxstdlife+$E426),(Input!$I$204-Input!$I$238)-SUM($I426:P426),(Input!$I$204-Input!$I$238)/A28taxstdlife))</f>
        <v>0</v>
      </c>
      <c r="R426" s="73"/>
      <c r="S426" s="107"/>
      <c r="T426" s="107"/>
      <c r="U426" s="107"/>
      <c r="V426" s="107"/>
      <c r="W426" s="107"/>
      <c r="X426" s="107"/>
      <c r="Y426" s="107"/>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01"/>
      <c r="BJ426" s="201"/>
      <c r="BK426" s="201"/>
      <c r="BL426" s="201"/>
      <c r="BM426" s="201"/>
      <c r="BN426" s="201"/>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537"/>
      <c r="E427" s="91">
        <v>3</v>
      </c>
      <c r="F427" s="27"/>
      <c r="G427" s="27"/>
      <c r="H427" s="150"/>
      <c r="I427" s="152"/>
      <c r="J427" s="151"/>
      <c r="K427" s="73">
        <f>IF(A28taxstdlife="n/a","n/a",IF(K$3&gt;(A28taxstdlife+$E427),(Input!$J$204-Input!$J$238)-SUM($J427:J427),(Input!$J$204-Input!$J$238)/A28taxstdlife))</f>
        <v>0</v>
      </c>
      <c r="L427" s="73">
        <f>IF(A28taxstdlife="n/a","n/a",IF(L$3&gt;(A28taxstdlife+$E427),(Input!$J$204-Input!$J$238)-SUM($J427:K427),(Input!$J$204-Input!$J$238)/A28taxstdlife))</f>
        <v>0</v>
      </c>
      <c r="M427" s="73">
        <f>IF(A28taxstdlife="n/a","n/a",IF(M$3&gt;(A28taxstdlife+$E427),(Input!$J$204-Input!$J$238)-SUM($J427:L427),(Input!$J$204-Input!$J$238)/A28taxstdlife))</f>
        <v>0</v>
      </c>
      <c r="N427" s="73">
        <f>IF(A28taxstdlife="n/a","n/a",IF(N$3&gt;(A28taxstdlife+$E427),(Input!$J$204-Input!$J$238)-SUM($J427:M427),(Input!$J$204-Input!$J$238)/A28taxstdlife))</f>
        <v>0</v>
      </c>
      <c r="O427" s="73">
        <f>IF(A28taxstdlife="n/a","n/a",IF(O$3&gt;(A28taxstdlife+$E427),(Input!$J$204-Input!$J$238)-SUM($J427:N427),(Input!$J$204-Input!$J$238)/A28taxstdlife))</f>
        <v>0</v>
      </c>
      <c r="P427" s="73">
        <f>IF(A28taxstdlife="n/a","n/a",IF(P$3&gt;(A28taxstdlife+$E427),(Input!$J$204-Input!$J$238)-SUM($J427:O427),(Input!$J$204-Input!$J$238)/A28taxstdlife))</f>
        <v>0</v>
      </c>
      <c r="Q427" s="73">
        <f>IF(A28taxstdlife="n/a","n/a",IF(Q$3&gt;(A28taxstdlife+$E427),(Input!$J$204-Input!$J$238)-SUM($J427:P427),(Input!$J$204-Input!$J$238)/A28taxstdlife))</f>
        <v>0</v>
      </c>
      <c r="R427" s="73"/>
      <c r="S427" s="107"/>
      <c r="T427" s="107"/>
      <c r="U427" s="107"/>
      <c r="V427" s="107"/>
      <c r="W427" s="107"/>
      <c r="X427" s="107"/>
      <c r="Y427" s="107"/>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2"/>
      <c r="BJ427" s="201"/>
      <c r="BK427" s="201"/>
      <c r="BL427" s="201"/>
      <c r="BM427" s="201"/>
      <c r="BN427" s="201"/>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537"/>
      <c r="E428" s="91">
        <v>4</v>
      </c>
      <c r="F428" s="27"/>
      <c r="G428" s="27"/>
      <c r="H428" s="150"/>
      <c r="I428" s="152"/>
      <c r="J428" s="152"/>
      <c r="K428" s="151"/>
      <c r="L428" s="73">
        <f>IF(A28taxstdlife="n/a","n/a",IF(L$3&gt;(A28taxstdlife+$E428),(Input!$K$204-Input!$K$238)-SUM($K428:K428),(Input!$K$204-Input!$K$238)/A28taxstdlife))</f>
        <v>0</v>
      </c>
      <c r="M428" s="73">
        <f>IF(A28taxstdlife="n/a","n/a",IF(M$3&gt;(A28taxstdlife+$E428),(Input!$K$204-Input!$K$238)-SUM($K428:L428),(Input!$K$204-Input!$K$238)/A28taxstdlife))</f>
        <v>0</v>
      </c>
      <c r="N428" s="73">
        <f>IF(A28taxstdlife="n/a","n/a",IF(N$3&gt;(A28taxstdlife+$E428),(Input!$K$204-Input!$K$238)-SUM($K428:M428),(Input!$K$204-Input!$K$238)/A28taxstdlife))</f>
        <v>0</v>
      </c>
      <c r="O428" s="73">
        <f>IF(A28taxstdlife="n/a","n/a",IF(O$3&gt;(A28taxstdlife+$E428),(Input!$K$204-Input!$K$238)-SUM($K428:N428),(Input!$K$204-Input!$K$238)/A28taxstdlife))</f>
        <v>0</v>
      </c>
      <c r="P428" s="73">
        <f>IF(A28taxstdlife="n/a","n/a",IF(P$3&gt;(A28taxstdlife+$E428),(Input!$K$204-Input!$K$238)-SUM($K428:O428),(Input!$K$204-Input!$K$238)/A28taxstdlife))</f>
        <v>0</v>
      </c>
      <c r="Q428" s="73">
        <f>IF(A28taxstdlife="n/a","n/a",IF(Q$3&gt;(A28taxstdlife+$E428),(Input!$K$204-Input!$K$238)-SUM($K428:P428),(Input!$K$204-Input!$K$238)/A28taxstdlife))</f>
        <v>0</v>
      </c>
      <c r="R428" s="73"/>
      <c r="S428" s="107"/>
      <c r="T428" s="107"/>
      <c r="U428" s="107"/>
      <c r="V428" s="107"/>
      <c r="W428" s="107"/>
      <c r="X428" s="107"/>
      <c r="Y428" s="107"/>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01"/>
      <c r="BJ428" s="201"/>
      <c r="BK428" s="201"/>
      <c r="BL428" s="201"/>
      <c r="BM428" s="201"/>
      <c r="BN428" s="201"/>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537"/>
      <c r="E429" s="91">
        <v>5</v>
      </c>
      <c r="F429" s="27"/>
      <c r="G429" s="27"/>
      <c r="H429" s="150"/>
      <c r="I429" s="152"/>
      <c r="J429" s="152"/>
      <c r="K429" s="152"/>
      <c r="L429" s="151"/>
      <c r="M429" s="73">
        <f>IF(A28taxstdlife="n/a","n/a",IF(M$3&gt;(A28taxstdlife+$E429),(Input!$L$204-Input!$L$238)-SUM($L429:L429),(Input!$L$204-Input!$L$238)/A28taxstdlife))</f>
        <v>0</v>
      </c>
      <c r="N429" s="73">
        <f>IF(A28taxstdlife="n/a","n/a",IF(N$3&gt;(A28taxstdlife+$E429),(Input!$L$204-Input!$L$238)-SUM($L429:M429),(Input!$L$204-Input!$L$238)/A28taxstdlife))</f>
        <v>0</v>
      </c>
      <c r="O429" s="73">
        <f>IF(A28taxstdlife="n/a","n/a",IF(O$3&gt;(A28taxstdlife+$E429),(Input!$L$204-Input!$L$238)-SUM($L429:N429),(Input!$L$204-Input!$L$238)/A28taxstdlife))</f>
        <v>0</v>
      </c>
      <c r="P429" s="73">
        <f>IF(A28taxstdlife="n/a","n/a",IF(P$3&gt;(A28taxstdlife+$E429),(Input!$L$204-Input!$L$238)-SUM($L429:O429),(Input!$L$204-Input!$L$238)/A28taxstdlife))</f>
        <v>0</v>
      </c>
      <c r="Q429" s="73">
        <f>IF(A28taxstdlife="n/a","n/a",IF(Q$3&gt;(A28taxstdlife+$E429),(Input!$L$204-Input!$L$238)-SUM($L429:P429),(Input!$L$204-Input!$L$238)/A28taxstdlife))</f>
        <v>0</v>
      </c>
      <c r="R429" s="73"/>
      <c r="S429" s="107"/>
      <c r="T429" s="107"/>
      <c r="U429" s="107"/>
      <c r="V429" s="107"/>
      <c r="W429" s="107"/>
      <c r="X429" s="107"/>
      <c r="Y429" s="107"/>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01"/>
      <c r="BJ429" s="201"/>
      <c r="BK429" s="201"/>
      <c r="BL429" s="201"/>
      <c r="BM429" s="201"/>
      <c r="BN429" s="201"/>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537"/>
      <c r="E430" s="91">
        <v>6</v>
      </c>
      <c r="F430" s="27"/>
      <c r="G430" s="27"/>
      <c r="H430" s="150"/>
      <c r="I430" s="152"/>
      <c r="J430" s="152"/>
      <c r="K430" s="152"/>
      <c r="L430" s="152"/>
      <c r="M430" s="151"/>
      <c r="N430" s="73">
        <f>IF(A28taxstdlife="n/a","n/a",IF(N$3&gt;(A28taxstdlife+$E430),(Input!$M$204-Input!$M$238)-SUM($M430:M430),(Input!$M$204-Input!$M$238)/A28taxstdlife))</f>
        <v>0</v>
      </c>
      <c r="O430" s="73">
        <f>IF(A28taxstdlife="n/a","n/a",IF(O$3&gt;(A28taxstdlife+$E430),(Input!$M$204-Input!$M$238)-SUM($M430:N430),(Input!$M$204-Input!$M$238)/A28taxstdlife))</f>
        <v>0</v>
      </c>
      <c r="P430" s="73">
        <f>IF(A28taxstdlife="n/a","n/a",IF(P$3&gt;(A28taxstdlife+$E430),(Input!$M$204-Input!$M$238)-SUM($M430:O430),(Input!$M$204-Input!$M$238)/A28taxstdlife))</f>
        <v>0</v>
      </c>
      <c r="Q430" s="73">
        <f>IF(A28taxstdlife="n/a","n/a",IF(Q$3&gt;(A28taxstdlife+$E430),(Input!$M$204-Input!$M$238)-SUM($M430:P430),(Input!$M$204-Input!$M$238)/A28taxstdlife))</f>
        <v>0</v>
      </c>
      <c r="R430" s="73"/>
      <c r="S430" s="107"/>
      <c r="T430" s="107"/>
      <c r="U430" s="107"/>
      <c r="V430" s="107"/>
      <c r="W430" s="107"/>
      <c r="X430" s="107"/>
      <c r="Y430" s="107"/>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01"/>
      <c r="BJ430" s="201"/>
      <c r="BK430" s="201"/>
      <c r="BL430" s="201"/>
      <c r="BM430" s="201"/>
      <c r="BN430" s="201"/>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537"/>
      <c r="E431" s="91">
        <v>7</v>
      </c>
      <c r="F431" s="27"/>
      <c r="G431" s="27"/>
      <c r="H431" s="150"/>
      <c r="I431" s="152"/>
      <c r="J431" s="152"/>
      <c r="K431" s="152"/>
      <c r="L431" s="152"/>
      <c r="M431" s="152"/>
      <c r="N431" s="151"/>
      <c r="O431" s="73">
        <f>IF(A28taxstdlife="n/a","n/a",IF(O$3&gt;(A28taxstdlife+$E431),(Input!$N$204-Input!$N$238)-SUM($N431:N431),(Input!$N$204-Input!$N$238)/A28taxstdlife))</f>
        <v>0</v>
      </c>
      <c r="P431" s="73">
        <f>IF(A28taxstdlife="n/a","n/a",IF(P$3&gt;(A28taxstdlife+$E431),(Input!$N$204-Input!$N$238)-SUM($N431:O431),(Input!$N$204-Input!$N$238)/A28taxstdlife))</f>
        <v>0</v>
      </c>
      <c r="Q431" s="73">
        <f>IF(A28taxstdlife="n/a","n/a",IF(Q$3&gt;(A28taxstdlife+$E431),(Input!$N$204-Input!$N$238)-SUM($N431:P431),(Input!$N$204-Input!$N$238)/A28taxstdlife))</f>
        <v>0</v>
      </c>
      <c r="R431" s="73"/>
      <c r="S431" s="107"/>
      <c r="T431" s="107"/>
      <c r="U431" s="107"/>
      <c r="V431" s="107"/>
      <c r="W431" s="107"/>
      <c r="X431" s="107"/>
      <c r="Y431" s="107"/>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01"/>
      <c r="BJ431" s="201"/>
      <c r="BK431" s="201"/>
      <c r="BL431" s="201"/>
      <c r="BM431" s="201"/>
      <c r="BN431" s="20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537"/>
      <c r="E432" s="91">
        <v>8</v>
      </c>
      <c r="F432" s="27"/>
      <c r="G432" s="27"/>
      <c r="H432" s="150"/>
      <c r="I432" s="152"/>
      <c r="J432" s="152"/>
      <c r="K432" s="152"/>
      <c r="L432" s="152"/>
      <c r="M432" s="152"/>
      <c r="N432" s="152"/>
      <c r="O432" s="151"/>
      <c r="P432" s="73">
        <f>IF(A28taxstdlife="n/a","n/a",IF(P$3&gt;(A28taxstdlife+$E432),(Input!$O$204-Input!$O$238)-SUM($O432:O432),(Input!$O$204-Input!$O$238)/A28taxstdlife))</f>
        <v>0</v>
      </c>
      <c r="Q432" s="73">
        <f>IF(A28taxstdlife="n/a","n/a",IF(Q$3&gt;(A28taxstdlife+$E432),(Input!$O$204-Input!$O$238)-SUM($O432:P432),(Input!$O$204-Input!$O$238)/A28taxstdlife))</f>
        <v>0</v>
      </c>
      <c r="R432" s="73"/>
      <c r="S432" s="107"/>
      <c r="T432" s="107"/>
      <c r="U432" s="107"/>
      <c r="V432" s="107"/>
      <c r="W432" s="107"/>
      <c r="X432" s="107"/>
      <c r="Y432" s="107"/>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01"/>
      <c r="BJ432" s="201"/>
      <c r="BK432" s="201"/>
      <c r="BL432" s="201"/>
      <c r="BM432" s="201"/>
      <c r="BN432" s="201"/>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537"/>
      <c r="E433" s="91">
        <v>9</v>
      </c>
      <c r="F433" s="27"/>
      <c r="G433" s="27"/>
      <c r="H433" s="150"/>
      <c r="I433" s="152"/>
      <c r="J433" s="152"/>
      <c r="K433" s="152"/>
      <c r="L433" s="152"/>
      <c r="M433" s="152"/>
      <c r="N433" s="152"/>
      <c r="O433" s="152"/>
      <c r="P433" s="151"/>
      <c r="Q433" s="73">
        <f>IF(A28taxstdlife="n/a","n/a",IF(Q$3&gt;(A28taxstdlife+$E433),(Input!$P$204-Input!$P$238)-SUM($P433:P433),(Input!$P$204-Input!$P$238)/A28taxstdlife))</f>
        <v>0</v>
      </c>
      <c r="R433" s="73"/>
      <c r="S433" s="107"/>
      <c r="T433" s="107"/>
      <c r="U433" s="107"/>
      <c r="V433" s="107"/>
      <c r="W433" s="107"/>
      <c r="X433" s="107"/>
      <c r="Y433" s="107"/>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01"/>
      <c r="BJ433" s="201"/>
      <c r="BK433" s="201"/>
      <c r="BL433" s="201"/>
      <c r="BM433" s="201"/>
      <c r="BN433" s="201"/>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537"/>
      <c r="E434" s="92">
        <v>10</v>
      </c>
      <c r="F434" s="27"/>
      <c r="G434" s="27"/>
      <c r="H434" s="150"/>
      <c r="I434" s="152"/>
      <c r="J434" s="152"/>
      <c r="K434" s="152"/>
      <c r="L434" s="152"/>
      <c r="M434" s="152"/>
      <c r="N434" s="152"/>
      <c r="O434" s="152"/>
      <c r="P434" s="152"/>
      <c r="Q434" s="151"/>
      <c r="R434" s="73"/>
      <c r="S434" s="107"/>
      <c r="T434" s="107"/>
      <c r="U434" s="107"/>
      <c r="V434" s="107"/>
      <c r="W434" s="107"/>
      <c r="X434" s="107"/>
      <c r="Y434" s="107"/>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01"/>
      <c r="BJ434" s="201"/>
      <c r="BK434" s="201"/>
      <c r="BL434" s="201"/>
      <c r="BM434" s="201"/>
      <c r="BN434" s="201"/>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2">
        <f>Asset28</f>
        <v>0</v>
      </c>
      <c r="D435" s="9"/>
      <c r="E435" s="9"/>
      <c r="F435" s="23"/>
      <c r="G435" s="23"/>
      <c r="H435" s="298">
        <f>-SUM(H423:H434)</f>
        <v>0</v>
      </c>
      <c r="I435" s="165">
        <f>-SUM(I423:I434)</f>
        <v>0</v>
      </c>
      <c r="J435" s="165">
        <f>-SUM(J423:J434)</f>
        <v>0</v>
      </c>
      <c r="K435" s="165">
        <f>-SUM(K423:K434)</f>
        <v>0</v>
      </c>
      <c r="L435" s="165">
        <f>-SUM(L423:L434)</f>
        <v>0</v>
      </c>
      <c r="M435" s="165">
        <f>IF(COUNT($H435:L435)&gt;=Input!$Y$7,0, -SUM(M423:M434))</f>
        <v>0</v>
      </c>
      <c r="N435" s="165">
        <f>IF(COUNT($H435:M435)&gt;=Input!$Y$7,0, -SUM(N423:N434))</f>
        <v>0</v>
      </c>
      <c r="O435" s="165">
        <f>IF(COUNT($H435:N435)&gt;=Input!$Y$7,0, -SUM(O423:O434))</f>
        <v>0</v>
      </c>
      <c r="P435" s="165">
        <f>IF(COUNT($H435:O435)&gt;=Input!$Y$7,0, -SUM(P423:P434))</f>
        <v>0</v>
      </c>
      <c r="Q435" s="165">
        <f>IF(COUNT($H435:P435)&gt;=Input!$Y$7,0, -SUM(Q423:Q434))</f>
        <v>0</v>
      </c>
      <c r="R435" s="165"/>
      <c r="S435" s="106"/>
      <c r="T435" s="106"/>
      <c r="U435" s="106"/>
      <c r="V435" s="106"/>
      <c r="W435" s="106"/>
      <c r="X435" s="106"/>
      <c r="Y435" s="106"/>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01"/>
      <c r="BJ435" s="201"/>
      <c r="BK435" s="201"/>
      <c r="BL435" s="201"/>
      <c r="BM435" s="201"/>
      <c r="BN435" s="201"/>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73">
        <f>Asset29</f>
        <v>0</v>
      </c>
      <c r="C436" s="31"/>
      <c r="D436" s="32" t="s">
        <v>43</v>
      </c>
      <c r="E436" s="31"/>
      <c r="F436" s="301"/>
      <c r="G436" s="301"/>
      <c r="H436" s="72">
        <f>IF(H$3&gt;A29taxremlife,A29taxvalue-SUM($F436:F436),IF(A29taxremlife="N/A","n/a",A29taxvalue/A29taxremlife))</f>
        <v>0</v>
      </c>
      <c r="I436" s="72">
        <f>IF(I$3&gt;A29taxremlife,A29taxvalue-SUM($F436:H436),IF(A29taxremlife="N/A","n/a",A29taxvalue/A29taxremlife))</f>
        <v>0</v>
      </c>
      <c r="J436" s="72">
        <f>IF(J$3&gt;A29taxremlife,A29taxvalue-SUM($F436:I436),IF(A29taxremlife="N/A","n/a",A29taxvalue/A29taxremlife))</f>
        <v>0</v>
      </c>
      <c r="K436" s="72">
        <f>IF(K$3&gt;A29taxremlife,A29taxvalue-SUM($F436:J436),IF(A29taxremlife="N/A","n/a",A29taxvalue/A29taxremlife))</f>
        <v>0</v>
      </c>
      <c r="L436" s="72">
        <f>IF(L$3&gt;A29taxremlife,A29taxvalue-SUM($F436:K436),IF(A29taxremlife="N/A","n/a",A29taxvalue/A29taxremlife))</f>
        <v>0</v>
      </c>
      <c r="M436" s="72">
        <f>IF(M$3&gt;A29taxremlife,A29taxvalue-SUM($F436:L436),IF(A29taxremlife="N/A","n/a",A29taxvalue/A29taxremlife))</f>
        <v>0</v>
      </c>
      <c r="N436" s="72">
        <f>IF(N$3&gt;A29taxremlife,A29taxvalue-SUM($F436:M436),IF(A29taxremlife="N/A","n/a",A29taxvalue/A29taxremlife))</f>
        <v>0</v>
      </c>
      <c r="O436" s="72">
        <f>IF(O$3&gt;A29taxremlife,A29taxvalue-SUM($F436:N436),IF(A29taxremlife="N/A","n/a",A29taxvalue/A29taxremlife))</f>
        <v>0</v>
      </c>
      <c r="P436" s="72">
        <f>IF(P$3&gt;A29taxremlife,A29taxvalue-SUM($F436:O436),IF(A29taxremlife="N/A","n/a",A29taxvalue/A29taxremlife))</f>
        <v>0</v>
      </c>
      <c r="Q436" s="72">
        <f>IF(Q$3&gt;A29taxremlife,A29taxvalue-SUM($F436:P436),IF(A29taxremlife="N/A","n/a",A29taxvalue/A29taxremlife))</f>
        <v>0</v>
      </c>
      <c r="R436" s="72"/>
      <c r="S436" s="107"/>
      <c r="T436" s="107"/>
      <c r="U436" s="107"/>
      <c r="V436" s="107"/>
      <c r="W436" s="107"/>
      <c r="X436" s="107"/>
      <c r="Y436" s="107"/>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01"/>
      <c r="BJ436" s="201"/>
      <c r="BK436" s="201"/>
      <c r="BL436" s="201"/>
      <c r="BM436" s="201"/>
      <c r="BN436" s="201"/>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536" t="s">
        <v>59</v>
      </c>
      <c r="E437" s="91"/>
      <c r="F437" s="27"/>
      <c r="G437" s="27"/>
      <c r="H437" s="107"/>
      <c r="I437" s="73"/>
      <c r="J437" s="73"/>
      <c r="K437" s="73"/>
      <c r="L437" s="73"/>
      <c r="M437" s="73"/>
      <c r="N437" s="73"/>
      <c r="O437" s="73"/>
      <c r="P437" s="73"/>
      <c r="Q437" s="73"/>
      <c r="R437" s="73"/>
      <c r="S437" s="107"/>
      <c r="T437" s="107"/>
      <c r="U437" s="107"/>
      <c r="V437" s="107"/>
      <c r="W437" s="107"/>
      <c r="X437" s="107"/>
      <c r="Y437" s="107"/>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01"/>
      <c r="BJ437" s="201"/>
      <c r="BK437" s="201"/>
      <c r="BL437" s="201"/>
      <c r="BM437" s="201"/>
      <c r="BN437" s="201"/>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537"/>
      <c r="E438" s="91">
        <v>1</v>
      </c>
      <c r="F438" s="27"/>
      <c r="G438" s="27"/>
      <c r="H438" s="149"/>
      <c r="I438" s="73">
        <f>IF(A29taxstdlife="n/a","n/a",IF(I$3&gt;(A29taxstdlife+$E438),(Input!$H$205-Input!$H$239)-SUM($H438:H438),(Input!$H$205-Input!$H$239)/A29taxstdlife))</f>
        <v>0</v>
      </c>
      <c r="J438" s="73">
        <f>IF(A29taxstdlife="n/a","n/a",IF(J$3&gt;(A29taxstdlife+$E438),(Input!$H$205-Input!$H$239)-SUM($H438:I438),(Input!$H$205-Input!$H$239)/A29taxstdlife))</f>
        <v>0</v>
      </c>
      <c r="K438" s="73">
        <f>IF(A29taxstdlife="n/a","n/a",IF(K$3&gt;(A29taxstdlife+$E438),(Input!$H$205-Input!$H$239)-SUM($H438:J438),(Input!$H$205-Input!$H$239)/A29taxstdlife))</f>
        <v>0</v>
      </c>
      <c r="L438" s="73">
        <f>IF(A29taxstdlife="n/a","n/a",IF(L$3&gt;(A29taxstdlife+$E438),(Input!$H$205-Input!$H$239)-SUM($H438:K438),(Input!$H$205-Input!$H$239)/A29taxstdlife))</f>
        <v>0</v>
      </c>
      <c r="M438" s="73">
        <f>IF(A29taxstdlife="n/a","n/a",IF(M$3&gt;(A29taxstdlife+$E438),(Input!$H$205-Input!$H$239)-SUM($H438:L438),(Input!$H$205-Input!$H$239)/A29taxstdlife))</f>
        <v>0</v>
      </c>
      <c r="N438" s="73">
        <f>IF(A29taxstdlife="n/a","n/a",IF(N$3&gt;(A29taxstdlife+$E438),(Input!$H$205-Input!$H$239)-SUM($H438:M438),(Input!$H$205-Input!$H$239)/A29taxstdlife))</f>
        <v>0</v>
      </c>
      <c r="O438" s="73">
        <f>IF(A29taxstdlife="n/a","n/a",IF(O$3&gt;(A29taxstdlife+$E438),(Input!$H$205-Input!$H$239)-SUM($H438:N438),(Input!$H$205-Input!$H$239)/A29taxstdlife))</f>
        <v>0</v>
      </c>
      <c r="P438" s="73">
        <f>IF(A29taxstdlife="n/a","n/a",IF(P$3&gt;(A29taxstdlife+$E438),(Input!$H$205-Input!$H$239)-SUM($H438:O438),(Input!$H$205-Input!$H$239)/A29taxstdlife))</f>
        <v>0</v>
      </c>
      <c r="Q438" s="73">
        <f>IF(A29taxstdlife="n/a","n/a",IF(Q$3&gt;(A29taxstdlife+$E438),(Input!$H$205-Input!$H$239)-SUM($H438:P438),(Input!$H$205-Input!$H$239)/A29taxstdlife))</f>
        <v>0</v>
      </c>
      <c r="R438" s="73"/>
      <c r="S438" s="107"/>
      <c r="T438" s="107"/>
      <c r="U438" s="107"/>
      <c r="V438" s="107"/>
      <c r="W438" s="107"/>
      <c r="X438" s="107"/>
      <c r="Y438" s="107"/>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01"/>
      <c r="BJ438" s="201"/>
      <c r="BK438" s="201"/>
      <c r="BL438" s="201"/>
      <c r="BM438" s="201"/>
      <c r="BN438" s="201"/>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537"/>
      <c r="E439" s="91">
        <v>2</v>
      </c>
      <c r="F439" s="27"/>
      <c r="G439" s="27"/>
      <c r="H439" s="150"/>
      <c r="I439" s="151"/>
      <c r="J439" s="73">
        <f>IF(A29taxstdlife="n/a","n/a",IF(J$3&gt;(A29taxstdlife+$E439),(Input!$I$205-Input!$I$239)-SUM($I439:I439),(Input!$I$205-Input!$I$239)/A29taxstdlife))</f>
        <v>0</v>
      </c>
      <c r="K439" s="73">
        <f>IF(A29taxstdlife="n/a","n/a",IF(K$3&gt;(A29taxstdlife+$E439),(Input!$I$205-Input!$I$239)-SUM($I439:J439),(Input!$I$205-Input!$I$239)/A29taxstdlife))</f>
        <v>0</v>
      </c>
      <c r="L439" s="73">
        <f>IF(A29taxstdlife="n/a","n/a",IF(L$3&gt;(A29taxstdlife+$E439),(Input!$I$205-Input!$I$239)-SUM($I439:K439),(Input!$I$205-Input!$I$239)/A29taxstdlife))</f>
        <v>0</v>
      </c>
      <c r="M439" s="73">
        <f>IF(A29taxstdlife="n/a","n/a",IF(M$3&gt;(A29taxstdlife+$E439),(Input!$I$205-Input!$I$239)-SUM($I439:L439),(Input!$I$205-Input!$I$239)/A29taxstdlife))</f>
        <v>0</v>
      </c>
      <c r="N439" s="73">
        <f>IF(A29taxstdlife="n/a","n/a",IF(N$3&gt;(A29taxstdlife+$E439),(Input!$I$205-Input!$I$239)-SUM($I439:M439),(Input!$I$205-Input!$I$239)/A29taxstdlife))</f>
        <v>0</v>
      </c>
      <c r="O439" s="73">
        <f>IF(A29taxstdlife="n/a","n/a",IF(O$3&gt;(A29taxstdlife+$E439),(Input!$I$205-Input!$I$239)-SUM($I439:N439),(Input!$I$205-Input!$I$239)/A29taxstdlife))</f>
        <v>0</v>
      </c>
      <c r="P439" s="73">
        <f>IF(A29taxstdlife="n/a","n/a",IF(P$3&gt;(A29taxstdlife+$E439),(Input!$I$205-Input!$I$239)-SUM($I439:O439),(Input!$I$205-Input!$I$239)/A29taxstdlife))</f>
        <v>0</v>
      </c>
      <c r="Q439" s="73">
        <f>IF(A29taxstdlife="n/a","n/a",IF(Q$3&gt;(A29taxstdlife+$E439),(Input!$I$205-Input!$I$239)-SUM($I439:P439),(Input!$I$205-Input!$I$239)/A29taxstdlife))</f>
        <v>0</v>
      </c>
      <c r="R439" s="73"/>
      <c r="S439" s="107"/>
      <c r="T439" s="107"/>
      <c r="U439" s="107"/>
      <c r="V439" s="107"/>
      <c r="W439" s="107"/>
      <c r="X439" s="107"/>
      <c r="Y439" s="107"/>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01"/>
      <c r="BJ439" s="201"/>
      <c r="BK439" s="201"/>
      <c r="BL439" s="201"/>
      <c r="BM439" s="201"/>
      <c r="BN439" s="201"/>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537"/>
      <c r="E440" s="91">
        <v>3</v>
      </c>
      <c r="F440" s="27"/>
      <c r="G440" s="27"/>
      <c r="H440" s="150"/>
      <c r="I440" s="152"/>
      <c r="J440" s="151"/>
      <c r="K440" s="73">
        <f>IF(A29taxstdlife="n/a","n/a",IF(K$3&gt;(A29taxstdlife+$E440),(Input!$J$205-Input!$J$239)-SUM($J440:J440),(Input!$J$205-Input!$J$239)/A29taxstdlife))</f>
        <v>0</v>
      </c>
      <c r="L440" s="73">
        <f>IF(A29taxstdlife="n/a","n/a",IF(L$3&gt;(A29taxstdlife+$E440),(Input!$J$205-Input!$J$239)-SUM($J440:K440),(Input!$J$205-Input!$J$239)/A29taxstdlife))</f>
        <v>0</v>
      </c>
      <c r="M440" s="73">
        <f>IF(A29taxstdlife="n/a","n/a",IF(M$3&gt;(A29taxstdlife+$E440),(Input!$J$205-Input!$J$239)-SUM($J440:L440),(Input!$J$205-Input!$J$239)/A29taxstdlife))</f>
        <v>0</v>
      </c>
      <c r="N440" s="73">
        <f>IF(A29taxstdlife="n/a","n/a",IF(N$3&gt;(A29taxstdlife+$E440),(Input!$J$205-Input!$J$239)-SUM($J440:M440),(Input!$J$205-Input!$J$239)/A29taxstdlife))</f>
        <v>0</v>
      </c>
      <c r="O440" s="73">
        <f>IF(A29taxstdlife="n/a","n/a",IF(O$3&gt;(A29taxstdlife+$E440),(Input!$J$205-Input!$J$239)-SUM($J440:N440),(Input!$J$205-Input!$J$239)/A29taxstdlife))</f>
        <v>0</v>
      </c>
      <c r="P440" s="73">
        <f>IF(A29taxstdlife="n/a","n/a",IF(P$3&gt;(A29taxstdlife+$E440),(Input!$J$205-Input!$J$239)-SUM($J440:O440),(Input!$J$205-Input!$J$239)/A29taxstdlife))</f>
        <v>0</v>
      </c>
      <c r="Q440" s="73">
        <f>IF(A29taxstdlife="n/a","n/a",IF(Q$3&gt;(A29taxstdlife+$E440),(Input!$J$205-Input!$J$239)-SUM($J440:P440),(Input!$J$205-Input!$J$239)/A29taxstdlife))</f>
        <v>0</v>
      </c>
      <c r="R440" s="73"/>
      <c r="S440" s="107"/>
      <c r="T440" s="107"/>
      <c r="U440" s="107"/>
      <c r="V440" s="107"/>
      <c r="W440" s="107"/>
      <c r="X440" s="107"/>
      <c r="Y440" s="107"/>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2"/>
      <c r="BJ440" s="201"/>
      <c r="BK440" s="201"/>
      <c r="BL440" s="201"/>
      <c r="BM440" s="201"/>
      <c r="BN440" s="201"/>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537"/>
      <c r="E441" s="91">
        <v>4</v>
      </c>
      <c r="F441" s="27"/>
      <c r="G441" s="27"/>
      <c r="H441" s="150"/>
      <c r="I441" s="152"/>
      <c r="J441" s="152"/>
      <c r="K441" s="151"/>
      <c r="L441" s="73">
        <f>IF(A29taxstdlife="n/a","n/a",IF(L$3&gt;(A29taxstdlife+$E441),(Input!$K$205-Input!$K$239)-SUM($K441:K441),(Input!$K$205-Input!$K$239)/A29taxstdlife))</f>
        <v>0</v>
      </c>
      <c r="M441" s="73">
        <f>IF(A29taxstdlife="n/a","n/a",IF(M$3&gt;(A29taxstdlife+$E441),(Input!$K$205-Input!$K$239)-SUM($K441:L441),(Input!$K$205-Input!$K$239)/A29taxstdlife))</f>
        <v>0</v>
      </c>
      <c r="N441" s="73">
        <f>IF(A29taxstdlife="n/a","n/a",IF(N$3&gt;(A29taxstdlife+$E441),(Input!$K$205-Input!$K$239)-SUM($K441:M441),(Input!$K$205-Input!$K$239)/A29taxstdlife))</f>
        <v>0</v>
      </c>
      <c r="O441" s="73">
        <f>IF(A29taxstdlife="n/a","n/a",IF(O$3&gt;(A29taxstdlife+$E441),(Input!$K$205-Input!$K$239)-SUM($K441:N441),(Input!$K$205-Input!$K$239)/A29taxstdlife))</f>
        <v>0</v>
      </c>
      <c r="P441" s="73">
        <f>IF(A29taxstdlife="n/a","n/a",IF(P$3&gt;(A29taxstdlife+$E441),(Input!$K$205-Input!$K$239)-SUM($K441:O441),(Input!$K$205-Input!$K$239)/A29taxstdlife))</f>
        <v>0</v>
      </c>
      <c r="Q441" s="73">
        <f>IF(A29taxstdlife="n/a","n/a",IF(Q$3&gt;(A29taxstdlife+$E441),(Input!$K$205-Input!$K$239)-SUM($K441:P441),(Input!$K$205-Input!$K$239)/A29taxstdlife))</f>
        <v>0</v>
      </c>
      <c r="R441" s="73"/>
      <c r="S441" s="107"/>
      <c r="T441" s="107"/>
      <c r="U441" s="107"/>
      <c r="V441" s="107"/>
      <c r="W441" s="107"/>
      <c r="X441" s="107"/>
      <c r="Y441" s="107"/>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01"/>
      <c r="BJ441" s="201"/>
      <c r="BK441" s="201"/>
      <c r="BL441" s="201"/>
      <c r="BM441" s="201"/>
      <c r="BN441" s="20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537"/>
      <c r="E442" s="91">
        <v>5</v>
      </c>
      <c r="F442" s="27"/>
      <c r="G442" s="27"/>
      <c r="H442" s="150"/>
      <c r="I442" s="152"/>
      <c r="J442" s="152"/>
      <c r="K442" s="152"/>
      <c r="L442" s="151"/>
      <c r="M442" s="73">
        <f>IF(A29taxstdlife="n/a","n/a",IF(M$3&gt;(A29taxstdlife+$E442),(Input!$L$205-Input!$L$239)-SUM($L442:L442),(Input!$L$205-Input!$L$239)/A29taxstdlife))</f>
        <v>0</v>
      </c>
      <c r="N442" s="73">
        <f>IF(A29taxstdlife="n/a","n/a",IF(N$3&gt;(A29taxstdlife+$E442),(Input!$L$205-Input!$L$239)-SUM($L442:M442),(Input!$L$205-Input!$L$239)/A29taxstdlife))</f>
        <v>0</v>
      </c>
      <c r="O442" s="73">
        <f>IF(A29taxstdlife="n/a","n/a",IF(O$3&gt;(A29taxstdlife+$E442),(Input!$L$205-Input!$L$239)-SUM($L442:N442),(Input!$L$205-Input!$L$239)/A29taxstdlife))</f>
        <v>0</v>
      </c>
      <c r="P442" s="73">
        <f>IF(A29taxstdlife="n/a","n/a",IF(P$3&gt;(A29taxstdlife+$E442),(Input!$L$205-Input!$L$239)-SUM($L442:O442),(Input!$L$205-Input!$L$239)/A29taxstdlife))</f>
        <v>0</v>
      </c>
      <c r="Q442" s="73">
        <f>IF(A29taxstdlife="n/a","n/a",IF(Q$3&gt;(A29taxstdlife+$E442),(Input!$L$205-Input!$L$239)-SUM($L442:P442),(Input!$L$205-Input!$L$239)/A29taxstdlife))</f>
        <v>0</v>
      </c>
      <c r="R442" s="73"/>
      <c r="S442" s="107"/>
      <c r="T442" s="107"/>
      <c r="U442" s="107"/>
      <c r="V442" s="107"/>
      <c r="W442" s="107"/>
      <c r="X442" s="107"/>
      <c r="Y442" s="107"/>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01"/>
      <c r="BJ442" s="201"/>
      <c r="BK442" s="201"/>
      <c r="BL442" s="201"/>
      <c r="BM442" s="201"/>
      <c r="BN442" s="201"/>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537"/>
      <c r="E443" s="91">
        <v>6</v>
      </c>
      <c r="F443" s="27"/>
      <c r="G443" s="27"/>
      <c r="H443" s="150"/>
      <c r="I443" s="152"/>
      <c r="J443" s="152"/>
      <c r="K443" s="152"/>
      <c r="L443" s="152"/>
      <c r="M443" s="151"/>
      <c r="N443" s="73">
        <f>IF(A29taxstdlife="n/a","n/a",IF(N$3&gt;(A29taxstdlife+$E443),(Input!$M$205-Input!$M$239)-SUM($M443:M443),(Input!$M$205-Input!$M$239)/A29taxstdlife))</f>
        <v>0</v>
      </c>
      <c r="O443" s="73">
        <f>IF(A29taxstdlife="n/a","n/a",IF(O$3&gt;(A29taxstdlife+$E443),(Input!$M$205-Input!$M$239)-SUM($M443:N443),(Input!$M$205-Input!$M$239)/A29taxstdlife))</f>
        <v>0</v>
      </c>
      <c r="P443" s="73">
        <f>IF(A29taxstdlife="n/a","n/a",IF(P$3&gt;(A29taxstdlife+$E443),(Input!$M$205-Input!$M$239)-SUM($M443:O443),(Input!$M$205-Input!$M$239)/A29taxstdlife))</f>
        <v>0</v>
      </c>
      <c r="Q443" s="73">
        <f>IF(A29taxstdlife="n/a","n/a",IF(Q$3&gt;(A29taxstdlife+$E443),(Input!$M$205-Input!$M$239)-SUM($M443:P443),(Input!$M$205-Input!$M$239)/A29taxstdlife))</f>
        <v>0</v>
      </c>
      <c r="R443" s="73"/>
      <c r="S443" s="107"/>
      <c r="T443" s="107"/>
      <c r="U443" s="107"/>
      <c r="V443" s="107"/>
      <c r="W443" s="107"/>
      <c r="X443" s="107"/>
      <c r="Y443" s="107"/>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01"/>
      <c r="BJ443" s="201"/>
      <c r="BK443" s="201"/>
      <c r="BL443" s="201"/>
      <c r="BM443" s="201"/>
      <c r="BN443" s="201"/>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537"/>
      <c r="E444" s="91">
        <v>7</v>
      </c>
      <c r="F444" s="27"/>
      <c r="G444" s="27"/>
      <c r="H444" s="150"/>
      <c r="I444" s="152"/>
      <c r="J444" s="152"/>
      <c r="K444" s="152"/>
      <c r="L444" s="152"/>
      <c r="M444" s="152"/>
      <c r="N444" s="151"/>
      <c r="O444" s="73">
        <f>IF(A29taxstdlife="n/a","n/a",IF(O$3&gt;(A29taxstdlife+$E444),(Input!$N$205-Input!$N$239)-SUM($N444:N444),(Input!$N$205-Input!$N$239)/A29taxstdlife))</f>
        <v>0</v>
      </c>
      <c r="P444" s="73">
        <f>IF(A29taxstdlife="n/a","n/a",IF(P$3&gt;(A29taxstdlife+$E444),(Input!$N$205-Input!$N$239)-SUM($N444:O444),(Input!$N$205-Input!$N$239)/A29taxstdlife))</f>
        <v>0</v>
      </c>
      <c r="Q444" s="73">
        <f>IF(A29taxstdlife="n/a","n/a",IF(Q$3&gt;(A29taxstdlife+$E444),(Input!$N$205-Input!$N$239)-SUM($N444:P444),(Input!$N$205-Input!$N$239)/A29taxstdlife))</f>
        <v>0</v>
      </c>
      <c r="R444" s="73"/>
      <c r="S444" s="107"/>
      <c r="T444" s="107"/>
      <c r="U444" s="107"/>
      <c r="V444" s="107"/>
      <c r="W444" s="107"/>
      <c r="X444" s="107"/>
      <c r="Y444" s="107"/>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01"/>
      <c r="BJ444" s="201"/>
      <c r="BK444" s="201"/>
      <c r="BL444" s="201"/>
      <c r="BM444" s="201"/>
      <c r="BN444" s="201"/>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537"/>
      <c r="E445" s="91">
        <v>8</v>
      </c>
      <c r="F445" s="27"/>
      <c r="G445" s="27"/>
      <c r="H445" s="150"/>
      <c r="I445" s="152"/>
      <c r="J445" s="152"/>
      <c r="K445" s="152"/>
      <c r="L445" s="152"/>
      <c r="M445" s="152"/>
      <c r="N445" s="152"/>
      <c r="O445" s="151"/>
      <c r="P445" s="73">
        <f>IF(A29taxstdlife="n/a","n/a",IF(P$3&gt;(A29taxstdlife+$E445),(Input!$O$205-Input!$O$239)-SUM($O445:O445),(Input!$O$205-Input!$O$239)/A29taxstdlife))</f>
        <v>0</v>
      </c>
      <c r="Q445" s="73">
        <f>IF(A29taxstdlife="n/a","n/a",IF(Q$3&gt;(A29taxstdlife+$E445),(Input!$O$205-Input!$O$239)-SUM($O445:P445),(Input!$O$205-Input!$O$239)/A29taxstdlife))</f>
        <v>0</v>
      </c>
      <c r="R445" s="73"/>
      <c r="S445" s="107"/>
      <c r="T445" s="107"/>
      <c r="U445" s="107"/>
      <c r="V445" s="107"/>
      <c r="W445" s="107"/>
      <c r="X445" s="107"/>
      <c r="Y445" s="107"/>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01"/>
      <c r="BJ445" s="201"/>
      <c r="BK445" s="201"/>
      <c r="BL445" s="201"/>
      <c r="BM445" s="201"/>
      <c r="BN445" s="201"/>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537"/>
      <c r="E446" s="91">
        <v>9</v>
      </c>
      <c r="F446" s="27"/>
      <c r="G446" s="27"/>
      <c r="H446" s="150"/>
      <c r="I446" s="152"/>
      <c r="J446" s="152"/>
      <c r="K446" s="152"/>
      <c r="L446" s="152"/>
      <c r="M446" s="152"/>
      <c r="N446" s="152"/>
      <c r="O446" s="152"/>
      <c r="P446" s="151"/>
      <c r="Q446" s="73">
        <f>IF(A29taxstdlife="n/a","n/a",IF(Q$3&gt;(A29taxstdlife+$E446),(Input!$P$205-Input!$P$239)-SUM($P446:P446),(Input!$P$205-Input!$P$239)/A29taxstdlife))</f>
        <v>0</v>
      </c>
      <c r="R446" s="73"/>
      <c r="S446" s="107"/>
      <c r="T446" s="107"/>
      <c r="U446" s="107"/>
      <c r="V446" s="107"/>
      <c r="W446" s="107"/>
      <c r="X446" s="107"/>
      <c r="Y446" s="107"/>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01"/>
      <c r="BJ446" s="201"/>
      <c r="BK446" s="201"/>
      <c r="BL446" s="201"/>
      <c r="BM446" s="201"/>
      <c r="BN446" s="201"/>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537"/>
      <c r="E447" s="92">
        <v>10</v>
      </c>
      <c r="F447" s="27"/>
      <c r="G447" s="27"/>
      <c r="H447" s="150"/>
      <c r="I447" s="152"/>
      <c r="J447" s="152"/>
      <c r="K447" s="152"/>
      <c r="L447" s="152"/>
      <c r="M447" s="152"/>
      <c r="N447" s="152"/>
      <c r="O447" s="152"/>
      <c r="P447" s="152"/>
      <c r="Q447" s="151"/>
      <c r="R447" s="73"/>
      <c r="S447" s="107"/>
      <c r="T447" s="107"/>
      <c r="U447" s="107"/>
      <c r="V447" s="107"/>
      <c r="W447" s="107"/>
      <c r="X447" s="107"/>
      <c r="Y447" s="107"/>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01"/>
      <c r="BJ447" s="201"/>
      <c r="BK447" s="201"/>
      <c r="BL447" s="201"/>
      <c r="BM447" s="201"/>
      <c r="BN447" s="201"/>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2">
        <f>Asset29</f>
        <v>0</v>
      </c>
      <c r="D448" s="9"/>
      <c r="E448" s="9"/>
      <c r="F448" s="23"/>
      <c r="G448" s="23"/>
      <c r="H448" s="298">
        <f>-SUM(H436:H447)</f>
        <v>0</v>
      </c>
      <c r="I448" s="165">
        <f>-SUM(I436:I447)</f>
        <v>0</v>
      </c>
      <c r="J448" s="165">
        <f>-SUM(J436:J447)</f>
        <v>0</v>
      </c>
      <c r="K448" s="165">
        <f>-SUM(K436:K447)</f>
        <v>0</v>
      </c>
      <c r="L448" s="165">
        <f>-SUM(L436:L447)</f>
        <v>0</v>
      </c>
      <c r="M448" s="165">
        <f>IF(COUNT($H448:L448)&gt;=Input!$Y$7,0, -SUM(M436:M447))</f>
        <v>0</v>
      </c>
      <c r="N448" s="165">
        <f>IF(COUNT($H448:M448)&gt;=Input!$Y$7,0, -SUM(N436:N447))</f>
        <v>0</v>
      </c>
      <c r="O448" s="165">
        <f>IF(COUNT($H448:N448)&gt;=Input!$Y$7,0, -SUM(O436:O447))</f>
        <v>0</v>
      </c>
      <c r="P448" s="165">
        <f>IF(COUNT($H448:O448)&gt;=Input!$Y$7,0, -SUM(P436:P447))</f>
        <v>0</v>
      </c>
      <c r="Q448" s="165">
        <f>IF(COUNT($H448:P448)&gt;=Input!$Y$7,0, -SUM(Q436:Q447))</f>
        <v>0</v>
      </c>
      <c r="R448" s="165"/>
      <c r="S448" s="106"/>
      <c r="T448" s="106"/>
      <c r="U448" s="106"/>
      <c r="V448" s="106"/>
      <c r="W448" s="106"/>
      <c r="X448" s="106"/>
      <c r="Y448" s="106"/>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01"/>
      <c r="BJ448" s="201"/>
      <c r="BK448" s="201"/>
      <c r="BL448" s="201"/>
      <c r="BM448" s="201"/>
      <c r="BN448" s="201"/>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73">
        <f>Asset30</f>
        <v>0</v>
      </c>
      <c r="C449" s="31"/>
      <c r="D449" s="32" t="s">
        <v>43</v>
      </c>
      <c r="E449" s="31"/>
      <c r="F449" s="301"/>
      <c r="G449" s="301"/>
      <c r="H449" s="72">
        <f>IF(H$3&gt;A30taxremlife,A30taxvalue-SUM($F449:F449),IF(A30taxremlife="N/A","n/a",A30taxvalue/A30taxremlife))</f>
        <v>0</v>
      </c>
      <c r="I449" s="72">
        <f>IF(I$3&gt;A30taxremlife,A30taxvalue-SUM($F449:H449),IF(A30taxremlife="N/A","n/a",A30taxvalue/A30taxremlife))</f>
        <v>0</v>
      </c>
      <c r="J449" s="72">
        <f>IF(J$3&gt;A30taxremlife,A30taxvalue-SUM($F449:I449),IF(A30taxremlife="N/A","n/a",A30taxvalue/A30taxremlife))</f>
        <v>0</v>
      </c>
      <c r="K449" s="72">
        <f>IF(K$3&gt;A30taxremlife,A30taxvalue-SUM($F449:J449),IF(A30taxremlife="N/A","n/a",A30taxvalue/A30taxremlife))</f>
        <v>0</v>
      </c>
      <c r="L449" s="72">
        <f>IF(L$3&gt;A30taxremlife,A30taxvalue-SUM($F449:K449),IF(A30taxremlife="N/A","n/a",A30taxvalue/A30taxremlife))</f>
        <v>0</v>
      </c>
      <c r="M449" s="72">
        <f>IF(M$3&gt;A30taxremlife,A30taxvalue-SUM($F449:L449),IF(A30taxremlife="N/A","n/a",A30taxvalue/A30taxremlife))</f>
        <v>0</v>
      </c>
      <c r="N449" s="72">
        <f>IF(N$3&gt;A30taxremlife,A30taxvalue-SUM($F449:M449),IF(A30taxremlife="N/A","n/a",A30taxvalue/A30taxremlife))</f>
        <v>0</v>
      </c>
      <c r="O449" s="72">
        <f>IF(O$3&gt;A30taxremlife,A30taxvalue-SUM($F449:N449),IF(A30taxremlife="N/A","n/a",A30taxvalue/A30taxremlife))</f>
        <v>0</v>
      </c>
      <c r="P449" s="72">
        <f>IF(P$3&gt;A30taxremlife,A30taxvalue-SUM($F449:O449),IF(A30taxremlife="N/A","n/a",A30taxvalue/A30taxremlife))</f>
        <v>0</v>
      </c>
      <c r="Q449" s="72">
        <f>IF(Q$3&gt;A30taxremlife,A30taxvalue-SUM($F449:P449),IF(A30taxremlife="N/A","n/a",A30taxvalue/A30taxremlife))</f>
        <v>0</v>
      </c>
      <c r="R449" s="72"/>
      <c r="S449" s="107"/>
      <c r="T449" s="107"/>
      <c r="U449" s="107"/>
      <c r="V449" s="107"/>
      <c r="W449" s="107"/>
      <c r="X449" s="107"/>
      <c r="Y449" s="107"/>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01"/>
      <c r="BJ449" s="201"/>
      <c r="BK449" s="201"/>
      <c r="BL449" s="201"/>
      <c r="BM449" s="201"/>
      <c r="BN449" s="201"/>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536" t="s">
        <v>59</v>
      </c>
      <c r="E450" s="91"/>
      <c r="F450" s="27"/>
      <c r="G450" s="27"/>
      <c r="H450" s="107"/>
      <c r="I450" s="73"/>
      <c r="J450" s="73"/>
      <c r="K450" s="73"/>
      <c r="L450" s="73"/>
      <c r="M450" s="73"/>
      <c r="N450" s="73"/>
      <c r="O450" s="73"/>
      <c r="P450" s="73"/>
      <c r="Q450" s="73"/>
      <c r="R450" s="73"/>
      <c r="S450" s="107"/>
      <c r="T450" s="107"/>
      <c r="U450" s="107"/>
      <c r="V450" s="107"/>
      <c r="W450" s="107"/>
      <c r="X450" s="107"/>
      <c r="Y450" s="107"/>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01"/>
      <c r="BJ450" s="201"/>
      <c r="BK450" s="201"/>
      <c r="BL450" s="201"/>
      <c r="BM450" s="201"/>
      <c r="BN450" s="201"/>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537"/>
      <c r="E451" s="91">
        <v>1</v>
      </c>
      <c r="F451" s="27"/>
      <c r="G451" s="27"/>
      <c r="H451" s="149"/>
      <c r="I451" s="73">
        <f>IF(A30taxstdlife="n/a","n/a",IF(I$3&gt;(A30taxstdlife+$E451),(Input!$H$206-Input!$H$240)-SUM($H451:H451),(Input!$H$206-Input!$H$240)/A30taxstdlife))</f>
        <v>0</v>
      </c>
      <c r="J451" s="73">
        <f>IF(A30taxstdlife="n/a","n/a",IF(J$3&gt;(A30taxstdlife+$E451),(Input!$H$206-Input!$H$240)-SUM($H451:I451),(Input!$H$206-Input!$H$240)/A30taxstdlife))</f>
        <v>0</v>
      </c>
      <c r="K451" s="73">
        <f>IF(A30taxstdlife="n/a","n/a",IF(K$3&gt;(A30taxstdlife+$E451),(Input!$H$206-Input!$H$240)-SUM($H451:J451),(Input!$H$206-Input!$H$240)/A30taxstdlife))</f>
        <v>0</v>
      </c>
      <c r="L451" s="73">
        <f>IF(A30taxstdlife="n/a","n/a",IF(L$3&gt;(A30taxstdlife+$E451),(Input!$H$206-Input!$H$240)-SUM($H451:K451),(Input!$H$206-Input!$H$240)/A30taxstdlife))</f>
        <v>0</v>
      </c>
      <c r="M451" s="73">
        <f>IF(A30taxstdlife="n/a","n/a",IF(M$3&gt;(A30taxstdlife+$E451),(Input!$H$206-Input!$H$240)-SUM($H451:L451),(Input!$H$206-Input!$H$240)/A30taxstdlife))</f>
        <v>0</v>
      </c>
      <c r="N451" s="73">
        <f>IF(A30taxstdlife="n/a","n/a",IF(N$3&gt;(A30taxstdlife+$E451),(Input!$H$206-Input!$H$240)-SUM($H451:M451),(Input!$H$206-Input!$H$240)/A30taxstdlife))</f>
        <v>0</v>
      </c>
      <c r="O451" s="73">
        <f>IF(A30taxstdlife="n/a","n/a",IF(O$3&gt;(A30taxstdlife+$E451),(Input!$H$206-Input!$H$240)-SUM($H451:N451),(Input!$H$206-Input!$H$240)/A30taxstdlife))</f>
        <v>0</v>
      </c>
      <c r="P451" s="73">
        <f>IF(A30taxstdlife="n/a","n/a",IF(P$3&gt;(A30taxstdlife+$E451),(Input!$H$206-Input!$H$240)-SUM($H451:O451),(Input!$H$206-Input!$H$240)/A30taxstdlife))</f>
        <v>0</v>
      </c>
      <c r="Q451" s="73">
        <f>IF(A30taxstdlife="n/a","n/a",IF(Q$3&gt;(A30taxstdlife+$E451),(Input!$H$206-Input!$H$240)-SUM($H451:P451),(Input!$H$206-Input!$H$240)/A30taxstdlife))</f>
        <v>0</v>
      </c>
      <c r="R451" s="73"/>
      <c r="S451" s="107"/>
      <c r="T451" s="107"/>
      <c r="U451" s="107"/>
      <c r="V451" s="107"/>
      <c r="W451" s="107"/>
      <c r="X451" s="107"/>
      <c r="Y451" s="107"/>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01"/>
      <c r="BJ451" s="201"/>
      <c r="BK451" s="201"/>
      <c r="BL451" s="201"/>
      <c r="BM451" s="201"/>
      <c r="BN451" s="20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537"/>
      <c r="E452" s="91">
        <v>2</v>
      </c>
      <c r="F452" s="27"/>
      <c r="G452" s="27"/>
      <c r="H452" s="150"/>
      <c r="I452" s="151"/>
      <c r="J452" s="73">
        <f>IF(A30taxstdlife="n/a","n/a",IF(J$3&gt;(A30taxstdlife+$E452),(Input!$I$206-Input!$I$240)-SUM($I452:I452),(Input!$I$206-Input!$I$240)/A30taxstdlife))</f>
        <v>0</v>
      </c>
      <c r="K452" s="73">
        <f>IF(A30taxstdlife="n/a","n/a",IF(K$3&gt;(A30taxstdlife+$E452),(Input!$I$206-Input!$I$240)-SUM($I452:J452),(Input!$I$206-Input!$I$240)/A30taxstdlife))</f>
        <v>0</v>
      </c>
      <c r="L452" s="73">
        <f>IF(A30taxstdlife="n/a","n/a",IF(L$3&gt;(A30taxstdlife+$E452),(Input!$I$206-Input!$I$240)-SUM($I452:K452),(Input!$I$206-Input!$I$240)/A30taxstdlife))</f>
        <v>0</v>
      </c>
      <c r="M452" s="73">
        <f>IF(A30taxstdlife="n/a","n/a",IF(M$3&gt;(A30taxstdlife+$E452),(Input!$I$206-Input!$I$240)-SUM($I452:L452),(Input!$I$206-Input!$I$240)/A30taxstdlife))</f>
        <v>0</v>
      </c>
      <c r="N452" s="73">
        <f>IF(A30taxstdlife="n/a","n/a",IF(N$3&gt;(A30taxstdlife+$E452),(Input!$I$206-Input!$I$240)-SUM($I452:M452),(Input!$I$206-Input!$I$240)/A30taxstdlife))</f>
        <v>0</v>
      </c>
      <c r="O452" s="73">
        <f>IF(A30taxstdlife="n/a","n/a",IF(O$3&gt;(A30taxstdlife+$E452),(Input!$I$206-Input!$I$240)-SUM($I452:N452),(Input!$I$206-Input!$I$240)/A30taxstdlife))</f>
        <v>0</v>
      </c>
      <c r="P452" s="73">
        <f>IF(A30taxstdlife="n/a","n/a",IF(P$3&gt;(A30taxstdlife+$E452),(Input!$I$206-Input!$I$240)-SUM($I452:O452),(Input!$I$206-Input!$I$240)/A30taxstdlife))</f>
        <v>0</v>
      </c>
      <c r="Q452" s="73">
        <f>IF(A30taxstdlife="n/a","n/a",IF(Q$3&gt;(A30taxstdlife+$E452),(Input!$I$206-Input!$I$240)-SUM($I452:P452),(Input!$I$206-Input!$I$240)/A30taxstdlife))</f>
        <v>0</v>
      </c>
      <c r="R452" s="73"/>
      <c r="S452" s="107"/>
      <c r="T452" s="107"/>
      <c r="U452" s="107"/>
      <c r="V452" s="107"/>
      <c r="W452" s="107"/>
      <c r="X452" s="107"/>
      <c r="Y452" s="107"/>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01"/>
      <c r="BJ452" s="201"/>
      <c r="BK452" s="201"/>
      <c r="BL452" s="201"/>
      <c r="BM452" s="201"/>
      <c r="BN452" s="201"/>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537"/>
      <c r="E453" s="91">
        <v>3</v>
      </c>
      <c r="F453" s="27"/>
      <c r="G453" s="27"/>
      <c r="H453" s="150"/>
      <c r="I453" s="152"/>
      <c r="J453" s="151"/>
      <c r="K453" s="73">
        <f>IF(A30taxstdlife="n/a","n/a",IF(K$3&gt;(A30taxstdlife+$E453),(Input!$J$206-Input!$J$240)-SUM($J453:J453),(Input!$J$206-Input!$J$240)/A30taxstdlife))</f>
        <v>0</v>
      </c>
      <c r="L453" s="73">
        <f>IF(A30taxstdlife="n/a","n/a",IF(L$3&gt;(A30taxstdlife+$E453),(Input!$J$206-Input!$J$240)-SUM($J453:K453),(Input!$J$206-Input!$J$240)/A30taxstdlife))</f>
        <v>0</v>
      </c>
      <c r="M453" s="73">
        <f>IF(A30taxstdlife="n/a","n/a",IF(M$3&gt;(A30taxstdlife+$E453),(Input!$J$206-Input!$J$240)-SUM($J453:L453),(Input!$J$206-Input!$J$240)/A30taxstdlife))</f>
        <v>0</v>
      </c>
      <c r="N453" s="73">
        <f>IF(A30taxstdlife="n/a","n/a",IF(N$3&gt;(A30taxstdlife+$E453),(Input!$J$206-Input!$J$240)-SUM($J453:M453),(Input!$J$206-Input!$J$240)/A30taxstdlife))</f>
        <v>0</v>
      </c>
      <c r="O453" s="73">
        <f>IF(A30taxstdlife="n/a","n/a",IF(O$3&gt;(A30taxstdlife+$E453),(Input!$J$206-Input!$J$240)-SUM($J453:N453),(Input!$J$206-Input!$J$240)/A30taxstdlife))</f>
        <v>0</v>
      </c>
      <c r="P453" s="73">
        <f>IF(A30taxstdlife="n/a","n/a",IF(P$3&gt;(A30taxstdlife+$E453),(Input!$J$206-Input!$J$240)-SUM($J453:O453),(Input!$J$206-Input!$J$240)/A30taxstdlife))</f>
        <v>0</v>
      </c>
      <c r="Q453" s="73">
        <f>IF(A30taxstdlife="n/a","n/a",IF(Q$3&gt;(A30taxstdlife+$E453),(Input!$J$206-Input!$J$240)-SUM($J453:P453),(Input!$J$206-Input!$J$240)/A30taxstdlife))</f>
        <v>0</v>
      </c>
      <c r="R453" s="73"/>
      <c r="S453" s="107"/>
      <c r="T453" s="107"/>
      <c r="U453" s="107"/>
      <c r="V453" s="107"/>
      <c r="W453" s="107"/>
      <c r="X453" s="107"/>
      <c r="Y453" s="107"/>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2"/>
      <c r="BJ453" s="201"/>
      <c r="BK453" s="201"/>
      <c r="BL453" s="201"/>
      <c r="BM453" s="201"/>
      <c r="BN453" s="201"/>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537"/>
      <c r="E454" s="91">
        <v>4</v>
      </c>
      <c r="F454" s="27"/>
      <c r="G454" s="27"/>
      <c r="H454" s="150"/>
      <c r="I454" s="152"/>
      <c r="J454" s="152"/>
      <c r="K454" s="151"/>
      <c r="L454" s="73">
        <f>IF(A30taxstdlife="n/a","n/a",IF(L$3&gt;(A30taxstdlife+$E454),(Input!$K$206-Input!$K$240)-SUM($K454:K454),(Input!$K$206-Input!$K$240)/A30taxstdlife))</f>
        <v>0</v>
      </c>
      <c r="M454" s="73">
        <f>IF(A30taxstdlife="n/a","n/a",IF(M$3&gt;(A30taxstdlife+$E454),(Input!$K$206-Input!$K$240)-SUM($K454:L454),(Input!$K$206-Input!$K$240)/A30taxstdlife))</f>
        <v>0</v>
      </c>
      <c r="N454" s="73">
        <f>IF(A30taxstdlife="n/a","n/a",IF(N$3&gt;(A30taxstdlife+$E454),(Input!$K$206-Input!$K$240)-SUM($K454:M454),(Input!$K$206-Input!$K$240)/A30taxstdlife))</f>
        <v>0</v>
      </c>
      <c r="O454" s="73">
        <f>IF(A30taxstdlife="n/a","n/a",IF(O$3&gt;(A30taxstdlife+$E454),(Input!$K$206-Input!$K$240)-SUM($K454:N454),(Input!$K$206-Input!$K$240)/A30taxstdlife))</f>
        <v>0</v>
      </c>
      <c r="P454" s="73">
        <f>IF(A30taxstdlife="n/a","n/a",IF(P$3&gt;(A30taxstdlife+$E454),(Input!$K$206-Input!$K$240)-SUM($K454:O454),(Input!$K$206-Input!$K$240)/A30taxstdlife))</f>
        <v>0</v>
      </c>
      <c r="Q454" s="73">
        <f>IF(A30taxstdlife="n/a","n/a",IF(Q$3&gt;(A30taxstdlife+$E454),(Input!$K$206-Input!$K$240)-SUM($K454:P454),(Input!$K$206-Input!$K$240)/A30taxstdlife))</f>
        <v>0</v>
      </c>
      <c r="R454" s="73"/>
      <c r="S454" s="107"/>
      <c r="T454" s="107"/>
      <c r="U454" s="107"/>
      <c r="V454" s="107"/>
      <c r="W454" s="107"/>
      <c r="X454" s="107"/>
      <c r="Y454" s="107"/>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01"/>
      <c r="BJ454" s="201"/>
      <c r="BK454" s="201"/>
      <c r="BL454" s="201"/>
      <c r="BM454" s="201"/>
      <c r="BN454" s="201"/>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537"/>
      <c r="E455" s="91">
        <v>5</v>
      </c>
      <c r="F455" s="27"/>
      <c r="G455" s="27"/>
      <c r="H455" s="150"/>
      <c r="I455" s="152"/>
      <c r="J455" s="152"/>
      <c r="K455" s="152"/>
      <c r="L455" s="151"/>
      <c r="M455" s="73">
        <f>IF(A30taxstdlife="n/a","n/a",IF(M$3&gt;(A30taxstdlife+$E455),(Input!$L$206-Input!$L$240)-SUM($L455:L455),(Input!$L$206-Input!$L$240)/A30taxstdlife))</f>
        <v>0</v>
      </c>
      <c r="N455" s="73">
        <f>IF(A30taxstdlife="n/a","n/a",IF(N$3&gt;(A30taxstdlife+$E455),(Input!$L$206-Input!$L$240)-SUM($L455:M455),(Input!$L$206-Input!$L$240)/A30taxstdlife))</f>
        <v>0</v>
      </c>
      <c r="O455" s="73">
        <f>IF(A30taxstdlife="n/a","n/a",IF(O$3&gt;(A30taxstdlife+$E455),(Input!$L$206-Input!$L$240)-SUM($L455:N455),(Input!$L$206-Input!$L$240)/A30taxstdlife))</f>
        <v>0</v>
      </c>
      <c r="P455" s="73">
        <f>IF(A30taxstdlife="n/a","n/a",IF(P$3&gt;(A30taxstdlife+$E455),(Input!$L$206-Input!$L$240)-SUM($L455:O455),(Input!$L$206-Input!$L$240)/A30taxstdlife))</f>
        <v>0</v>
      </c>
      <c r="Q455" s="73">
        <f>IF(A30taxstdlife="n/a","n/a",IF(Q$3&gt;(A30taxstdlife+$E455),(Input!$L$206-Input!$L$240)-SUM($L455:P455),(Input!$L$206-Input!$L$240)/A30taxstdlife))</f>
        <v>0</v>
      </c>
      <c r="R455" s="73"/>
      <c r="S455" s="107"/>
      <c r="T455" s="107"/>
      <c r="U455" s="107"/>
      <c r="V455" s="107"/>
      <c r="W455" s="107"/>
      <c r="X455" s="107"/>
      <c r="Y455" s="107"/>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01"/>
      <c r="BJ455" s="201"/>
      <c r="BK455" s="201"/>
      <c r="BL455" s="201"/>
      <c r="BM455" s="201"/>
      <c r="BN455" s="201"/>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537"/>
      <c r="E456" s="91">
        <v>6</v>
      </c>
      <c r="F456" s="27"/>
      <c r="G456" s="27"/>
      <c r="H456" s="150"/>
      <c r="I456" s="152"/>
      <c r="J456" s="152"/>
      <c r="K456" s="152"/>
      <c r="L456" s="152"/>
      <c r="M456" s="151"/>
      <c r="N456" s="73">
        <f>IF(A30taxstdlife="n/a","n/a",IF(N$3&gt;(A30taxstdlife+$E456),(Input!$M$206-Input!$M$240)-SUM($M456:M456),(Input!$M$206-Input!$M$240)/A30taxstdlife))</f>
        <v>0</v>
      </c>
      <c r="O456" s="73">
        <f>IF(A30taxstdlife="n/a","n/a",IF(O$3&gt;(A30taxstdlife+$E456),(Input!$M$206-Input!$M$240)-SUM($M456:N456),(Input!$M$206-Input!$M$240)/A30taxstdlife))</f>
        <v>0</v>
      </c>
      <c r="P456" s="73">
        <f>IF(A30taxstdlife="n/a","n/a",IF(P$3&gt;(A30taxstdlife+$E456),(Input!$M$206-Input!$M$240)-SUM($M456:O456),(Input!$M$206-Input!$M$240)/A30taxstdlife))</f>
        <v>0</v>
      </c>
      <c r="Q456" s="73">
        <f>IF(A30taxstdlife="n/a","n/a",IF(Q$3&gt;(A30taxstdlife+$E456),(Input!$M$206-Input!$M$240)-SUM($M456:P456),(Input!$M$206-Input!$M$240)/A30taxstdlife))</f>
        <v>0</v>
      </c>
      <c r="R456" s="73"/>
      <c r="S456" s="107"/>
      <c r="T456" s="107"/>
      <c r="U456" s="107"/>
      <c r="V456" s="107"/>
      <c r="W456" s="107"/>
      <c r="X456" s="107"/>
      <c r="Y456" s="107"/>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01"/>
      <c r="BJ456" s="201"/>
      <c r="BK456" s="201"/>
      <c r="BL456" s="201"/>
      <c r="BM456" s="201"/>
      <c r="BN456" s="201"/>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537"/>
      <c r="E457" s="91">
        <v>7</v>
      </c>
      <c r="F457" s="27"/>
      <c r="G457" s="27"/>
      <c r="H457" s="150"/>
      <c r="I457" s="152"/>
      <c r="J457" s="152"/>
      <c r="K457" s="152"/>
      <c r="L457" s="152"/>
      <c r="M457" s="152"/>
      <c r="N457" s="151"/>
      <c r="O457" s="73">
        <f>IF(A30taxstdlife="n/a","n/a",IF(O$3&gt;(A30taxstdlife+$E457),(Input!$N$206-Input!$N$240)-SUM($N457:N457),(Input!$N$206-Input!$N$240)/A30taxstdlife))</f>
        <v>0</v>
      </c>
      <c r="P457" s="73">
        <f>IF(A30taxstdlife="n/a","n/a",IF(P$3&gt;(A30taxstdlife+$E457),(Input!$N$206-Input!$N$240)-SUM($N457:O457),(Input!$N$206-Input!$N$240)/A30taxstdlife))</f>
        <v>0</v>
      </c>
      <c r="Q457" s="73">
        <f>IF(A30taxstdlife="n/a","n/a",IF(Q$3&gt;(A30taxstdlife+$E457),(Input!$N$206-Input!$N$240)-SUM($N457:P457),(Input!$N$206-Input!$N$240)/A30taxstdlife))</f>
        <v>0</v>
      </c>
      <c r="R457" s="73"/>
      <c r="S457" s="107"/>
      <c r="T457" s="107"/>
      <c r="U457" s="107"/>
      <c r="V457" s="107"/>
      <c r="W457" s="107"/>
      <c r="X457" s="107"/>
      <c r="Y457" s="107"/>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01"/>
      <c r="BJ457" s="201"/>
      <c r="BK457" s="201"/>
      <c r="BL457" s="201"/>
      <c r="BM457" s="201"/>
      <c r="BN457" s="201"/>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537"/>
      <c r="E458" s="91">
        <v>8</v>
      </c>
      <c r="F458" s="27"/>
      <c r="G458" s="27"/>
      <c r="H458" s="150"/>
      <c r="I458" s="152"/>
      <c r="J458" s="152"/>
      <c r="K458" s="152"/>
      <c r="L458" s="152"/>
      <c r="M458" s="152"/>
      <c r="N458" s="152"/>
      <c r="O458" s="151"/>
      <c r="P458" s="73">
        <f>IF(A30taxstdlife="n/a","n/a",IF(P$3&gt;(A30taxstdlife+$E458),(Input!$O$206-Input!$O$240)-SUM($O458:O458),(Input!$O$206-Input!$O$240)/A30taxstdlife))</f>
        <v>0</v>
      </c>
      <c r="Q458" s="73">
        <f>IF(A30taxstdlife="n/a","n/a",IF(Q$3&gt;(A30taxstdlife+$E458),(Input!$O$206-Input!$O$240)-SUM($O458:P458),(Input!$O$206-Input!$O$240)/A30taxstdlife))</f>
        <v>0</v>
      </c>
      <c r="R458" s="73"/>
      <c r="S458" s="107"/>
      <c r="T458" s="107"/>
      <c r="U458" s="107"/>
      <c r="V458" s="107"/>
      <c r="W458" s="107"/>
      <c r="X458" s="107"/>
      <c r="Y458" s="107"/>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01"/>
      <c r="BJ458" s="201"/>
      <c r="BK458" s="201"/>
      <c r="BL458" s="201"/>
      <c r="BM458" s="201"/>
      <c r="BN458" s="201"/>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537"/>
      <c r="E459" s="91">
        <v>9</v>
      </c>
      <c r="F459" s="27"/>
      <c r="G459" s="27"/>
      <c r="H459" s="150"/>
      <c r="I459" s="152"/>
      <c r="J459" s="152"/>
      <c r="K459" s="152"/>
      <c r="L459" s="152"/>
      <c r="M459" s="152"/>
      <c r="N459" s="152"/>
      <c r="O459" s="152"/>
      <c r="P459" s="151"/>
      <c r="Q459" s="73">
        <f>IF(A30taxstdlife="n/a","n/a",IF(Q$3&gt;(A30taxstdlife+$E459),(Input!$P$206-Input!$P$240)-SUM($P459:P459),(Input!$P$206-Input!$P$240)/A30taxstdlife))</f>
        <v>0</v>
      </c>
      <c r="R459" s="73"/>
      <c r="S459" s="107"/>
      <c r="T459" s="107"/>
      <c r="U459" s="107"/>
      <c r="V459" s="107"/>
      <c r="W459" s="107"/>
      <c r="X459" s="107"/>
      <c r="Y459" s="107"/>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01"/>
      <c r="BJ459" s="201"/>
      <c r="BK459" s="201"/>
      <c r="BL459" s="201"/>
      <c r="BM459" s="201"/>
      <c r="BN459" s="201"/>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537"/>
      <c r="E460" s="92">
        <v>10</v>
      </c>
      <c r="F460" s="27"/>
      <c r="G460" s="27"/>
      <c r="H460" s="150"/>
      <c r="I460" s="152"/>
      <c r="J460" s="152"/>
      <c r="K460" s="152"/>
      <c r="L460" s="152"/>
      <c r="M460" s="152"/>
      <c r="N460" s="152"/>
      <c r="O460" s="152"/>
      <c r="P460" s="152"/>
      <c r="Q460" s="151"/>
      <c r="R460" s="73"/>
      <c r="S460" s="107"/>
      <c r="T460" s="107"/>
      <c r="U460" s="107"/>
      <c r="V460" s="107"/>
      <c r="W460" s="107"/>
      <c r="X460" s="107"/>
      <c r="Y460" s="107"/>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01"/>
      <c r="BJ460" s="201"/>
      <c r="BK460" s="201"/>
      <c r="BL460" s="201"/>
      <c r="BM460" s="201"/>
      <c r="BN460" s="201"/>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2">
        <f>Asset30</f>
        <v>0</v>
      </c>
      <c r="D461" s="9"/>
      <c r="E461" s="9"/>
      <c r="F461" s="23"/>
      <c r="G461" s="23"/>
      <c r="H461" s="298">
        <f>-SUM(H449:H460)</f>
        <v>0</v>
      </c>
      <c r="I461" s="165">
        <f>-SUM(I449:I460)</f>
        <v>0</v>
      </c>
      <c r="J461" s="165">
        <f>-SUM(J449:J460)</f>
        <v>0</v>
      </c>
      <c r="K461" s="165">
        <f>-SUM(K449:K460)</f>
        <v>0</v>
      </c>
      <c r="L461" s="165">
        <f>-SUM(L449:L460)</f>
        <v>0</v>
      </c>
      <c r="M461" s="165">
        <f>IF(COUNT($H461:L461)&gt;=Input!$Y$7,0, -SUM(M449:M460))</f>
        <v>0</v>
      </c>
      <c r="N461" s="165">
        <f>IF(COUNT($H461:M461)&gt;=Input!$Y$7,0, -SUM(N449:N460))</f>
        <v>0</v>
      </c>
      <c r="O461" s="165">
        <f>IF(COUNT($H461:N461)&gt;=Input!$Y$7,0, -SUM(O449:O460))</f>
        <v>0</v>
      </c>
      <c r="P461" s="165">
        <f>IF(COUNT($H461:O461)&gt;=Input!$Y$7,0, -SUM(P449:P460))</f>
        <v>0</v>
      </c>
      <c r="Q461" s="165">
        <f>IF(COUNT($H461:P461)&gt;=Input!$Y$7,0, -SUM(Q449:Q460))</f>
        <v>0</v>
      </c>
      <c r="R461" s="165"/>
      <c r="S461" s="106"/>
      <c r="T461" s="106"/>
      <c r="U461" s="106"/>
      <c r="V461" s="106"/>
      <c r="W461" s="106"/>
      <c r="X461" s="106"/>
      <c r="Y461" s="106"/>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01"/>
      <c r="BJ461" s="201"/>
      <c r="BK461" s="201"/>
      <c r="BL461" s="201"/>
      <c r="BM461" s="201"/>
      <c r="BN461" s="20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450:D460"/>
    <mergeCell ref="D385:D395"/>
    <mergeCell ref="D398:D408"/>
    <mergeCell ref="D411:D421"/>
    <mergeCell ref="D424:D434"/>
    <mergeCell ref="D333:D343"/>
    <mergeCell ref="D346:D356"/>
    <mergeCell ref="D359:D369"/>
    <mergeCell ref="D372:D382"/>
    <mergeCell ref="D437:D447"/>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Normal="100" workbookViewId="0">
      <selection activeCell="E89" sqref="E89"/>
    </sheetView>
  </sheetViews>
  <sheetFormatPr defaultRowHeight="12.75" outlineLevelRow="1"/>
  <cols>
    <col min="1" max="1" width="4.140625" customWidth="1"/>
    <col min="2" max="2" width="25.42578125" customWidth="1"/>
    <col min="3" max="3" width="12" customWidth="1"/>
    <col min="4" max="4" width="5.42578125" customWidth="1"/>
    <col min="5" max="5" width="18.140625" style="256" customWidth="1"/>
    <col min="6" max="6" width="21" style="256" customWidth="1"/>
    <col min="7" max="7" width="4.140625" style="265" customWidth="1"/>
    <col min="8" max="8" width="6.85546875" style="268" customWidth="1"/>
    <col min="9" max="9" width="6.85546875" style="266" customWidth="1"/>
    <col min="10" max="10" width="16.140625" style="268" customWidth="1"/>
    <col min="11" max="11" width="24.5703125" style="266" customWidth="1"/>
    <col min="12" max="12" width="9.140625" style="280"/>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ht="15.75">
      <c r="A2" s="254"/>
      <c r="B2" s="58" t="str">
        <f>"Average Remaining Asset Lives Roll Forward - RFM "&amp;Intro!L4</f>
        <v>Average Remaining Asset Lives Roll Forward - RFM Version: 2.0</v>
      </c>
      <c r="C2" s="255"/>
      <c r="D2" s="255"/>
      <c r="E2" s="255"/>
      <c r="F2" s="255"/>
      <c r="G2" s="255"/>
      <c r="H2" s="255"/>
      <c r="I2" s="255"/>
      <c r="J2" s="255"/>
      <c r="K2" s="255"/>
      <c r="L2" s="255"/>
      <c r="M2" s="255"/>
      <c r="N2" s="255"/>
      <c r="O2" s="255"/>
      <c r="P2" s="255"/>
      <c r="Q2" s="255"/>
      <c r="R2" s="255"/>
      <c r="S2" s="255"/>
      <c r="T2" s="255"/>
      <c r="U2" s="255"/>
      <c r="V2" s="255"/>
      <c r="W2" s="255"/>
      <c r="X2" s="255"/>
      <c r="Y2" s="255"/>
      <c r="Z2" s="255"/>
    </row>
    <row r="3" spans="1:26">
      <c r="A3" s="255"/>
      <c r="B3" s="255"/>
      <c r="C3" s="255"/>
      <c r="D3" s="255"/>
      <c r="E3" s="255"/>
      <c r="F3" s="255"/>
      <c r="G3" s="255"/>
      <c r="H3" s="255"/>
      <c r="I3" s="255"/>
      <c r="J3" s="255"/>
      <c r="K3" s="255"/>
      <c r="L3" s="255"/>
      <c r="M3" s="255"/>
      <c r="N3" s="255"/>
      <c r="O3" s="255"/>
      <c r="P3" s="255"/>
      <c r="Q3" s="255"/>
      <c r="R3" s="255"/>
      <c r="S3" s="255"/>
      <c r="T3" s="255"/>
      <c r="U3" s="255"/>
      <c r="V3" s="255"/>
      <c r="W3" s="255"/>
      <c r="X3" s="255"/>
      <c r="Y3" s="255"/>
      <c r="Z3" s="255"/>
    </row>
    <row r="4" spans="1:26" ht="16.5" customHeight="1">
      <c r="A4" s="86"/>
      <c r="B4" s="87"/>
      <c r="C4" s="86"/>
      <c r="D4" s="86"/>
      <c r="E4" s="86"/>
      <c r="F4" s="86"/>
      <c r="G4" s="148"/>
      <c r="H4" s="148"/>
      <c r="I4" s="148"/>
      <c r="J4" s="148"/>
      <c r="K4" s="148"/>
      <c r="L4" s="148"/>
      <c r="M4" s="148"/>
      <c r="N4" s="148"/>
      <c r="O4" s="148"/>
      <c r="P4" s="148"/>
      <c r="Q4" s="148"/>
      <c r="R4" s="148"/>
      <c r="S4" s="255"/>
      <c r="T4" s="255"/>
      <c r="U4" s="255"/>
      <c r="V4" s="255"/>
      <c r="W4" s="255"/>
      <c r="X4" s="255"/>
      <c r="Y4" s="255"/>
      <c r="Z4" s="255"/>
    </row>
    <row r="5" spans="1:26">
      <c r="A5" s="78"/>
      <c r="B5" s="85" t="s">
        <v>80</v>
      </c>
      <c r="C5" s="78"/>
      <c r="D5" s="78"/>
      <c r="E5" s="276" t="str">
        <f>"($m Real "&amp;'Tax value roll forward'!H4&amp;")"</f>
        <v>($m Real 2011)</v>
      </c>
      <c r="F5" s="276" t="s">
        <v>82</v>
      </c>
      <c r="G5" s="277"/>
      <c r="H5" s="276"/>
      <c r="I5" s="276"/>
      <c r="J5" s="276" t="s">
        <v>81</v>
      </c>
      <c r="K5" s="276" t="s">
        <v>82</v>
      </c>
      <c r="L5" s="78"/>
      <c r="M5" s="78"/>
      <c r="N5" s="78"/>
      <c r="O5" s="78"/>
      <c r="P5" s="78"/>
      <c r="Q5" s="78"/>
      <c r="R5" s="78"/>
      <c r="S5" s="255"/>
      <c r="T5" s="255"/>
      <c r="U5" s="255"/>
      <c r="V5" s="255"/>
      <c r="W5" s="255"/>
      <c r="X5" s="255"/>
      <c r="Y5" s="255"/>
      <c r="Z5" s="255"/>
    </row>
    <row r="6" spans="1:26" s="201" customFormat="1" ht="12.75" customHeight="1">
      <c r="A6" s="12"/>
      <c r="B6" s="12"/>
      <c r="C6" s="12"/>
      <c r="D6" s="264"/>
      <c r="E6" s="278" t="s">
        <v>83</v>
      </c>
      <c r="F6" s="278" t="s">
        <v>76</v>
      </c>
      <c r="G6" s="12"/>
      <c r="H6" s="9"/>
      <c r="I6" s="9"/>
      <c r="J6" s="279" t="s">
        <v>84</v>
      </c>
      <c r="K6" s="278" t="s">
        <v>79</v>
      </c>
      <c r="L6" s="12"/>
      <c r="M6" s="12"/>
      <c r="N6" s="12"/>
      <c r="O6" s="12"/>
      <c r="P6" s="12"/>
      <c r="Q6" s="12"/>
      <c r="R6" s="12"/>
      <c r="S6" s="255"/>
      <c r="T6" s="255"/>
      <c r="U6" s="255"/>
      <c r="V6" s="255"/>
      <c r="W6" s="255"/>
      <c r="X6" s="255"/>
      <c r="Y6" s="255"/>
      <c r="Z6" s="255"/>
    </row>
    <row r="7" spans="1:26" s="201" customFormat="1" hidden="1" outlineLevel="1">
      <c r="A7" s="12"/>
      <c r="B7" s="273" t="str">
        <f>Asset1</f>
        <v>Subtransmission</v>
      </c>
      <c r="C7" s="12"/>
      <c r="D7" s="12"/>
      <c r="E7" s="278"/>
      <c r="F7" s="278"/>
      <c r="G7" s="12"/>
      <c r="H7" s="9"/>
      <c r="I7" s="9"/>
      <c r="J7" s="9"/>
      <c r="L7" s="12"/>
      <c r="M7" s="12"/>
      <c r="N7" s="12"/>
      <c r="O7" s="12"/>
      <c r="P7" s="12"/>
      <c r="Q7" s="12"/>
      <c r="R7" s="12"/>
      <c r="S7" s="255"/>
      <c r="T7" s="255"/>
      <c r="U7" s="255"/>
      <c r="V7" s="255"/>
      <c r="W7" s="255"/>
      <c r="X7" s="255"/>
      <c r="Y7" s="255"/>
      <c r="Z7" s="255"/>
    </row>
    <row r="8" spans="1:26" ht="12.75" hidden="1" customHeight="1" outlineLevel="1">
      <c r="A8" s="9"/>
      <c r="B8" s="9"/>
      <c r="C8" s="538" t="s">
        <v>5</v>
      </c>
      <c r="D8" s="539"/>
      <c r="E8" s="262">
        <f ca="1">A1value-SUM('Actual RAB roll forward'!H76:OFFSET('Actual RAB roll forward'!H76,0,Input!$Y$7-1))</f>
        <v>167.61982404322305</v>
      </c>
      <c r="F8" s="262">
        <f>IF(A1remlife="N/A","n/a",A1remlife-Input!$Y$7)</f>
        <v>24.475402723576572</v>
      </c>
      <c r="G8" s="258"/>
      <c r="H8" s="299" t="s">
        <v>43</v>
      </c>
      <c r="I8" s="300"/>
      <c r="J8" s="262">
        <f ca="1">A1taxvalue-SUM('Tax value roll forward'!H72:OFFSET('Tax value roll forward'!H72,0,Input!$Y$7-1))</f>
        <v>0</v>
      </c>
      <c r="K8" s="262">
        <f>IF(A1taxremlife="N/A","n/a",A1taxremlife-Input!$Y$7)</f>
        <v>-5</v>
      </c>
      <c r="L8" s="115"/>
      <c r="M8" s="9"/>
      <c r="N8" s="9"/>
      <c r="O8" s="9"/>
      <c r="P8" s="9"/>
      <c r="Q8" s="9"/>
      <c r="R8" s="9"/>
      <c r="S8" s="255"/>
      <c r="T8" s="255"/>
      <c r="U8" s="255"/>
      <c r="V8" s="255"/>
      <c r="W8" s="255"/>
      <c r="X8" s="255"/>
      <c r="Y8" s="255"/>
      <c r="Z8" s="255"/>
    </row>
    <row r="9" spans="1:26" hidden="1" outlineLevel="1">
      <c r="A9" s="9"/>
      <c r="B9" s="9"/>
      <c r="C9" s="540" t="s">
        <v>59</v>
      </c>
      <c r="D9" s="91">
        <v>1</v>
      </c>
      <c r="E9" s="262">
        <f ca="1">OFFSET('Actual RAB roll forward'!H$44,0,D9-1)-SUM('Actual RAB roll forward'!H78:OFFSET('Actual RAB roll forward'!H78,0,Input!$Y$7-1))</f>
        <v>20.656360319145517</v>
      </c>
      <c r="F9" s="262">
        <f ca="1">IF(A1stdlife="N/A","n/a",IF(E9=0,0,A1stdlife+D9-Input!$Y$7))</f>
        <v>41</v>
      </c>
      <c r="G9" s="258"/>
      <c r="H9" s="540" t="s">
        <v>59</v>
      </c>
      <c r="I9" s="91">
        <v>1</v>
      </c>
      <c r="J9" s="262">
        <f ca="1">OFFSET('Tax value roll forward'!H$40,0,I9-1)-SUM('Tax value roll forward'!H74:OFFSET('Tax value roll forward'!H74,0,Input!$Y$7-1))</f>
        <v>0</v>
      </c>
      <c r="K9" s="262">
        <f ca="1">IF(A1taxstdlife="N/A","n/a",IF(J9=0,0,A1taxstdlife+I9-Input!$Y$7))</f>
        <v>0</v>
      </c>
      <c r="L9" s="115"/>
      <c r="M9" s="9"/>
      <c r="N9" s="9"/>
      <c r="O9" s="9"/>
      <c r="P9" s="9"/>
      <c r="Q9" s="9"/>
      <c r="R9" s="9"/>
      <c r="S9" s="255"/>
      <c r="T9" s="255"/>
      <c r="U9" s="255"/>
      <c r="V9" s="255"/>
      <c r="W9" s="255"/>
      <c r="X9" s="255"/>
      <c r="Y9" s="255"/>
      <c r="Z9" s="255"/>
    </row>
    <row r="10" spans="1:26" hidden="1" outlineLevel="1">
      <c r="A10" s="9"/>
      <c r="B10" s="9">
        <v>4.8469512568843003</v>
      </c>
      <c r="C10" s="541"/>
      <c r="D10" s="91">
        <v>2</v>
      </c>
      <c r="E10" s="262">
        <f ca="1">OFFSET('Actual RAB roll forward'!H$44,0,D10-1)-SUM('Actual RAB roll forward'!H79:OFFSET('Actual RAB roll forward'!H79,0,Input!$Y$7-1))</f>
        <v>40.680946059621164</v>
      </c>
      <c r="F10" s="262">
        <f ca="1">IF(A1stdlife="N/A","n/a",IF(E10=0,0,A1stdlife+D10-Input!$Y$7))</f>
        <v>42</v>
      </c>
      <c r="G10" s="258"/>
      <c r="H10" s="541"/>
      <c r="I10" s="91">
        <v>2</v>
      </c>
      <c r="J10" s="262">
        <f ca="1">OFFSET('Tax value roll forward'!H$40,0,I10-1)-SUM('Tax value roll forward'!H75:OFFSET('Tax value roll forward'!H75,0,Input!$Y$7-1))</f>
        <v>0</v>
      </c>
      <c r="K10" s="262">
        <f ca="1">IF(A1taxstdlife="N/A","n/a",IF(J10=0,0,A1taxstdlife+I10-Input!$Y$7))</f>
        <v>0</v>
      </c>
      <c r="L10" s="115"/>
      <c r="M10" s="9"/>
      <c r="N10" s="9"/>
      <c r="O10" s="9"/>
      <c r="P10" s="9"/>
      <c r="Q10" s="9"/>
      <c r="R10" s="9"/>
      <c r="S10" s="255"/>
      <c r="T10" s="255"/>
      <c r="U10" s="255"/>
      <c r="V10" s="255"/>
      <c r="W10" s="255"/>
      <c r="X10" s="255"/>
      <c r="Y10" s="255"/>
      <c r="Z10" s="255"/>
    </row>
    <row r="11" spans="1:26" hidden="1" outlineLevel="1">
      <c r="A11" s="9"/>
      <c r="B11" s="9"/>
      <c r="C11" s="541"/>
      <c r="D11" s="91">
        <v>3</v>
      </c>
      <c r="E11" s="262">
        <f ca="1">OFFSET('Actual RAB roll forward'!H$44,0,D11-1)-SUM('Actual RAB roll forward'!H80:OFFSET('Actual RAB roll forward'!H80,0,Input!$Y$7-1))</f>
        <v>58.682439925662479</v>
      </c>
      <c r="F11" s="262">
        <f ca="1">IF(A1stdlife="N/A","n/a",IF(E11=0,0,A1stdlife+D11-Input!$Y$7))</f>
        <v>43</v>
      </c>
      <c r="G11" s="258"/>
      <c r="H11" s="541"/>
      <c r="I11" s="91">
        <v>3</v>
      </c>
      <c r="J11" s="262">
        <f ca="1">OFFSET('Tax value roll forward'!H$40,0,I11-1)-SUM('Tax value roll forward'!H76:OFFSET('Tax value roll forward'!H76,0,Input!$Y$7-1))</f>
        <v>0</v>
      </c>
      <c r="K11" s="262">
        <f ca="1">IF(A1taxstdlife="N/A","n/a",IF(J11=0,0,A1taxstdlife+I11-Input!$Y$7))</f>
        <v>0</v>
      </c>
      <c r="L11" s="115"/>
      <c r="M11" s="9"/>
      <c r="N11" s="9"/>
      <c r="O11" s="9"/>
      <c r="P11" s="9"/>
      <c r="Q11" s="9"/>
      <c r="R11" s="9"/>
      <c r="S11" s="255"/>
      <c r="T11" s="255"/>
      <c r="U11" s="255"/>
      <c r="V11" s="255"/>
      <c r="W11" s="255"/>
      <c r="X11" s="255"/>
      <c r="Y11" s="255"/>
      <c r="Z11" s="255"/>
    </row>
    <row r="12" spans="1:26" hidden="1" outlineLevel="1">
      <c r="A12" s="9"/>
      <c r="B12" s="9"/>
      <c r="C12" s="541"/>
      <c r="D12" s="91">
        <v>4</v>
      </c>
      <c r="E12" s="262">
        <f ca="1">OFFSET('Actual RAB roll forward'!H$44,0,D12-1)-SUM('Actual RAB roll forward'!H81:OFFSET('Actual RAB roll forward'!H81,0,Input!$Y$7-1))</f>
        <v>58.189094184497158</v>
      </c>
      <c r="F12" s="262">
        <f ca="1">IF(A1stdlife="N/A","n/a",IF(E12=0,0,A1stdlife+D12-Input!$Y$7))</f>
        <v>44</v>
      </c>
      <c r="G12" s="258"/>
      <c r="H12" s="541"/>
      <c r="I12" s="91">
        <v>4</v>
      </c>
      <c r="J12" s="262">
        <f ca="1">OFFSET('Tax value roll forward'!H$40,0,I12-1)-SUM('Tax value roll forward'!H77:OFFSET('Tax value roll forward'!H77,0,Input!$Y$7-1))</f>
        <v>0</v>
      </c>
      <c r="K12" s="262">
        <f ca="1">IF(A1taxstdlife="N/A","n/a",IF(J12=0,0,A1taxstdlife+I12-Input!$Y$7))</f>
        <v>0</v>
      </c>
      <c r="L12" s="115"/>
      <c r="M12" s="9"/>
      <c r="N12" s="9"/>
      <c r="O12" s="9"/>
      <c r="P12" s="9"/>
      <c r="Q12" s="9"/>
      <c r="R12" s="9"/>
      <c r="S12" s="255"/>
      <c r="T12" s="255"/>
      <c r="U12" s="255"/>
      <c r="V12" s="255"/>
      <c r="W12" s="255"/>
      <c r="X12" s="255"/>
      <c r="Y12" s="255"/>
      <c r="Z12" s="255"/>
    </row>
    <row r="13" spans="1:26" hidden="1" outlineLevel="1">
      <c r="A13" s="9"/>
      <c r="B13" s="9"/>
      <c r="C13" s="541"/>
      <c r="D13" s="91">
        <v>5</v>
      </c>
      <c r="E13" s="262">
        <f ca="1">OFFSET('Actual RAB roll forward'!H$44,0,D13-1)-SUM('Actual RAB roll forward'!H82:OFFSET('Actual RAB roll forward'!H82,0,Input!$Y$7-1))</f>
        <v>58.02223776512011</v>
      </c>
      <c r="F13" s="262">
        <f ca="1">IF(A1stdlife="N/A","n/a",IF(E13=0,0,A1stdlife+D13-Input!$Y$7))</f>
        <v>45</v>
      </c>
      <c r="G13" s="258"/>
      <c r="H13" s="541"/>
      <c r="I13" s="91">
        <v>5</v>
      </c>
      <c r="J13" s="262">
        <f ca="1">OFFSET('Tax value roll forward'!H$40,0,I13-1)-SUM('Tax value roll forward'!H78:OFFSET('Tax value roll forward'!H78,0,Input!$Y$7-1))</f>
        <v>62.912230066234429</v>
      </c>
      <c r="K13" s="262">
        <f ca="1">IF(A1taxstdlife="N/A","n/a",IF(J13=0,0,A1taxstdlife+I13-Input!$Y$7))</f>
        <v>0</v>
      </c>
      <c r="L13" s="115"/>
      <c r="M13" s="9"/>
      <c r="N13" s="9"/>
      <c r="O13" s="9"/>
      <c r="P13" s="9"/>
      <c r="Q13" s="9"/>
      <c r="R13" s="9"/>
      <c r="S13" s="255"/>
      <c r="T13" s="255"/>
      <c r="U13" s="255"/>
      <c r="V13" s="255"/>
      <c r="W13" s="255"/>
      <c r="X13" s="255"/>
      <c r="Y13" s="255"/>
      <c r="Z13" s="255"/>
    </row>
    <row r="14" spans="1:26" hidden="1" outlineLevel="1">
      <c r="A14" s="9"/>
      <c r="B14" s="9"/>
      <c r="C14" s="541"/>
      <c r="D14" s="91">
        <v>6</v>
      </c>
      <c r="E14" s="262">
        <f ca="1">OFFSET('Actual RAB roll forward'!H$44,0,D14-1)-SUM('Actual RAB roll forward'!H83:OFFSET('Actual RAB roll forward'!H83,0,Input!$Y$7-1))</f>
        <v>0</v>
      </c>
      <c r="F14" s="262">
        <f ca="1">IF(A1stdlife="N/A","n/a",IF(E14=0,0,A1stdlife+D14-Input!$Y$7))</f>
        <v>0</v>
      </c>
      <c r="G14" s="258"/>
      <c r="H14" s="541"/>
      <c r="I14" s="91">
        <v>6</v>
      </c>
      <c r="J14" s="318">
        <f ca="1">OFFSET('Tax value roll forward'!H$40,0,I14-1)-SUM('Tax value roll forward'!H79:OFFSET('Tax value roll forward'!H79,0,Input!$Y$7-1))</f>
        <v>0</v>
      </c>
      <c r="K14" s="262">
        <f ca="1">IF(A1taxstdlife="N/A","n/a",IF(J14=0,0,A1taxstdlife+I14-Input!$Y$7))</f>
        <v>0</v>
      </c>
      <c r="L14" s="115"/>
      <c r="M14" s="9"/>
      <c r="N14" s="9"/>
      <c r="O14" s="9"/>
      <c r="P14" s="9"/>
      <c r="Q14" s="9"/>
      <c r="R14" s="9"/>
      <c r="S14" s="255"/>
      <c r="T14" s="255"/>
      <c r="U14" s="255"/>
      <c r="V14" s="255"/>
      <c r="W14" s="255"/>
      <c r="X14" s="255"/>
      <c r="Y14" s="255"/>
      <c r="Z14" s="255"/>
    </row>
    <row r="15" spans="1:26" hidden="1" outlineLevel="1">
      <c r="A15" s="9"/>
      <c r="B15" s="9"/>
      <c r="C15" s="541"/>
      <c r="D15" s="91">
        <v>7</v>
      </c>
      <c r="E15" s="262">
        <f ca="1">OFFSET('Actual RAB roll forward'!H$44,0,D15-1)-SUM('Actual RAB roll forward'!H84:OFFSET('Actual RAB roll forward'!H84,0,Input!$Y$7-1))</f>
        <v>0</v>
      </c>
      <c r="F15" s="262">
        <f ca="1">IF(A1stdlife="N/A","n/a",IF(E15=0,0,A1stdlife+D15-Input!$Y$7))</f>
        <v>0</v>
      </c>
      <c r="G15" s="258"/>
      <c r="H15" s="541"/>
      <c r="I15" s="91">
        <v>7</v>
      </c>
      <c r="J15" s="262">
        <f ca="1">OFFSET('Tax value roll forward'!H$40,0,I15-1)-SUM('Tax value roll forward'!H80:OFFSET('Tax value roll forward'!H80,0,Input!$Y$7-1))</f>
        <v>0</v>
      </c>
      <c r="K15" s="262">
        <f ca="1">IF(A1taxstdlife="N/A","n/a",IF(J15=0,0,A1taxstdlife+I15-Input!$Y$7))</f>
        <v>0</v>
      </c>
      <c r="L15" s="115"/>
      <c r="M15" s="9"/>
      <c r="N15" s="9"/>
      <c r="O15" s="9"/>
      <c r="P15" s="9"/>
      <c r="Q15" s="9"/>
      <c r="R15" s="9"/>
      <c r="S15" s="255"/>
      <c r="T15" s="255"/>
      <c r="U15" s="255"/>
      <c r="V15" s="255"/>
      <c r="W15" s="255"/>
      <c r="X15" s="255"/>
      <c r="Y15" s="255"/>
      <c r="Z15" s="255"/>
    </row>
    <row r="16" spans="1:26" hidden="1" outlineLevel="1">
      <c r="A16" s="9"/>
      <c r="B16" s="9"/>
      <c r="C16" s="541"/>
      <c r="D16" s="91">
        <v>8</v>
      </c>
      <c r="E16" s="262">
        <f ca="1">OFFSET('Actual RAB roll forward'!H$44,0,D16-1)-SUM('Actual RAB roll forward'!H85:OFFSET('Actual RAB roll forward'!H85,0,Input!$Y$7-1))</f>
        <v>0</v>
      </c>
      <c r="F16" s="262">
        <f ca="1">IF(A1stdlife="N/A","n/a",IF(E16=0,0,A1stdlife+D16-Input!$Y$7))</f>
        <v>0</v>
      </c>
      <c r="G16" s="258"/>
      <c r="H16" s="541"/>
      <c r="I16" s="91">
        <v>8</v>
      </c>
      <c r="J16" s="262">
        <f ca="1">OFFSET('Tax value roll forward'!H$40,0,I16-1)-SUM('Tax value roll forward'!H81:OFFSET('Tax value roll forward'!H81,0,Input!$Y$7-1))</f>
        <v>0</v>
      </c>
      <c r="K16" s="262">
        <f ca="1">IF(A1taxstdlife="N/A","n/a",IF(J16=0,0,A1taxstdlife+I16-Input!$Y$7))</f>
        <v>0</v>
      </c>
      <c r="L16" s="115"/>
      <c r="M16" s="9"/>
      <c r="N16" s="9"/>
      <c r="O16" s="9"/>
      <c r="P16" s="9"/>
      <c r="Q16" s="9"/>
      <c r="R16" s="9"/>
      <c r="S16" s="255"/>
      <c r="T16" s="255"/>
      <c r="U16" s="255"/>
      <c r="V16" s="255"/>
      <c r="W16" s="255"/>
      <c r="X16" s="255"/>
      <c r="Y16" s="255"/>
      <c r="Z16" s="255"/>
    </row>
    <row r="17" spans="1:26" hidden="1" outlineLevel="1">
      <c r="A17" s="9"/>
      <c r="B17" s="9"/>
      <c r="C17" s="541"/>
      <c r="D17" s="91">
        <v>9</v>
      </c>
      <c r="E17" s="262">
        <f ca="1">OFFSET('Actual RAB roll forward'!H$44,0,D17-1)-SUM('Actual RAB roll forward'!H86:OFFSET('Actual RAB roll forward'!H86,0,Input!$Y$7-1))</f>
        <v>0</v>
      </c>
      <c r="F17" s="262">
        <f ca="1">IF(A1stdlife="N/A","n/a",IF(E17=0,0,A1stdlife+D17-Input!$Y$7))</f>
        <v>0</v>
      </c>
      <c r="G17" s="258"/>
      <c r="H17" s="541"/>
      <c r="I17" s="91">
        <v>9</v>
      </c>
      <c r="J17" s="262">
        <f ca="1">OFFSET('Tax value roll forward'!H$40,0,I17-1)-SUM('Tax value roll forward'!H82:OFFSET('Tax value roll forward'!H82,0,Input!$Y$7-1))</f>
        <v>0</v>
      </c>
      <c r="K17" s="262">
        <f ca="1">IF(A1taxstdlife="N/A","n/a",IF(J17=0,0,A1taxstdlife+I17-Input!$Y$7))</f>
        <v>0</v>
      </c>
      <c r="L17" s="115"/>
      <c r="M17" s="9"/>
      <c r="N17" s="9"/>
      <c r="O17" s="9"/>
      <c r="P17" s="9"/>
      <c r="Q17" s="9"/>
      <c r="R17" s="9"/>
      <c r="S17" s="255"/>
      <c r="T17" s="255"/>
      <c r="U17" s="255"/>
      <c r="V17" s="255"/>
      <c r="W17" s="255"/>
      <c r="X17" s="255"/>
      <c r="Y17" s="255"/>
      <c r="Z17" s="255"/>
    </row>
    <row r="18" spans="1:26" hidden="1" outlineLevel="1">
      <c r="A18" s="9"/>
      <c r="B18" s="9"/>
      <c r="C18" s="542"/>
      <c r="D18" s="92">
        <v>10</v>
      </c>
      <c r="E18" s="262">
        <f ca="1">OFFSET('Actual RAB roll forward'!H$44,0,D18-1)-SUM('Actual RAB roll forward'!H87:OFFSET('Actual RAB roll forward'!H87,0,Input!$Y$7-1))</f>
        <v>0</v>
      </c>
      <c r="F18" s="262">
        <f ca="1">IF(A1stdlife="N/A","n/a",IF(E18=0,0,A1stdlife+D18-Input!$Y$7))</f>
        <v>0</v>
      </c>
      <c r="G18" s="258"/>
      <c r="H18" s="542"/>
      <c r="I18" s="92">
        <v>10</v>
      </c>
      <c r="J18" s="262">
        <f ca="1">OFFSET('Tax value roll forward'!H$40,0,I18-1)-SUM('Tax value roll forward'!H83:OFFSET('Tax value roll forward'!H83,0,Input!$Y$7-1))</f>
        <v>0</v>
      </c>
      <c r="K18" s="262">
        <f ca="1">IF(A1taxstdlife="N/A","n/a",IF(J18=0,0,A1taxstdlife+I18-Input!$Y$7))</f>
        <v>0</v>
      </c>
      <c r="L18" s="115"/>
      <c r="M18" s="9"/>
      <c r="N18" s="9"/>
      <c r="O18" s="9"/>
      <c r="P18" s="9"/>
      <c r="Q18" s="9"/>
      <c r="R18" s="9"/>
      <c r="S18" s="255"/>
      <c r="T18" s="255"/>
      <c r="U18" s="255"/>
      <c r="V18" s="255"/>
      <c r="W18" s="255"/>
      <c r="X18" s="255"/>
      <c r="Y18" s="255"/>
      <c r="Z18" s="255"/>
    </row>
    <row r="19" spans="1:26" collapsed="1">
      <c r="A19" s="9"/>
      <c r="B19" s="9"/>
      <c r="C19" s="115" t="str">
        <f>Asset1</f>
        <v>Subtransmission</v>
      </c>
      <c r="D19" s="9"/>
      <c r="E19" s="262">
        <f ca="1">SUM(E8:E18)</f>
        <v>403.85090229726944</v>
      </c>
      <c r="F19" s="262">
        <f ca="1">IF(E19=0,0,SUMPRODUCT(E8:E18,F8:F18)/E19)</f>
        <v>35.539697656262469</v>
      </c>
      <c r="G19" s="258"/>
      <c r="H19" s="43"/>
      <c r="I19" s="262"/>
      <c r="J19" s="262">
        <f ca="1">SUM(J8:J18)</f>
        <v>62.912230066234429</v>
      </c>
      <c r="K19" s="262">
        <f ca="1">IF(J19=0,0,SUMPRODUCT(J8:J18,K8:K18)/J19)</f>
        <v>0</v>
      </c>
      <c r="L19" s="115"/>
      <c r="M19" s="9"/>
      <c r="N19" s="9"/>
      <c r="O19" s="9"/>
      <c r="P19" s="9"/>
      <c r="Q19" s="9"/>
      <c r="R19" s="9"/>
      <c r="S19" s="255"/>
      <c r="T19" s="255"/>
      <c r="U19" s="255"/>
      <c r="V19" s="255"/>
      <c r="W19" s="255"/>
      <c r="X19" s="255"/>
      <c r="Y19" s="255"/>
      <c r="Z19" s="255"/>
    </row>
    <row r="20" spans="1:26" hidden="1" outlineLevel="1">
      <c r="A20" s="9"/>
      <c r="B20" s="257"/>
      <c r="C20" s="115"/>
      <c r="D20" s="9"/>
      <c r="E20" s="262"/>
      <c r="F20" s="262"/>
      <c r="G20" s="258"/>
      <c r="H20" s="262"/>
      <c r="I20" s="262"/>
      <c r="J20" s="262"/>
      <c r="K20" s="262"/>
      <c r="L20" s="115"/>
      <c r="M20" s="9"/>
      <c r="N20" s="9"/>
      <c r="O20" s="9"/>
      <c r="P20" s="9"/>
      <c r="Q20" s="9"/>
      <c r="R20" s="9"/>
      <c r="S20" s="255"/>
      <c r="T20" s="255"/>
      <c r="U20" s="255"/>
      <c r="V20" s="255"/>
      <c r="W20" s="255"/>
      <c r="X20" s="255"/>
      <c r="Y20" s="255"/>
      <c r="Z20" s="255"/>
    </row>
    <row r="21" spans="1:26" hidden="1" outlineLevel="1">
      <c r="A21" s="9"/>
      <c r="B21" s="273" t="str">
        <f>Asset2</f>
        <v>Distribution system assets</v>
      </c>
      <c r="C21" s="259"/>
      <c r="D21" s="260"/>
      <c r="E21" s="263"/>
      <c r="F21" s="262"/>
      <c r="G21" s="258"/>
      <c r="H21" s="262"/>
      <c r="I21" s="262"/>
      <c r="J21" s="262"/>
      <c r="K21" s="262"/>
      <c r="L21" s="115"/>
      <c r="M21" s="9"/>
      <c r="N21" s="9"/>
      <c r="O21" s="9"/>
      <c r="P21" s="9"/>
      <c r="Q21" s="9"/>
      <c r="R21" s="9"/>
      <c r="S21" s="255"/>
      <c r="T21" s="255"/>
      <c r="U21" s="255"/>
      <c r="V21" s="255"/>
      <c r="W21" s="255"/>
      <c r="X21" s="255"/>
      <c r="Y21" s="255"/>
      <c r="Z21" s="255"/>
    </row>
    <row r="22" spans="1:26" ht="12.75" hidden="1" customHeight="1" outlineLevel="1">
      <c r="A22" s="9"/>
      <c r="B22" s="9"/>
      <c r="C22" s="538" t="s">
        <v>5</v>
      </c>
      <c r="D22" s="539"/>
      <c r="E22" s="262">
        <f ca="1">A2value-SUM('Actual RAB roll forward'!H89:OFFSET('Actual RAB roll forward'!H89,0,Input!$Y$7-1))</f>
        <v>1450.5947328134303</v>
      </c>
      <c r="F22" s="262">
        <f>IF(A2remlife="N/A","n/a",A2remlife-Input!$Y$7)</f>
        <v>24.079692831606991</v>
      </c>
      <c r="G22" s="258"/>
      <c r="H22" s="299" t="s">
        <v>43</v>
      </c>
      <c r="I22" s="300"/>
      <c r="J22" s="262">
        <f ca="1">A2taxvalue-SUM('Tax value roll forward'!H85:OFFSET('Tax value roll forward'!H85,0,Input!$Y$7-1))</f>
        <v>0</v>
      </c>
      <c r="K22" s="262">
        <f>IF(A2taxremlife="N/A","n/a",A2taxremlife-Input!$Y$7)</f>
        <v>-5</v>
      </c>
      <c r="L22" s="115"/>
      <c r="M22" s="9"/>
      <c r="N22" s="9"/>
      <c r="O22" s="9"/>
      <c r="P22" s="9"/>
      <c r="Q22" s="9"/>
      <c r="R22" s="9"/>
      <c r="S22" s="255"/>
      <c r="T22" s="255"/>
      <c r="U22" s="255"/>
      <c r="V22" s="255"/>
      <c r="W22" s="255"/>
      <c r="X22" s="255"/>
      <c r="Y22" s="255"/>
      <c r="Z22" s="255"/>
    </row>
    <row r="23" spans="1:26" hidden="1" outlineLevel="1">
      <c r="A23" s="9"/>
      <c r="B23" s="9"/>
      <c r="C23" s="540" t="s">
        <v>59</v>
      </c>
      <c r="D23" s="91">
        <v>1</v>
      </c>
      <c r="E23" s="262">
        <f ca="1">OFFSET('Actual RAB roll forward'!H$45,0,D23-1)-SUM('Actual RAB roll forward'!H91:OFFSET('Actual RAB roll forward'!H91,0,Input!$Y$7-1))</f>
        <v>173.27706774195514</v>
      </c>
      <c r="F23" s="262">
        <f ca="1">IF(A2stdlife="N/A","n/a",IF(E23=0,0,A2stdlife+D23-Input!$Y$7))</f>
        <v>46</v>
      </c>
      <c r="G23" s="258"/>
      <c r="H23" s="540" t="s">
        <v>59</v>
      </c>
      <c r="I23" s="91">
        <v>1</v>
      </c>
      <c r="J23" s="262">
        <f ca="1">OFFSET('Tax value roll forward'!H$41,0,I23-1)-SUM('Tax value roll forward'!H87:OFFSET('Tax value roll forward'!H87,0,Input!$Y$7-1))</f>
        <v>0</v>
      </c>
      <c r="K23" s="262">
        <f ca="1">IF(A2taxstdlife="N/A","n/a",IF(J23=0,0,A2taxstdlife+I23-Input!$Y$7))</f>
        <v>0</v>
      </c>
      <c r="L23" s="115"/>
      <c r="M23" s="9"/>
      <c r="N23" s="9"/>
      <c r="O23" s="9"/>
      <c r="P23" s="9"/>
      <c r="Q23" s="9"/>
      <c r="R23" s="9"/>
      <c r="S23" s="255"/>
      <c r="T23" s="255"/>
      <c r="U23" s="255"/>
      <c r="V23" s="255"/>
      <c r="W23" s="255"/>
      <c r="X23" s="255"/>
      <c r="Y23" s="255"/>
      <c r="Z23" s="255"/>
    </row>
    <row r="24" spans="1:26" hidden="1" outlineLevel="1">
      <c r="A24" s="9"/>
      <c r="B24" s="9"/>
      <c r="C24" s="541"/>
      <c r="D24" s="91">
        <v>2</v>
      </c>
      <c r="E24" s="262">
        <f ca="1">OFFSET('Actual RAB roll forward'!H$45,0,D24-1)-SUM('Actual RAB roll forward'!H92:OFFSET('Actual RAB roll forward'!H92,0,Input!$Y$7-1))</f>
        <v>189.99717003806981</v>
      </c>
      <c r="F24" s="262">
        <f ca="1">IF(A2stdlife="N/A","n/a",IF(E24=0,0,A2stdlife+D24-Input!$Y$7))</f>
        <v>47</v>
      </c>
      <c r="G24" s="258"/>
      <c r="H24" s="541"/>
      <c r="I24" s="91">
        <v>2</v>
      </c>
      <c r="J24" s="262">
        <f ca="1">OFFSET('Tax value roll forward'!H$41,0,I24-1)-SUM('Tax value roll forward'!H88:OFFSET('Tax value roll forward'!H88,0,Input!$Y$7-1))</f>
        <v>0</v>
      </c>
      <c r="K24" s="262">
        <f ca="1">IF(A2taxstdlife="N/A","n/a",IF(J24=0,0,A2taxstdlife+I24-Input!$Y$7))</f>
        <v>0</v>
      </c>
      <c r="L24" s="115"/>
      <c r="M24" s="9"/>
      <c r="N24" s="9"/>
      <c r="O24" s="9"/>
      <c r="P24" s="9"/>
      <c r="Q24" s="9"/>
      <c r="R24" s="9"/>
      <c r="S24" s="255"/>
      <c r="T24" s="255"/>
      <c r="U24" s="255"/>
      <c r="V24" s="255"/>
      <c r="W24" s="255"/>
      <c r="X24" s="255"/>
      <c r="Y24" s="255"/>
      <c r="Z24" s="255"/>
    </row>
    <row r="25" spans="1:26" hidden="1" outlineLevel="1">
      <c r="A25" s="9"/>
      <c r="B25" s="9"/>
      <c r="C25" s="541"/>
      <c r="D25" s="91">
        <v>3</v>
      </c>
      <c r="E25" s="262">
        <f ca="1">OFFSET('Actual RAB roll forward'!H$45,0,D25-1)-SUM('Actual RAB roll forward'!H93:OFFSET('Actual RAB roll forward'!H93,0,Input!$Y$7-1))</f>
        <v>223.06565952256838</v>
      </c>
      <c r="F25" s="262">
        <f ca="1">IF(A2stdlife="N/A","n/a",IF(E25=0,0,A2stdlife+D25-Input!$Y$7))</f>
        <v>48</v>
      </c>
      <c r="G25" s="258"/>
      <c r="H25" s="541"/>
      <c r="I25" s="91">
        <v>3</v>
      </c>
      <c r="J25" s="262">
        <f ca="1">OFFSET('Tax value roll forward'!H$41,0,I25-1)-SUM('Tax value roll forward'!H89:OFFSET('Tax value roll forward'!H89,0,Input!$Y$7-1))</f>
        <v>0</v>
      </c>
      <c r="K25" s="262">
        <f ca="1">IF(A2taxstdlife="N/A","n/a",IF(J25=0,0,A2taxstdlife+I25-Input!$Y$7))</f>
        <v>0</v>
      </c>
      <c r="L25" s="115"/>
      <c r="M25" s="9"/>
      <c r="N25" s="9"/>
      <c r="O25" s="9"/>
      <c r="P25" s="9"/>
      <c r="Q25" s="9"/>
      <c r="R25" s="9"/>
      <c r="S25" s="255"/>
      <c r="T25" s="255"/>
      <c r="U25" s="255"/>
      <c r="V25" s="255"/>
      <c r="W25" s="255"/>
      <c r="X25" s="255"/>
      <c r="Y25" s="255"/>
      <c r="Z25" s="255"/>
    </row>
    <row r="26" spans="1:26" hidden="1" outlineLevel="1">
      <c r="A26" s="9"/>
      <c r="B26" s="9"/>
      <c r="C26" s="541"/>
      <c r="D26" s="91">
        <v>4</v>
      </c>
      <c r="E26" s="262">
        <f ca="1">OFFSET('Actual RAB roll forward'!H$45,0,D26-1)-SUM('Actual RAB roll forward'!H94:OFFSET('Actual RAB roll forward'!H94,0,Input!$Y$7-1))</f>
        <v>260.39443397129264</v>
      </c>
      <c r="F26" s="262">
        <f ca="1">IF(A2stdlife="N/A","n/a",IF(E26=0,0,A2stdlife+D26-Input!$Y$7))</f>
        <v>49</v>
      </c>
      <c r="G26" s="258"/>
      <c r="H26" s="541"/>
      <c r="I26" s="91">
        <v>4</v>
      </c>
      <c r="J26" s="262">
        <f ca="1">OFFSET('Tax value roll forward'!H$41,0,I26-1)-SUM('Tax value roll forward'!H90:OFFSET('Tax value roll forward'!H90,0,Input!$Y$7-1))</f>
        <v>0</v>
      </c>
      <c r="K26" s="262">
        <f ca="1">IF(A2taxstdlife="N/A","n/a",IF(J26=0,0,A2taxstdlife+I26-Input!$Y$7))</f>
        <v>0</v>
      </c>
      <c r="L26" s="115"/>
      <c r="M26" s="9"/>
      <c r="N26" s="9"/>
      <c r="O26" s="9"/>
      <c r="P26" s="9"/>
      <c r="Q26" s="9"/>
      <c r="R26" s="9"/>
      <c r="S26" s="255"/>
      <c r="T26" s="255"/>
      <c r="U26" s="255"/>
      <c r="V26" s="255"/>
      <c r="W26" s="255"/>
      <c r="X26" s="255"/>
      <c r="Y26" s="255"/>
      <c r="Z26" s="255"/>
    </row>
    <row r="27" spans="1:26" hidden="1" outlineLevel="1">
      <c r="A27" s="9"/>
      <c r="B27" s="9"/>
      <c r="C27" s="541"/>
      <c r="D27" s="91">
        <v>5</v>
      </c>
      <c r="E27" s="262">
        <f ca="1">OFFSET('Actual RAB roll forward'!H$45,0,D27-1)-SUM('Actual RAB roll forward'!H95:OFFSET('Actual RAB roll forward'!H95,0,Input!$Y$7-1))</f>
        <v>241.82700139755025</v>
      </c>
      <c r="F27" s="262">
        <f ca="1">IF(A2stdlife="N/A","n/a",IF(E27=0,0,A2stdlife+D27-Input!$Y$7))</f>
        <v>50</v>
      </c>
      <c r="G27" s="258"/>
      <c r="H27" s="541"/>
      <c r="I27" s="91">
        <v>5</v>
      </c>
      <c r="J27" s="262">
        <f ca="1">OFFSET('Tax value roll forward'!H$41,0,I27-1)-SUM('Tax value roll forward'!H91:OFFSET('Tax value roll forward'!H91,0,Input!$Y$7-1))</f>
        <v>298.49074553462151</v>
      </c>
      <c r="K27" s="262">
        <f ca="1">IF(A2taxstdlife="N/A","n/a",IF(J27=0,0,A2taxstdlife+I27-Input!$Y$7))</f>
        <v>0</v>
      </c>
      <c r="L27" s="115"/>
      <c r="M27" s="9"/>
      <c r="N27" s="9"/>
      <c r="O27" s="9"/>
      <c r="P27" s="9"/>
      <c r="Q27" s="9"/>
      <c r="R27" s="9"/>
      <c r="S27" s="255"/>
      <c r="T27" s="255"/>
      <c r="U27" s="255"/>
      <c r="V27" s="255"/>
      <c r="W27" s="255"/>
      <c r="X27" s="255"/>
      <c r="Y27" s="255"/>
      <c r="Z27" s="255"/>
    </row>
    <row r="28" spans="1:26" hidden="1" outlineLevel="1">
      <c r="A28" s="9"/>
      <c r="B28" s="9"/>
      <c r="C28" s="541"/>
      <c r="D28" s="91">
        <v>6</v>
      </c>
      <c r="E28" s="262">
        <f ca="1">OFFSET('Actual RAB roll forward'!H$45,0,D28-1)-SUM('Actual RAB roll forward'!H96:OFFSET('Actual RAB roll forward'!H96,0,Input!$Y$7-1))</f>
        <v>0</v>
      </c>
      <c r="F28" s="262">
        <f ca="1">IF(A2stdlife="N/A","n/a",IF(E28=0,0,A2stdlife+D28-Input!$Y$7))</f>
        <v>0</v>
      </c>
      <c r="G28" s="258"/>
      <c r="H28" s="541"/>
      <c r="I28" s="91">
        <v>6</v>
      </c>
      <c r="J28" s="262">
        <f ca="1">OFFSET('Tax value roll forward'!H$41,0,I28-1)-SUM('Tax value roll forward'!H92:OFFSET('Tax value roll forward'!H92,0,Input!$Y$7-1))</f>
        <v>0</v>
      </c>
      <c r="K28" s="262">
        <f ca="1">IF(A2taxstdlife="N/A","n/a",IF(J28=0,0,A2taxstdlife+I28-Input!$Y$7))</f>
        <v>0</v>
      </c>
      <c r="L28" s="115"/>
      <c r="M28" s="9"/>
      <c r="N28" s="9"/>
      <c r="O28" s="9"/>
      <c r="P28" s="9"/>
      <c r="Q28" s="9"/>
      <c r="R28" s="9"/>
      <c r="S28" s="255"/>
      <c r="T28" s="255"/>
      <c r="U28" s="255"/>
      <c r="V28" s="255"/>
      <c r="W28" s="255"/>
      <c r="X28" s="255"/>
      <c r="Y28" s="255"/>
      <c r="Z28" s="255"/>
    </row>
    <row r="29" spans="1:26" hidden="1" outlineLevel="1">
      <c r="A29" s="9"/>
      <c r="B29" s="9"/>
      <c r="C29" s="541"/>
      <c r="D29" s="91">
        <v>7</v>
      </c>
      <c r="E29" s="262">
        <f ca="1">OFFSET('Actual RAB roll forward'!H$45,0,D29-1)-SUM('Actual RAB roll forward'!H97:OFFSET('Actual RAB roll forward'!H97,0,Input!$Y$7-1))</f>
        <v>0</v>
      </c>
      <c r="F29" s="262">
        <f ca="1">IF(A2stdlife="N/A","n/a",IF(E29=0,0,A2stdlife+D29-Input!$Y$7))</f>
        <v>0</v>
      </c>
      <c r="G29" s="258"/>
      <c r="H29" s="541"/>
      <c r="I29" s="91">
        <v>7</v>
      </c>
      <c r="J29" s="262">
        <f ca="1">OFFSET('Tax value roll forward'!H$41,0,I29-1)-SUM('Tax value roll forward'!H93:OFFSET('Tax value roll forward'!H93,0,Input!$Y$7-1))</f>
        <v>0</v>
      </c>
      <c r="K29" s="262">
        <f ca="1">IF(A2taxstdlife="N/A","n/a",IF(J29=0,0,A2taxstdlife+I29-Input!$Y$7))</f>
        <v>0</v>
      </c>
      <c r="L29" s="115"/>
      <c r="M29" s="9"/>
      <c r="N29" s="9"/>
      <c r="O29" s="9"/>
      <c r="P29" s="9"/>
      <c r="Q29" s="9"/>
      <c r="R29" s="9"/>
      <c r="S29" s="255"/>
      <c r="T29" s="255"/>
      <c r="U29" s="255"/>
      <c r="V29" s="255"/>
      <c r="W29" s="255"/>
      <c r="X29" s="255"/>
      <c r="Y29" s="255"/>
      <c r="Z29" s="255"/>
    </row>
    <row r="30" spans="1:26" hidden="1" outlineLevel="1">
      <c r="A30" s="9"/>
      <c r="B30" s="9"/>
      <c r="C30" s="541"/>
      <c r="D30" s="91">
        <v>8</v>
      </c>
      <c r="E30" s="262">
        <f ca="1">OFFSET('Actual RAB roll forward'!H$45,0,D30-1)-SUM('Actual RAB roll forward'!H98:OFFSET('Actual RAB roll forward'!H98,0,Input!$Y$7-1))</f>
        <v>0</v>
      </c>
      <c r="F30" s="262">
        <f ca="1">IF(A2stdlife="N/A","n/a",IF(E30=0,0,A2stdlife+D30-Input!$Y$7))</f>
        <v>0</v>
      </c>
      <c r="G30" s="258"/>
      <c r="H30" s="541"/>
      <c r="I30" s="91">
        <v>8</v>
      </c>
      <c r="J30" s="262">
        <f ca="1">OFFSET('Tax value roll forward'!H$41,0,I30-1)-SUM('Tax value roll forward'!H94:OFFSET('Tax value roll forward'!H94,0,Input!$Y$7-1))</f>
        <v>0</v>
      </c>
      <c r="K30" s="262">
        <f ca="1">IF(A2taxstdlife="N/A","n/a",IF(J30=0,0,A2taxstdlife+I30-Input!$Y$7))</f>
        <v>0</v>
      </c>
      <c r="M30" s="9"/>
      <c r="N30" s="9"/>
      <c r="O30" s="9"/>
      <c r="P30" s="9"/>
      <c r="Q30" s="9"/>
      <c r="R30" s="9"/>
      <c r="S30" s="255"/>
      <c r="T30" s="255"/>
      <c r="U30" s="255"/>
      <c r="V30" s="255"/>
      <c r="W30" s="255"/>
      <c r="X30" s="255"/>
      <c r="Y30" s="255"/>
      <c r="Z30" s="255"/>
    </row>
    <row r="31" spans="1:26" hidden="1" outlineLevel="1">
      <c r="A31" s="9"/>
      <c r="B31" s="9"/>
      <c r="C31" s="541"/>
      <c r="D31" s="91">
        <v>9</v>
      </c>
      <c r="E31" s="262">
        <f ca="1">OFFSET('Actual RAB roll forward'!H$45,0,D31-1)-SUM('Actual RAB roll forward'!H99:OFFSET('Actual RAB roll forward'!H99,0,Input!$Y$7-1))</f>
        <v>0</v>
      </c>
      <c r="F31" s="262">
        <f ca="1">IF(A2stdlife="N/A","n/a",IF(E31=0,0,A2stdlife+D31-Input!$Y$7))</f>
        <v>0</v>
      </c>
      <c r="G31" s="258"/>
      <c r="H31" s="541"/>
      <c r="I31" s="91">
        <v>9</v>
      </c>
      <c r="J31" s="262">
        <f ca="1">OFFSET('Tax value roll forward'!H$41,0,I31-1)-SUM('Tax value roll forward'!H95:OFFSET('Tax value roll forward'!H95,0,Input!$Y$7-1))</f>
        <v>0</v>
      </c>
      <c r="K31" s="262">
        <f ca="1">IF(A2taxstdlife="N/A","n/a",IF(J31=0,0,A2taxstdlife+I31-Input!$Y$7))</f>
        <v>0</v>
      </c>
      <c r="L31" s="115"/>
      <c r="M31" s="9"/>
      <c r="N31" s="9"/>
      <c r="O31" s="9"/>
      <c r="P31" s="9"/>
      <c r="Q31" s="9"/>
      <c r="R31" s="9"/>
      <c r="S31" s="255"/>
      <c r="T31" s="255"/>
      <c r="U31" s="255"/>
      <c r="V31" s="255"/>
      <c r="W31" s="255"/>
      <c r="X31" s="255"/>
      <c r="Y31" s="255"/>
      <c r="Z31" s="255"/>
    </row>
    <row r="32" spans="1:26" hidden="1" outlineLevel="1">
      <c r="A32" s="9"/>
      <c r="B32" s="9"/>
      <c r="C32" s="542"/>
      <c r="D32" s="92">
        <v>10</v>
      </c>
      <c r="E32" s="262">
        <f ca="1">OFFSET('Actual RAB roll forward'!H$45,0,D32-1)-SUM('Actual RAB roll forward'!H100:OFFSET('Actual RAB roll forward'!H100,0,Input!$Y$7-1))</f>
        <v>0</v>
      </c>
      <c r="F32" s="262">
        <f ca="1">IF(A2stdlife="N/A","n/a",IF(E32=0,0,A2stdlife+D32-Input!$Y$7))</f>
        <v>0</v>
      </c>
      <c r="G32" s="258"/>
      <c r="H32" s="542"/>
      <c r="I32" s="92">
        <v>10</v>
      </c>
      <c r="J32" s="262">
        <f ca="1">OFFSET('Tax value roll forward'!H$41,0,I32-1)-SUM('Tax value roll forward'!H96:OFFSET('Tax value roll forward'!H96,0,Input!$Y$7-1))</f>
        <v>0</v>
      </c>
      <c r="K32" s="262">
        <f ca="1">IF(A2taxstdlife="N/A","n/a",IF(J32=0,0,A2taxstdlife+I32-Input!$Y$7))</f>
        <v>0</v>
      </c>
      <c r="L32" s="115"/>
      <c r="M32" s="9"/>
      <c r="N32" s="9"/>
      <c r="O32" s="9"/>
      <c r="P32" s="9"/>
      <c r="Q32" s="9"/>
      <c r="R32" s="9"/>
      <c r="S32" s="255"/>
      <c r="T32" s="255"/>
      <c r="U32" s="255"/>
      <c r="V32" s="255"/>
      <c r="W32" s="255"/>
      <c r="X32" s="255"/>
      <c r="Y32" s="255"/>
      <c r="Z32" s="255"/>
    </row>
    <row r="33" spans="1:26" collapsed="1">
      <c r="A33" s="9"/>
      <c r="B33" s="9"/>
      <c r="C33" s="115" t="str">
        <f>Asset2</f>
        <v>Distribution system assets</v>
      </c>
      <c r="D33" s="9"/>
      <c r="E33" s="262">
        <f ca="1">SUM(E22:E32)</f>
        <v>2539.1560654848663</v>
      </c>
      <c r="F33" s="262">
        <f ca="1">IF(E33=0,0,SUMPRODUCT(E22:E32,F22:F32)/E33)</f>
        <v>34.416284164904404</v>
      </c>
      <c r="G33" s="258"/>
      <c r="H33" s="43"/>
      <c r="J33" s="262">
        <f ca="1">SUM(J22:J32)</f>
        <v>298.49074553462151</v>
      </c>
      <c r="K33" s="262">
        <f ca="1">IF(J33=0,0,SUMPRODUCT(J22:J32,K22:K32)/J33)</f>
        <v>0</v>
      </c>
      <c r="L33" s="115"/>
      <c r="M33" s="9"/>
      <c r="N33" s="9"/>
      <c r="O33" s="9"/>
      <c r="P33" s="9"/>
      <c r="Q33" s="9"/>
      <c r="R33" s="9"/>
      <c r="S33" s="255"/>
      <c r="T33" s="255"/>
      <c r="U33" s="255"/>
      <c r="V33" s="255"/>
      <c r="W33" s="255"/>
      <c r="X33" s="255"/>
      <c r="Y33" s="255"/>
      <c r="Z33" s="255"/>
    </row>
    <row r="34" spans="1:26" hidden="1" outlineLevel="1">
      <c r="A34" s="9"/>
      <c r="B34" s="9"/>
      <c r="C34" s="115"/>
      <c r="D34" s="9"/>
      <c r="E34" s="262"/>
      <c r="F34" s="262"/>
      <c r="G34" s="258"/>
      <c r="H34" s="262"/>
      <c r="I34" s="262"/>
      <c r="J34" s="267"/>
      <c r="K34" s="262"/>
      <c r="L34" s="115"/>
      <c r="M34" s="9"/>
      <c r="N34" s="9"/>
      <c r="O34" s="9"/>
      <c r="P34" s="9"/>
      <c r="Q34" s="9"/>
      <c r="R34" s="9"/>
      <c r="S34" s="255"/>
      <c r="T34" s="255"/>
      <c r="U34" s="255"/>
      <c r="V34" s="255"/>
      <c r="W34" s="255"/>
      <c r="X34" s="255"/>
      <c r="Y34" s="255"/>
      <c r="Z34" s="255"/>
    </row>
    <row r="35" spans="1:26" hidden="1" outlineLevel="1">
      <c r="A35" s="9"/>
      <c r="B35" s="273" t="str">
        <f>Asset3</f>
        <v>Standard metering</v>
      </c>
      <c r="C35" s="261"/>
      <c r="D35" s="12"/>
      <c r="E35" s="263"/>
      <c r="F35" s="262"/>
      <c r="G35" s="258"/>
      <c r="H35" s="262"/>
      <c r="I35" s="262"/>
      <c r="J35" s="267"/>
      <c r="K35" s="262"/>
      <c r="L35" s="115"/>
      <c r="M35" s="9"/>
      <c r="N35" s="9"/>
      <c r="O35" s="9"/>
      <c r="P35" s="9"/>
      <c r="Q35" s="9"/>
      <c r="R35" s="9"/>
      <c r="S35" s="255"/>
      <c r="T35" s="255"/>
      <c r="U35" s="255"/>
      <c r="V35" s="255"/>
      <c r="W35" s="255"/>
      <c r="X35" s="255"/>
      <c r="Y35" s="255"/>
      <c r="Z35" s="255"/>
    </row>
    <row r="36" spans="1:26" ht="12.75" hidden="1" customHeight="1" outlineLevel="1">
      <c r="A36" s="9"/>
      <c r="B36" s="9"/>
      <c r="C36" s="538" t="s">
        <v>5</v>
      </c>
      <c r="D36" s="539"/>
      <c r="E36" s="262">
        <f ca="1">A3value-SUM('Actual RAB roll forward'!H102:OFFSET('Actual RAB roll forward'!H102,0,Input!$Y$7-1))</f>
        <v>0</v>
      </c>
      <c r="F36" s="262">
        <f>IF(A3remlife="N/A","n/a",A3remlife-Input!$Y$7)</f>
        <v>-4</v>
      </c>
      <c r="G36" s="258"/>
      <c r="H36" s="299" t="s">
        <v>43</v>
      </c>
      <c r="I36" s="300"/>
      <c r="J36" s="262">
        <f ca="1">A3taxvalue-SUM('Tax value roll forward'!H98:OFFSET('Tax value roll forward'!H98,0,Input!$Y$7-1))</f>
        <v>0</v>
      </c>
      <c r="K36" s="262">
        <f>IF(A3taxremlife="N/A","n/a",A3taxremlife-Input!$Y$7)</f>
        <v>-5</v>
      </c>
      <c r="L36" s="115"/>
      <c r="M36" s="9"/>
      <c r="N36" s="9"/>
      <c r="O36" s="9"/>
      <c r="P36" s="9"/>
      <c r="Q36" s="9"/>
      <c r="R36" s="9"/>
      <c r="S36" s="255"/>
      <c r="T36" s="255"/>
      <c r="U36" s="255"/>
      <c r="V36" s="255"/>
      <c r="W36" s="255"/>
      <c r="X36" s="255"/>
      <c r="Y36" s="255"/>
      <c r="Z36" s="255"/>
    </row>
    <row r="37" spans="1:26" hidden="1" outlineLevel="1">
      <c r="A37" s="9"/>
      <c r="B37" s="9"/>
      <c r="C37" s="540" t="s">
        <v>59</v>
      </c>
      <c r="D37" s="91">
        <v>1</v>
      </c>
      <c r="E37" s="262">
        <f ca="1">OFFSET('Actual RAB roll forward'!H$46,0,D37-1)-SUM('Actual RAB roll forward'!H104:OFFSET('Actual RAB roll forward'!H104,0,Input!$Y$7-1))</f>
        <v>0</v>
      </c>
      <c r="F37" s="262" t="str">
        <f>IF(A3stdlife="N/A","n/a",IF(E37=0,0,A3stdlife+D37-Input!$Y$7))</f>
        <v>n/a</v>
      </c>
      <c r="G37" s="258"/>
      <c r="H37" s="540" t="s">
        <v>59</v>
      </c>
      <c r="I37" s="91">
        <v>1</v>
      </c>
      <c r="J37" s="262">
        <f ca="1">OFFSET('Tax value roll forward'!H$42,0,I37-1)-SUM('Tax value roll forward'!H100:OFFSET('Tax value roll forward'!H100,0,Input!$Y$7-1))</f>
        <v>0</v>
      </c>
      <c r="K37" s="262">
        <f ca="1">IF(A3taxstdlife="N/A","n/a",IF(J37=0,0,A3taxstdlife+I37-Input!$Y$7))</f>
        <v>0</v>
      </c>
      <c r="L37" s="115"/>
      <c r="M37" s="9"/>
      <c r="N37" s="9"/>
      <c r="O37" s="9"/>
      <c r="P37" s="9"/>
      <c r="Q37" s="9"/>
      <c r="R37" s="9"/>
      <c r="S37" s="255"/>
      <c r="T37" s="255"/>
      <c r="U37" s="255"/>
      <c r="V37" s="255"/>
      <c r="W37" s="255"/>
      <c r="X37" s="255"/>
      <c r="Y37" s="255"/>
      <c r="Z37" s="255"/>
    </row>
    <row r="38" spans="1:26" hidden="1" outlineLevel="1">
      <c r="A38" s="9"/>
      <c r="B38" s="9"/>
      <c r="C38" s="541"/>
      <c r="D38" s="91">
        <v>2</v>
      </c>
      <c r="E38" s="262">
        <f ca="1">OFFSET('Actual RAB roll forward'!H$46,0,D38-1)-SUM('Actual RAB roll forward'!H105:OFFSET('Actual RAB roll forward'!H105,0,Input!$Y$7-1))</f>
        <v>0</v>
      </c>
      <c r="F38" s="262" t="str">
        <f>IF(A3stdlife="N/A","n/a",IF(E38=0,0,A3stdlife+D38-Input!$Y$7))</f>
        <v>n/a</v>
      </c>
      <c r="G38" s="258"/>
      <c r="H38" s="541"/>
      <c r="I38" s="91">
        <v>2</v>
      </c>
      <c r="J38" s="262">
        <f ca="1">OFFSET('Tax value roll forward'!H$42,0,I38-1)-SUM('Tax value roll forward'!H101:OFFSET('Tax value roll forward'!H101,0,Input!$Y$7-1))</f>
        <v>0</v>
      </c>
      <c r="K38" s="262">
        <f ca="1">IF(A3taxstdlife="N/A","n/a",IF(J38=0,0,A3taxstdlife+I38-Input!$Y$7))</f>
        <v>0</v>
      </c>
      <c r="L38" s="115"/>
      <c r="M38" s="9"/>
      <c r="N38" s="9"/>
      <c r="O38" s="9"/>
      <c r="P38" s="9"/>
      <c r="Q38" s="9"/>
      <c r="R38" s="9"/>
      <c r="S38" s="255"/>
      <c r="T38" s="255"/>
      <c r="U38" s="255"/>
      <c r="V38" s="255"/>
      <c r="W38" s="255"/>
      <c r="X38" s="255"/>
      <c r="Y38" s="255"/>
      <c r="Z38" s="255"/>
    </row>
    <row r="39" spans="1:26" hidden="1" outlineLevel="1">
      <c r="A39" s="9"/>
      <c r="B39" s="9"/>
      <c r="C39" s="541"/>
      <c r="D39" s="91">
        <v>3</v>
      </c>
      <c r="E39" s="262">
        <f ca="1">OFFSET('Actual RAB roll forward'!H$46,0,D39-1)-SUM('Actual RAB roll forward'!H106:OFFSET('Actual RAB roll forward'!H106,0,Input!$Y$7-1))</f>
        <v>0</v>
      </c>
      <c r="F39" s="262" t="str">
        <f>IF(A3stdlife="N/A","n/a",IF(E39=0,0,A3stdlife+D39-Input!$Y$7))</f>
        <v>n/a</v>
      </c>
      <c r="G39" s="258"/>
      <c r="H39" s="541"/>
      <c r="I39" s="91">
        <v>3</v>
      </c>
      <c r="J39" s="262">
        <f ca="1">OFFSET('Tax value roll forward'!H$42,0,I39-1)-SUM('Tax value roll forward'!H102:OFFSET('Tax value roll forward'!H102,0,Input!$Y$7-1))</f>
        <v>0</v>
      </c>
      <c r="K39" s="262">
        <f ca="1">IF(A3taxstdlife="N/A","n/a",IF(J39=0,0,A3taxstdlife+I39-Input!$Y$7))</f>
        <v>0</v>
      </c>
      <c r="L39" s="115"/>
      <c r="M39" s="9"/>
      <c r="N39" s="9"/>
      <c r="O39" s="9"/>
      <c r="P39" s="9"/>
      <c r="Q39" s="9"/>
      <c r="R39" s="9"/>
      <c r="S39" s="255"/>
      <c r="T39" s="255"/>
      <c r="U39" s="255"/>
      <c r="V39" s="255"/>
      <c r="W39" s="255"/>
      <c r="X39" s="255"/>
      <c r="Y39" s="255"/>
      <c r="Z39" s="255"/>
    </row>
    <row r="40" spans="1:26" hidden="1" outlineLevel="1">
      <c r="A40" s="9"/>
      <c r="B40" s="9"/>
      <c r="C40" s="541"/>
      <c r="D40" s="91">
        <v>4</v>
      </c>
      <c r="E40" s="262">
        <f ca="1">OFFSET('Actual RAB roll forward'!H$46,0,D40-1)-SUM('Actual RAB roll forward'!H107:OFFSET('Actual RAB roll forward'!H107,0,Input!$Y$7-1))</f>
        <v>0</v>
      </c>
      <c r="F40" s="262" t="str">
        <f>IF(A3stdlife="N/A","n/a",IF(E40=0,0,A3stdlife+D40-Input!$Y$7))</f>
        <v>n/a</v>
      </c>
      <c r="G40" s="258"/>
      <c r="H40" s="541"/>
      <c r="I40" s="91">
        <v>4</v>
      </c>
      <c r="J40" s="262">
        <f ca="1">OFFSET('Tax value roll forward'!H$42,0,I40-1)-SUM('Tax value roll forward'!H103:OFFSET('Tax value roll forward'!H103,0,Input!$Y$7-1))</f>
        <v>0</v>
      </c>
      <c r="K40" s="262">
        <f ca="1">IF(A3taxstdlife="N/A","n/a",IF(J40=0,0,A3taxstdlife+I40-Input!$Y$7))</f>
        <v>0</v>
      </c>
      <c r="L40" s="115"/>
      <c r="M40" s="9"/>
      <c r="N40" s="9"/>
      <c r="O40" s="9"/>
      <c r="P40" s="9"/>
      <c r="Q40" s="9"/>
      <c r="R40" s="9"/>
      <c r="S40" s="255"/>
      <c r="T40" s="255"/>
      <c r="U40" s="255"/>
      <c r="V40" s="255"/>
      <c r="W40" s="255"/>
      <c r="X40" s="255"/>
      <c r="Y40" s="255"/>
      <c r="Z40" s="255"/>
    </row>
    <row r="41" spans="1:26" hidden="1" outlineLevel="1">
      <c r="A41" s="9"/>
      <c r="B41" s="9"/>
      <c r="C41" s="541"/>
      <c r="D41" s="91">
        <v>5</v>
      </c>
      <c r="E41" s="262">
        <f ca="1">OFFSET('Actual RAB roll forward'!H$46,0,D41-1)-SUM('Actual RAB roll forward'!H108:OFFSET('Actual RAB roll forward'!H108,0,Input!$Y$7-1))</f>
        <v>0</v>
      </c>
      <c r="F41" s="262" t="str">
        <f>IF(A3stdlife="N/A","n/a",IF(E41=0,0,A3stdlife+D41-Input!$Y$7))</f>
        <v>n/a</v>
      </c>
      <c r="G41" s="258"/>
      <c r="H41" s="541"/>
      <c r="I41" s="91">
        <v>5</v>
      </c>
      <c r="J41" s="262">
        <f ca="1">OFFSET('Tax value roll forward'!H$42,0,I41-1)-SUM('Tax value roll forward'!H104:OFFSET('Tax value roll forward'!H104,0,Input!$Y$7-1))</f>
        <v>0</v>
      </c>
      <c r="K41" s="262">
        <f ca="1">IF(A3taxstdlife="N/A","n/a",IF(J41=0,0,A3taxstdlife+I41-Input!$Y$7))</f>
        <v>0</v>
      </c>
      <c r="L41" s="115"/>
      <c r="M41" s="9"/>
      <c r="N41" s="9"/>
      <c r="O41" s="9"/>
      <c r="P41" s="9"/>
      <c r="Q41" s="9"/>
      <c r="R41" s="9"/>
      <c r="S41" s="255"/>
      <c r="T41" s="255"/>
      <c r="U41" s="255"/>
      <c r="V41" s="255"/>
      <c r="W41" s="255"/>
      <c r="X41" s="255"/>
      <c r="Y41" s="255"/>
      <c r="Z41" s="255"/>
    </row>
    <row r="42" spans="1:26" hidden="1" outlineLevel="1">
      <c r="A42" s="9"/>
      <c r="B42" s="9"/>
      <c r="C42" s="541"/>
      <c r="D42" s="91">
        <v>6</v>
      </c>
      <c r="E42" s="262">
        <f ca="1">OFFSET('Actual RAB roll forward'!H$46,0,D42-1)-SUM('Actual RAB roll forward'!H109:OFFSET('Actual RAB roll forward'!H109,0,Input!$Y$7-1))</f>
        <v>0</v>
      </c>
      <c r="F42" s="262" t="str">
        <f>IF(A3stdlife="N/A","n/a",IF(E42=0,0,A3stdlife+D42-Input!$Y$7))</f>
        <v>n/a</v>
      </c>
      <c r="G42" s="258"/>
      <c r="H42" s="541"/>
      <c r="I42" s="91">
        <v>6</v>
      </c>
      <c r="J42" s="262">
        <f ca="1">OFFSET('Tax value roll forward'!H$42,0,I42-1)-SUM('Tax value roll forward'!H105:OFFSET('Tax value roll forward'!H105,0,Input!$Y$7-1))</f>
        <v>0</v>
      </c>
      <c r="K42" s="262">
        <f ca="1">IF(A3taxstdlife="N/A","n/a",IF(J42=0,0,A3taxstdlife+I42-Input!$Y$7))</f>
        <v>0</v>
      </c>
      <c r="L42" s="115"/>
      <c r="M42" s="9"/>
      <c r="N42" s="9"/>
      <c r="O42" s="9"/>
      <c r="P42" s="9"/>
      <c r="Q42" s="9"/>
      <c r="R42" s="9"/>
      <c r="S42" s="255"/>
      <c r="T42" s="255"/>
      <c r="U42" s="255"/>
      <c r="V42" s="255"/>
      <c r="W42" s="255"/>
      <c r="X42" s="255"/>
      <c r="Y42" s="255"/>
      <c r="Z42" s="255"/>
    </row>
    <row r="43" spans="1:26" hidden="1" outlineLevel="1">
      <c r="A43" s="9"/>
      <c r="B43" s="9"/>
      <c r="C43" s="541"/>
      <c r="D43" s="91">
        <v>7</v>
      </c>
      <c r="E43" s="262">
        <f ca="1">OFFSET('Actual RAB roll forward'!H$46,0,D43-1)-SUM('Actual RAB roll forward'!H110:OFFSET('Actual RAB roll forward'!H110,0,Input!$Y$7-1))</f>
        <v>0</v>
      </c>
      <c r="F43" s="262" t="str">
        <f>IF(A3stdlife="N/A","n/a",IF(E43=0,0,A3stdlife+D43-Input!$Y$7))</f>
        <v>n/a</v>
      </c>
      <c r="G43" s="258"/>
      <c r="H43" s="541"/>
      <c r="I43" s="91">
        <v>7</v>
      </c>
      <c r="J43" s="262">
        <f ca="1">OFFSET('Tax value roll forward'!H$42,0,I43-1)-SUM('Tax value roll forward'!H106:OFFSET('Tax value roll forward'!H106,0,Input!$Y$7-1))</f>
        <v>0</v>
      </c>
      <c r="K43" s="262">
        <f ca="1">IF(A3taxstdlife="N/A","n/a",IF(J43=0,0,A3taxstdlife+I43-Input!$Y$7))</f>
        <v>0</v>
      </c>
      <c r="L43" s="115"/>
      <c r="M43" s="9"/>
      <c r="N43" s="9"/>
      <c r="O43" s="9"/>
      <c r="P43" s="9"/>
      <c r="Q43" s="9"/>
      <c r="R43" s="9"/>
      <c r="S43" s="255"/>
      <c r="T43" s="255"/>
      <c r="U43" s="255"/>
      <c r="V43" s="255"/>
      <c r="W43" s="255"/>
      <c r="X43" s="255"/>
      <c r="Y43" s="255"/>
      <c r="Z43" s="255"/>
    </row>
    <row r="44" spans="1:26" hidden="1" outlineLevel="1">
      <c r="A44" s="9"/>
      <c r="B44" s="9"/>
      <c r="C44" s="541"/>
      <c r="D44" s="91">
        <v>8</v>
      </c>
      <c r="E44" s="262">
        <f ca="1">OFFSET('Actual RAB roll forward'!H$46,0,D44-1)-SUM('Actual RAB roll forward'!H111:OFFSET('Actual RAB roll forward'!H111,0,Input!$Y$7-1))</f>
        <v>0</v>
      </c>
      <c r="F44" s="262" t="str">
        <f>IF(A3stdlife="N/A","n/a",IF(E44=0,0,A3stdlife+D44-Input!$Y$7))</f>
        <v>n/a</v>
      </c>
      <c r="G44" s="258"/>
      <c r="H44" s="541"/>
      <c r="I44" s="91">
        <v>8</v>
      </c>
      <c r="J44" s="262">
        <f ca="1">OFFSET('Tax value roll forward'!H$42,0,I44-1)-SUM('Tax value roll forward'!H107:OFFSET('Tax value roll forward'!H107,0,Input!$Y$7-1))</f>
        <v>0</v>
      </c>
      <c r="K44" s="262">
        <f ca="1">IF(A3taxstdlife="N/A","n/a",IF(J44=0,0,A3taxstdlife+I44-Input!$Y$7))</f>
        <v>0</v>
      </c>
      <c r="L44" s="115"/>
      <c r="M44" s="9"/>
      <c r="N44" s="9"/>
      <c r="O44" s="9"/>
      <c r="P44" s="9"/>
      <c r="Q44" s="9"/>
      <c r="R44" s="9"/>
      <c r="S44" s="255"/>
      <c r="T44" s="255"/>
      <c r="U44" s="255"/>
      <c r="V44" s="255"/>
      <c r="W44" s="255"/>
      <c r="X44" s="255"/>
      <c r="Y44" s="255"/>
      <c r="Z44" s="255"/>
    </row>
    <row r="45" spans="1:26" hidden="1" outlineLevel="1">
      <c r="A45" s="9"/>
      <c r="B45" s="9"/>
      <c r="C45" s="541"/>
      <c r="D45" s="91">
        <v>9</v>
      </c>
      <c r="E45" s="262">
        <f ca="1">OFFSET('Actual RAB roll forward'!H$46,0,D45-1)-SUM('Actual RAB roll forward'!H112:OFFSET('Actual RAB roll forward'!H112,0,Input!$Y$7-1))</f>
        <v>0</v>
      </c>
      <c r="F45" s="262" t="str">
        <f>IF(A3stdlife="N/A","n/a",IF(E45=0,0,A3stdlife+D45-Input!$Y$7))</f>
        <v>n/a</v>
      </c>
      <c r="G45" s="258"/>
      <c r="H45" s="541"/>
      <c r="I45" s="91">
        <v>9</v>
      </c>
      <c r="J45" s="262">
        <f ca="1">OFFSET('Tax value roll forward'!H$42,0,I45-1)-SUM('Tax value roll forward'!H108:OFFSET('Tax value roll forward'!H108,0,Input!$Y$7-1))</f>
        <v>0</v>
      </c>
      <c r="K45" s="262">
        <f ca="1">IF(A3taxstdlife="N/A","n/a",IF(J45=0,0,A3taxstdlife+I45-Input!$Y$7))</f>
        <v>0</v>
      </c>
      <c r="L45" s="115"/>
      <c r="M45" s="9"/>
      <c r="N45" s="9"/>
      <c r="O45" s="9"/>
      <c r="P45" s="9"/>
      <c r="Q45" s="9"/>
      <c r="R45" s="9"/>
      <c r="S45" s="255"/>
      <c r="T45" s="255"/>
      <c r="U45" s="255"/>
      <c r="V45" s="255"/>
      <c r="W45" s="255"/>
      <c r="X45" s="255"/>
      <c r="Y45" s="255"/>
      <c r="Z45" s="255"/>
    </row>
    <row r="46" spans="1:26" hidden="1" outlineLevel="1">
      <c r="A46" s="9"/>
      <c r="B46" s="9"/>
      <c r="C46" s="542"/>
      <c r="D46" s="92">
        <v>10</v>
      </c>
      <c r="E46" s="262">
        <f ca="1">OFFSET('Actual RAB roll forward'!H$46,0,D46-1)-SUM('Actual RAB roll forward'!H113:OFFSET('Actual RAB roll forward'!H113,0,Input!$Y$7-1))</f>
        <v>0</v>
      </c>
      <c r="F46" s="262" t="str">
        <f>IF(A3stdlife="N/A","n/a",IF(E46=0,0,A3stdlife+D46-Input!$Y$7))</f>
        <v>n/a</v>
      </c>
      <c r="G46" s="258"/>
      <c r="H46" s="542"/>
      <c r="I46" s="92">
        <v>10</v>
      </c>
      <c r="J46" s="262">
        <f ca="1">OFFSET('Tax value roll forward'!H$42,0,I46-1)-SUM('Tax value roll forward'!H109:OFFSET('Tax value roll forward'!H109,0,Input!$Y$7-1))</f>
        <v>0</v>
      </c>
      <c r="K46" s="262">
        <f ca="1">IF(A3taxstdlife="N/A","n/a",IF(J46=0,0,A3taxstdlife+I46-Input!$Y$7))</f>
        <v>0</v>
      </c>
      <c r="L46" s="115"/>
      <c r="M46" s="9"/>
      <c r="N46" s="9"/>
      <c r="O46" s="9"/>
      <c r="P46" s="9"/>
      <c r="Q46" s="9"/>
      <c r="R46" s="9"/>
      <c r="S46" s="255"/>
      <c r="T46" s="255"/>
      <c r="U46" s="255"/>
      <c r="V46" s="255"/>
      <c r="W46" s="255"/>
      <c r="X46" s="255"/>
      <c r="Y46" s="255"/>
      <c r="Z46" s="255"/>
    </row>
    <row r="47" spans="1:26" collapsed="1">
      <c r="A47" s="9"/>
      <c r="B47" s="9"/>
      <c r="C47" s="115" t="str">
        <f>Asset3</f>
        <v>Standard metering</v>
      </c>
      <c r="D47" s="9"/>
      <c r="E47" s="262">
        <f ca="1">SUM(E36:E46)</f>
        <v>0</v>
      </c>
      <c r="F47" s="262">
        <f ca="1">IF(E47=0,0,SUMPRODUCT(E36:E46,F36:F46)/E47)</f>
        <v>0</v>
      </c>
      <c r="G47" s="258"/>
      <c r="H47" s="43"/>
      <c r="I47" s="262"/>
      <c r="J47" s="262">
        <f ca="1">SUM(J36:J46)</f>
        <v>0</v>
      </c>
      <c r="K47" s="262">
        <f ca="1">IF(J47=0,0,SUMPRODUCT(J36:J46,K36:K46)/J47)</f>
        <v>0</v>
      </c>
      <c r="L47" s="115"/>
      <c r="M47" s="9"/>
      <c r="N47" s="9"/>
      <c r="O47" s="9"/>
      <c r="P47" s="9"/>
      <c r="Q47" s="9"/>
      <c r="R47" s="9"/>
      <c r="S47" s="255"/>
      <c r="T47" s="255"/>
      <c r="U47" s="255"/>
      <c r="V47" s="255"/>
      <c r="W47" s="255"/>
      <c r="X47" s="255"/>
      <c r="Y47" s="255"/>
      <c r="Z47" s="255"/>
    </row>
    <row r="48" spans="1:26" hidden="1" outlineLevel="1">
      <c r="A48" s="9"/>
      <c r="B48" s="9"/>
      <c r="C48" s="115"/>
      <c r="D48" s="9"/>
      <c r="E48" s="262"/>
      <c r="F48" s="262"/>
      <c r="G48" s="258"/>
      <c r="H48" s="262"/>
      <c r="I48" s="262"/>
      <c r="J48" s="267"/>
      <c r="K48" s="262"/>
      <c r="L48" s="115"/>
      <c r="M48" s="9"/>
      <c r="N48" s="9"/>
      <c r="O48" s="9"/>
      <c r="P48" s="9"/>
      <c r="Q48" s="9"/>
      <c r="R48" s="9"/>
      <c r="S48" s="255"/>
      <c r="T48" s="255"/>
      <c r="U48" s="255"/>
      <c r="V48" s="255"/>
      <c r="W48" s="255"/>
      <c r="X48" s="255"/>
      <c r="Y48" s="255"/>
      <c r="Z48" s="255"/>
    </row>
    <row r="49" spans="1:26" hidden="1" outlineLevel="1">
      <c r="A49" s="9"/>
      <c r="B49" s="273" t="str">
        <f>Asset4</f>
        <v>Public lighting</v>
      </c>
      <c r="C49" s="9"/>
      <c r="D49" s="9"/>
      <c r="E49" s="262"/>
      <c r="F49" s="262"/>
      <c r="G49" s="258"/>
      <c r="H49" s="262"/>
      <c r="I49" s="262"/>
      <c r="J49" s="267"/>
      <c r="K49" s="262"/>
      <c r="L49" s="115"/>
      <c r="M49" s="9"/>
      <c r="N49" s="9"/>
      <c r="O49" s="9"/>
      <c r="P49" s="9"/>
      <c r="Q49" s="9"/>
      <c r="R49" s="9"/>
      <c r="S49" s="255"/>
      <c r="T49" s="255"/>
      <c r="U49" s="255"/>
      <c r="V49" s="255"/>
      <c r="W49" s="255"/>
      <c r="X49" s="255"/>
      <c r="Y49" s="255"/>
      <c r="Z49" s="255"/>
    </row>
    <row r="50" spans="1:26" ht="12.75" hidden="1" customHeight="1" outlineLevel="1">
      <c r="A50" s="9"/>
      <c r="B50" s="9"/>
      <c r="C50" s="543" t="s">
        <v>5</v>
      </c>
      <c r="D50" s="544"/>
      <c r="E50" s="262">
        <f ca="1">A4value-SUM('Actual RAB roll forward'!H115:OFFSET('Actual RAB roll forward'!H115,0,Input!$Y$7-1))</f>
        <v>0</v>
      </c>
      <c r="F50" s="262">
        <f>IF(A4remlife="N/A","n/a",A4remlife-Input!$Y$7)</f>
        <v>-4</v>
      </c>
      <c r="G50" s="258"/>
      <c r="H50" s="299" t="s">
        <v>43</v>
      </c>
      <c r="I50" s="300"/>
      <c r="J50" s="262">
        <f ca="1">A4taxvalue-SUM('Tax value roll forward'!H111:OFFSET('Tax value roll forward'!H111,0,Input!$Y$7-1))</f>
        <v>0</v>
      </c>
      <c r="K50" s="262">
        <f>IF(A4taxremlife="N/A","n/a",A4taxremlife-Input!$Y$7)</f>
        <v>-5</v>
      </c>
      <c r="L50" s="115"/>
      <c r="M50" s="9"/>
      <c r="N50" s="9"/>
      <c r="O50" s="9"/>
      <c r="P50" s="9"/>
      <c r="Q50" s="9"/>
      <c r="R50" s="9"/>
      <c r="S50" s="255"/>
      <c r="T50" s="255"/>
      <c r="U50" s="255"/>
      <c r="V50" s="255"/>
      <c r="W50" s="255"/>
      <c r="X50" s="255"/>
      <c r="Y50" s="255"/>
      <c r="Z50" s="255"/>
    </row>
    <row r="51" spans="1:26" hidden="1" outlineLevel="1">
      <c r="A51" s="9"/>
      <c r="B51" s="9"/>
      <c r="C51" s="540" t="s">
        <v>59</v>
      </c>
      <c r="D51" s="91">
        <v>1</v>
      </c>
      <c r="E51" s="262">
        <f ca="1">OFFSET('Actual RAB roll forward'!H$47,0,D51-1)-SUM('Actual RAB roll forward'!H117:OFFSET('Actual RAB roll forward'!H117,0,Input!$Y$7-1))</f>
        <v>0</v>
      </c>
      <c r="F51" s="262" t="str">
        <f>IF(A4stdlife="N/A","n/a",IF(E51=0,0,A4stdlife+D51-Input!$Y$7))</f>
        <v>n/a</v>
      </c>
      <c r="G51" s="258"/>
      <c r="H51" s="540" t="s">
        <v>59</v>
      </c>
      <c r="I51" s="91">
        <v>1</v>
      </c>
      <c r="J51" s="262">
        <f ca="1">OFFSET('Tax value roll forward'!H$43,0,I51-1)-SUM('Tax value roll forward'!H113:OFFSET('Tax value roll forward'!H113,0,Input!$Y$7-1))</f>
        <v>0</v>
      </c>
      <c r="K51" s="262">
        <f ca="1">IF(A4taxstdlife="N/A","n/a",IF(J51=0,0,A4taxstdlife+I51-Input!$Y$7))</f>
        <v>0</v>
      </c>
      <c r="L51" s="115"/>
      <c r="M51" s="9"/>
      <c r="N51" s="9"/>
      <c r="O51" s="9"/>
      <c r="P51" s="9"/>
      <c r="Q51" s="9"/>
      <c r="R51" s="9"/>
      <c r="S51" s="255"/>
      <c r="T51" s="255"/>
      <c r="U51" s="255"/>
      <c r="V51" s="255"/>
      <c r="W51" s="255"/>
      <c r="X51" s="255"/>
      <c r="Y51" s="255"/>
      <c r="Z51" s="255"/>
    </row>
    <row r="52" spans="1:26" hidden="1" outlineLevel="1">
      <c r="A52" s="9"/>
      <c r="B52" s="9"/>
      <c r="C52" s="541"/>
      <c r="D52" s="91">
        <v>2</v>
      </c>
      <c r="E52" s="262">
        <f ca="1">OFFSET('Actual RAB roll forward'!H$47,0,D52-1)-SUM('Actual RAB roll forward'!H118:OFFSET('Actual RAB roll forward'!H118,0,Input!$Y$7-1))</f>
        <v>0</v>
      </c>
      <c r="F52" s="262" t="str">
        <f>IF(A4stdlife="N/A","n/a",IF(E52=0,0,A4stdlife+D52-Input!$Y$7))</f>
        <v>n/a</v>
      </c>
      <c r="G52" s="258"/>
      <c r="H52" s="541"/>
      <c r="I52" s="91">
        <v>2</v>
      </c>
      <c r="J52" s="262">
        <f ca="1">OFFSET('Tax value roll forward'!H$43,0,I52-1)-SUM('Tax value roll forward'!H114:OFFSET('Tax value roll forward'!H114,0,Input!$Y$7-1))</f>
        <v>0</v>
      </c>
      <c r="K52" s="262">
        <f ca="1">IF(A4taxstdlife="N/A","n/a",IF(J52=0,0,A4taxstdlife+I52-Input!$Y$7))</f>
        <v>0</v>
      </c>
      <c r="L52" s="115"/>
      <c r="M52" s="9"/>
      <c r="N52" s="9"/>
      <c r="O52" s="9"/>
      <c r="P52" s="9"/>
      <c r="Q52" s="9"/>
      <c r="R52" s="9"/>
      <c r="S52" s="255"/>
      <c r="T52" s="255"/>
      <c r="U52" s="255"/>
      <c r="V52" s="255"/>
      <c r="W52" s="255"/>
      <c r="X52" s="255"/>
      <c r="Y52" s="255"/>
      <c r="Z52" s="255"/>
    </row>
    <row r="53" spans="1:26" hidden="1" outlineLevel="1">
      <c r="A53" s="9"/>
      <c r="B53" s="9"/>
      <c r="C53" s="541"/>
      <c r="D53" s="91">
        <v>3</v>
      </c>
      <c r="E53" s="262">
        <f ca="1">OFFSET('Actual RAB roll forward'!H$47,0,D53-1)-SUM('Actual RAB roll forward'!H119:OFFSET('Actual RAB roll forward'!H119,0,Input!$Y$7-1))</f>
        <v>0</v>
      </c>
      <c r="F53" s="326" t="str">
        <f>IF(A4stdlife="N/A","n/a",IF(E53=0,0,A4stdlife+D53-Input!$Y$7))</f>
        <v>n/a</v>
      </c>
      <c r="G53" s="258"/>
      <c r="H53" s="541"/>
      <c r="I53" s="91">
        <v>3</v>
      </c>
      <c r="J53" s="262">
        <f ca="1">OFFSET('Tax value roll forward'!H$43,0,I53-1)-SUM('Tax value roll forward'!H115:OFFSET('Tax value roll forward'!H115,0,Input!$Y$7-1))</f>
        <v>0</v>
      </c>
      <c r="K53" s="262">
        <f ca="1">IF(A4taxstdlife="N/A","n/a",IF(J53=0,0,A4taxstdlife+I53-Input!$Y$7))</f>
        <v>0</v>
      </c>
      <c r="L53" s="115"/>
      <c r="M53" s="9"/>
      <c r="N53" s="9"/>
      <c r="O53" s="9"/>
      <c r="P53" s="9"/>
      <c r="Q53" s="9"/>
      <c r="R53" s="9"/>
      <c r="S53" s="255"/>
      <c r="T53" s="255"/>
      <c r="U53" s="255"/>
      <c r="V53" s="255"/>
      <c r="W53" s="255"/>
      <c r="X53" s="255"/>
      <c r="Y53" s="255"/>
      <c r="Z53" s="255"/>
    </row>
    <row r="54" spans="1:26" hidden="1" outlineLevel="1">
      <c r="A54" s="9"/>
      <c r="B54" s="9"/>
      <c r="C54" s="541"/>
      <c r="D54" s="91">
        <v>4</v>
      </c>
      <c r="E54" s="262">
        <f ca="1">OFFSET('Actual RAB roll forward'!H$47,0,D54-1)-SUM('Actual RAB roll forward'!H120:OFFSET('Actual RAB roll forward'!H120,0,Input!$Y$7-1))</f>
        <v>0</v>
      </c>
      <c r="F54" s="262" t="str">
        <f>IF(A4stdlife="N/A","n/a",IF(E54=0,0,A4stdlife+D54-Input!$Y$7))</f>
        <v>n/a</v>
      </c>
      <c r="G54" s="258"/>
      <c r="H54" s="541"/>
      <c r="I54" s="91">
        <v>4</v>
      </c>
      <c r="J54" s="262">
        <f ca="1">OFFSET('Tax value roll forward'!H$43,0,I54-1)-SUM('Tax value roll forward'!H116:OFFSET('Tax value roll forward'!H116,0,Input!$Y$7-1))</f>
        <v>0</v>
      </c>
      <c r="K54" s="262">
        <f ca="1">IF(A4taxstdlife="N/A","n/a",IF(J54=0,0,A4taxstdlife+I54-Input!$Y$7))</f>
        <v>0</v>
      </c>
      <c r="L54" s="115"/>
      <c r="M54" s="9"/>
      <c r="N54" s="9"/>
      <c r="O54" s="9"/>
      <c r="P54" s="9"/>
      <c r="Q54" s="9"/>
      <c r="R54" s="9"/>
      <c r="S54" s="255"/>
      <c r="T54" s="255"/>
      <c r="U54" s="255"/>
      <c r="V54" s="255"/>
      <c r="W54" s="255"/>
      <c r="X54" s="255"/>
      <c r="Y54" s="255"/>
      <c r="Z54" s="255"/>
    </row>
    <row r="55" spans="1:26" hidden="1" outlineLevel="1">
      <c r="A55" s="9"/>
      <c r="B55" s="9"/>
      <c r="C55" s="541"/>
      <c r="D55" s="91">
        <v>5</v>
      </c>
      <c r="E55" s="262">
        <f ca="1">OFFSET('Actual RAB roll forward'!H$47,0,D55-1)-SUM('Actual RAB roll forward'!H121:OFFSET('Actual RAB roll forward'!H121,0,Input!$Y$7-1))</f>
        <v>0</v>
      </c>
      <c r="F55" s="262" t="str">
        <f>IF(A4stdlife="N/A","n/a",IF(E55=0,0,A4stdlife+D55-Input!$Y$7))</f>
        <v>n/a</v>
      </c>
      <c r="G55" s="258"/>
      <c r="H55" s="541"/>
      <c r="I55" s="91">
        <v>5</v>
      </c>
      <c r="J55" s="262">
        <f ca="1">OFFSET('Tax value roll forward'!H$43,0,I55-1)-SUM('Tax value roll forward'!H117:OFFSET('Tax value roll forward'!H117,0,Input!$Y$7-1))</f>
        <v>0</v>
      </c>
      <c r="K55" s="262">
        <f ca="1">IF(A4taxstdlife="N/A","n/a",IF(J55=0,0,A4taxstdlife+I55-Input!$Y$7))</f>
        <v>0</v>
      </c>
      <c r="L55" s="115"/>
      <c r="M55" s="9"/>
      <c r="N55" s="9"/>
      <c r="O55" s="9"/>
      <c r="P55" s="9"/>
      <c r="Q55" s="9"/>
      <c r="R55" s="9"/>
      <c r="S55" s="255"/>
      <c r="T55" s="255"/>
      <c r="U55" s="255"/>
      <c r="V55" s="255"/>
      <c r="W55" s="255"/>
      <c r="X55" s="255"/>
      <c r="Y55" s="255"/>
      <c r="Z55" s="255"/>
    </row>
    <row r="56" spans="1:26" hidden="1" outlineLevel="1">
      <c r="A56" s="9"/>
      <c r="B56" s="9"/>
      <c r="C56" s="541"/>
      <c r="D56" s="91">
        <v>6</v>
      </c>
      <c r="E56" s="262">
        <f ca="1">OFFSET('Actual RAB roll forward'!H$47,0,D56-1)-SUM('Actual RAB roll forward'!H122:OFFSET('Actual RAB roll forward'!H122,0,Input!$Y$7-1))</f>
        <v>0</v>
      </c>
      <c r="F56" s="262" t="str">
        <f>IF(A4stdlife="N/A","n/a",IF(E56=0,0,A4stdlife+D56-Input!$Y$7))</f>
        <v>n/a</v>
      </c>
      <c r="G56" s="258"/>
      <c r="H56" s="541"/>
      <c r="I56" s="91">
        <v>6</v>
      </c>
      <c r="J56" s="262">
        <f ca="1">OFFSET('Tax value roll forward'!H$43,0,I56-1)-SUM('Tax value roll forward'!H118:OFFSET('Tax value roll forward'!H118,0,Input!$Y$7-1))</f>
        <v>0</v>
      </c>
      <c r="K56" s="262">
        <f ca="1">IF(A4taxstdlife="N/A","n/a",IF(J56=0,0,A4taxstdlife+I56-Input!$Y$7))</f>
        <v>0</v>
      </c>
      <c r="L56" s="115"/>
      <c r="M56" s="9"/>
      <c r="N56" s="9"/>
      <c r="O56" s="9"/>
      <c r="P56" s="9"/>
      <c r="Q56" s="9"/>
      <c r="R56" s="9"/>
      <c r="S56" s="255"/>
      <c r="T56" s="255"/>
      <c r="U56" s="255"/>
      <c r="V56" s="255"/>
      <c r="W56" s="255"/>
      <c r="X56" s="255"/>
      <c r="Y56" s="255"/>
      <c r="Z56" s="255"/>
    </row>
    <row r="57" spans="1:26" hidden="1" outlineLevel="1">
      <c r="A57" s="9"/>
      <c r="B57" s="9"/>
      <c r="C57" s="541"/>
      <c r="D57" s="91">
        <v>7</v>
      </c>
      <c r="E57" s="262">
        <f ca="1">OFFSET('Actual RAB roll forward'!H$47,0,D57-1)-SUM('Actual RAB roll forward'!H123:OFFSET('Actual RAB roll forward'!H123,0,Input!$Y$7-1))</f>
        <v>0</v>
      </c>
      <c r="F57" s="262" t="str">
        <f>IF(A4stdlife="N/A","n/a",IF(E57=0,0,A4stdlife+D57-Input!$Y$7))</f>
        <v>n/a</v>
      </c>
      <c r="G57" s="258"/>
      <c r="H57" s="541"/>
      <c r="I57" s="91">
        <v>7</v>
      </c>
      <c r="J57" s="262">
        <f ca="1">OFFSET('Tax value roll forward'!H$43,0,I57-1)-SUM('Tax value roll forward'!H119:OFFSET('Tax value roll forward'!H119,0,Input!$Y$7-1))</f>
        <v>0</v>
      </c>
      <c r="K57" s="262">
        <f ca="1">IF(A4taxstdlife="N/A","n/a",IF(J57=0,0,A4taxstdlife+I57-Input!$Y$7))</f>
        <v>0</v>
      </c>
      <c r="L57" s="115"/>
      <c r="M57" s="9"/>
      <c r="N57" s="9"/>
      <c r="O57" s="9"/>
      <c r="P57" s="9"/>
      <c r="Q57" s="9"/>
      <c r="R57" s="9"/>
      <c r="S57" s="255"/>
      <c r="T57" s="255"/>
      <c r="U57" s="255"/>
      <c r="V57" s="255"/>
      <c r="W57" s="255"/>
      <c r="X57" s="255"/>
      <c r="Y57" s="255"/>
      <c r="Z57" s="255"/>
    </row>
    <row r="58" spans="1:26" hidden="1" outlineLevel="1">
      <c r="A58" s="9"/>
      <c r="B58" s="9"/>
      <c r="C58" s="541"/>
      <c r="D58" s="91">
        <v>8</v>
      </c>
      <c r="E58" s="262">
        <f ca="1">OFFSET('Actual RAB roll forward'!H$47,0,D58-1)-SUM('Actual RAB roll forward'!H124:OFFSET('Actual RAB roll forward'!H124,0,Input!$Y$7-1))</f>
        <v>0</v>
      </c>
      <c r="F58" s="262" t="str">
        <f>IF(A4stdlife="N/A","n/a",IF(E58=0,0,A4stdlife+D58-Input!$Y$7))</f>
        <v>n/a</v>
      </c>
      <c r="G58" s="258"/>
      <c r="H58" s="541"/>
      <c r="I58" s="91">
        <v>8</v>
      </c>
      <c r="J58" s="262">
        <f ca="1">OFFSET('Tax value roll forward'!H$43,0,I58-1)-SUM('Tax value roll forward'!H120:OFFSET('Tax value roll forward'!H120,0,Input!$Y$7-1))</f>
        <v>0</v>
      </c>
      <c r="K58" s="262">
        <f ca="1">IF(A4taxstdlife="N/A","n/a",IF(J58=0,0,A4taxstdlife+I58-Input!$Y$7))</f>
        <v>0</v>
      </c>
      <c r="L58" s="115"/>
      <c r="M58" s="9"/>
      <c r="N58" s="9"/>
      <c r="O58" s="9"/>
      <c r="P58" s="9"/>
      <c r="Q58" s="9"/>
      <c r="R58" s="9"/>
      <c r="S58" s="255"/>
      <c r="T58" s="255"/>
      <c r="U58" s="255"/>
      <c r="V58" s="255"/>
      <c r="W58" s="255"/>
      <c r="X58" s="255"/>
      <c r="Y58" s="255"/>
      <c r="Z58" s="255"/>
    </row>
    <row r="59" spans="1:26" hidden="1" outlineLevel="1">
      <c r="A59" s="9"/>
      <c r="B59" s="9"/>
      <c r="C59" s="541"/>
      <c r="D59" s="91">
        <v>9</v>
      </c>
      <c r="E59" s="262">
        <f ca="1">OFFSET('Actual RAB roll forward'!H$47,0,D59-1)-SUM('Actual RAB roll forward'!H125:OFFSET('Actual RAB roll forward'!H125,0,Input!$Y$7-1))</f>
        <v>0</v>
      </c>
      <c r="F59" s="262" t="str">
        <f>IF(A4stdlife="N/A","n/a",IF(E59=0,0,A4stdlife+D59-Input!$Y$7))</f>
        <v>n/a</v>
      </c>
      <c r="G59" s="258"/>
      <c r="H59" s="541"/>
      <c r="I59" s="91">
        <v>9</v>
      </c>
      <c r="J59" s="262">
        <f ca="1">OFFSET('Tax value roll forward'!H$43,0,I59-1)-SUM('Tax value roll forward'!H121:OFFSET('Tax value roll forward'!H121,0,Input!$Y$7-1))</f>
        <v>0</v>
      </c>
      <c r="K59" s="262">
        <f ca="1">IF(A4taxstdlife="N/A","n/a",IF(J59=0,0,A4taxstdlife+I59-Input!$Y$7))</f>
        <v>0</v>
      </c>
      <c r="L59" s="115"/>
      <c r="M59" s="9"/>
      <c r="N59" s="9"/>
      <c r="O59" s="9"/>
      <c r="P59" s="9"/>
      <c r="Q59" s="9"/>
      <c r="R59" s="9"/>
      <c r="S59" s="255"/>
      <c r="T59" s="255"/>
      <c r="U59" s="255"/>
      <c r="V59" s="255"/>
      <c r="W59" s="255"/>
      <c r="X59" s="255"/>
      <c r="Y59" s="255"/>
      <c r="Z59" s="255"/>
    </row>
    <row r="60" spans="1:26" hidden="1" outlineLevel="1">
      <c r="A60" s="9"/>
      <c r="B60" s="9"/>
      <c r="C60" s="542"/>
      <c r="D60" s="92">
        <v>10</v>
      </c>
      <c r="E60" s="262">
        <f ca="1">OFFSET('Actual RAB roll forward'!H$47,0,D60-1)-SUM('Actual RAB roll forward'!H126:OFFSET('Actual RAB roll forward'!H126,0,Input!$Y$7-1))</f>
        <v>0</v>
      </c>
      <c r="F60" s="262" t="str">
        <f>IF(A4stdlife="N/A","n/a",IF(E60=0,0,A4stdlife+D60-Input!$Y$7))</f>
        <v>n/a</v>
      </c>
      <c r="G60" s="258"/>
      <c r="H60" s="542"/>
      <c r="I60" s="92">
        <v>10</v>
      </c>
      <c r="J60" s="262">
        <f ca="1">OFFSET('Tax value roll forward'!H$43,0,I60-1)-SUM('Tax value roll forward'!H122:OFFSET('Tax value roll forward'!H122,0,Input!$Y$7-1))</f>
        <v>0</v>
      </c>
      <c r="K60" s="262">
        <f ca="1">IF(A4taxstdlife="N/A","n/a",IF(J60=0,0,A4taxstdlife+I60-Input!$Y$7))</f>
        <v>0</v>
      </c>
      <c r="L60" s="115"/>
      <c r="M60" s="9"/>
      <c r="N60" s="9"/>
      <c r="O60" s="9"/>
      <c r="P60" s="9"/>
      <c r="Q60" s="9"/>
      <c r="R60" s="9"/>
      <c r="S60" s="255"/>
      <c r="T60" s="255"/>
      <c r="U60" s="255"/>
      <c r="V60" s="255"/>
      <c r="W60" s="255"/>
      <c r="X60" s="255"/>
      <c r="Y60" s="255"/>
      <c r="Z60" s="255"/>
    </row>
    <row r="61" spans="1:26" collapsed="1">
      <c r="A61" s="9"/>
      <c r="B61" s="9"/>
      <c r="C61" s="275" t="str">
        <f>Asset4</f>
        <v>Public lighting</v>
      </c>
      <c r="D61" s="9"/>
      <c r="E61" s="262">
        <f ca="1">SUM(E50:E60)</f>
        <v>0</v>
      </c>
      <c r="F61" s="262">
        <f ca="1">IF(E61=0,0,SUMPRODUCT(E50:E60,F50:F60)/E61)</f>
        <v>0</v>
      </c>
      <c r="G61" s="258"/>
      <c r="H61" s="43"/>
      <c r="I61" s="262"/>
      <c r="J61" s="262">
        <f ca="1">SUM(J50:J60)</f>
        <v>0</v>
      </c>
      <c r="K61" s="262">
        <f ca="1">IF(J61=0,0,SUMPRODUCT(J50:J60,K50:K60)/J61)</f>
        <v>0</v>
      </c>
      <c r="L61" s="115"/>
      <c r="M61" s="9"/>
      <c r="N61" s="9"/>
      <c r="O61" s="9"/>
      <c r="P61" s="9"/>
      <c r="Q61" s="9"/>
      <c r="R61" s="9"/>
      <c r="S61" s="255"/>
      <c r="T61" s="255"/>
      <c r="U61" s="255"/>
      <c r="V61" s="255"/>
      <c r="W61" s="255"/>
      <c r="X61" s="255"/>
      <c r="Y61" s="255"/>
      <c r="Z61" s="255"/>
    </row>
    <row r="62" spans="1:26" hidden="1" outlineLevel="1">
      <c r="A62" s="9"/>
      <c r="B62" s="9"/>
      <c r="C62" s="275"/>
      <c r="D62" s="9"/>
      <c r="E62" s="262"/>
      <c r="F62" s="262"/>
      <c r="G62" s="258"/>
      <c r="H62" s="262"/>
      <c r="I62" s="262"/>
      <c r="J62" s="267"/>
      <c r="K62" s="262"/>
      <c r="L62" s="115"/>
      <c r="M62" s="9"/>
      <c r="N62" s="9"/>
      <c r="O62" s="9"/>
      <c r="P62" s="9"/>
      <c r="Q62" s="9"/>
      <c r="R62" s="9"/>
      <c r="S62" s="255"/>
      <c r="T62" s="255"/>
      <c r="U62" s="255"/>
      <c r="V62" s="255"/>
      <c r="W62" s="255"/>
      <c r="X62" s="255"/>
      <c r="Y62" s="255"/>
      <c r="Z62" s="255"/>
    </row>
    <row r="63" spans="1:26" hidden="1" outlineLevel="1">
      <c r="A63" s="9"/>
      <c r="B63" s="273" t="str">
        <f>Asset5</f>
        <v>SCADA/Network control</v>
      </c>
      <c r="C63" s="9"/>
      <c r="D63" s="9"/>
      <c r="E63" s="262"/>
      <c r="F63" s="262"/>
      <c r="G63" s="258"/>
      <c r="H63" s="262"/>
      <c r="I63" s="262"/>
      <c r="J63" s="267"/>
      <c r="K63" s="262"/>
      <c r="L63" s="115"/>
      <c r="M63" s="9"/>
      <c r="N63" s="9"/>
      <c r="O63" s="9"/>
      <c r="P63" s="9"/>
      <c r="Q63" s="9"/>
      <c r="R63" s="9"/>
      <c r="S63" s="255"/>
      <c r="T63" s="255"/>
      <c r="U63" s="255"/>
      <c r="V63" s="255"/>
      <c r="W63" s="255"/>
      <c r="X63" s="255"/>
      <c r="Y63" s="255"/>
      <c r="Z63" s="255"/>
    </row>
    <row r="64" spans="1:26" ht="12.75" hidden="1" customHeight="1" outlineLevel="1">
      <c r="A64" s="9"/>
      <c r="B64" s="9"/>
      <c r="C64" s="543" t="s">
        <v>5</v>
      </c>
      <c r="D64" s="544"/>
      <c r="E64" s="262">
        <f ca="1">A5value-SUM('Actual RAB roll forward'!H128:OFFSET('Actual RAB roll forward'!H128,0,Input!$Y$7-1))</f>
        <v>0</v>
      </c>
      <c r="F64" s="262">
        <f>IF(A5remlife="N/A","n/a",A5remlife-Input!$Y$7)</f>
        <v>-4</v>
      </c>
      <c r="G64" s="258"/>
      <c r="H64" s="299" t="s">
        <v>43</v>
      </c>
      <c r="I64" s="300"/>
      <c r="J64" s="262">
        <f ca="1">A5taxvalue-SUM('Tax value roll forward'!H124:OFFSET('Tax value roll forward'!H124,0,Input!$Y$7-1))</f>
        <v>0</v>
      </c>
      <c r="K64" s="262">
        <f>IF(A5taxremlife="N/A","n/a",A5taxremlife-Input!$Y$7)</f>
        <v>-5</v>
      </c>
      <c r="L64" s="115"/>
      <c r="M64" s="9"/>
      <c r="N64" s="9"/>
      <c r="O64" s="9"/>
      <c r="P64" s="9"/>
      <c r="Q64" s="9"/>
      <c r="R64" s="9"/>
      <c r="S64" s="255"/>
      <c r="T64" s="255"/>
      <c r="U64" s="255"/>
      <c r="V64" s="255"/>
      <c r="W64" s="255"/>
      <c r="X64" s="255"/>
      <c r="Y64" s="255"/>
      <c r="Z64" s="255"/>
    </row>
    <row r="65" spans="1:26" hidden="1" outlineLevel="1">
      <c r="A65" s="9"/>
      <c r="B65" s="9"/>
      <c r="C65" s="540" t="s">
        <v>59</v>
      </c>
      <c r="D65" s="91">
        <v>1</v>
      </c>
      <c r="E65" s="262">
        <f ca="1">OFFSET('Actual RAB roll forward'!H$48,0,D65-1)-SUM('Actual RAB roll forward'!H130:OFFSET('Actual RAB roll forward'!H130,0,Input!$Y$7-1))</f>
        <v>0.25893070092516313</v>
      </c>
      <c r="F65" s="262">
        <f ca="1">IF(A5stdlife="N/A","n/a",IF(E65=0,0,A5stdlife+D65-Input!$Y$7))</f>
        <v>1</v>
      </c>
      <c r="G65" s="258"/>
      <c r="H65" s="540" t="s">
        <v>59</v>
      </c>
      <c r="I65" s="91">
        <v>1</v>
      </c>
      <c r="J65" s="262">
        <f ca="1">OFFSET('Tax value roll forward'!H$44,0,I65-1)-SUM('Tax value roll forward'!H126:OFFSET('Tax value roll forward'!H126,0,Input!$Y$7-1))</f>
        <v>0</v>
      </c>
      <c r="K65" s="262">
        <f ca="1">IF(A5taxstdlife="N/A","n/a",IF(J65=0,0,A5taxstdlife+I65-Input!$Y$7))</f>
        <v>0</v>
      </c>
      <c r="L65" s="115"/>
      <c r="M65" s="9"/>
      <c r="N65" s="9"/>
      <c r="O65" s="9"/>
      <c r="P65" s="9"/>
      <c r="Q65" s="9"/>
      <c r="R65" s="9"/>
      <c r="S65" s="255"/>
      <c r="T65" s="255"/>
      <c r="U65" s="255"/>
      <c r="V65" s="255"/>
      <c r="W65" s="255"/>
      <c r="X65" s="255"/>
      <c r="Y65" s="255"/>
      <c r="Z65" s="255"/>
    </row>
    <row r="66" spans="1:26" hidden="1" outlineLevel="1">
      <c r="A66" s="9"/>
      <c r="B66" s="9"/>
      <c r="C66" s="541"/>
      <c r="D66" s="91">
        <v>2</v>
      </c>
      <c r="E66" s="262">
        <f ca="1">OFFSET('Actual RAB roll forward'!H$48,0,D66-1)-SUM('Actual RAB roll forward'!H131:OFFSET('Actual RAB roll forward'!H131,0,Input!$Y$7-1))</f>
        <v>2.3395501445384177</v>
      </c>
      <c r="F66" s="262">
        <f ca="1">IF(A5stdlife="N/A","n/a",IF(E66=0,0,A5stdlife+D66-Input!$Y$7))</f>
        <v>2</v>
      </c>
      <c r="G66" s="258"/>
      <c r="H66" s="541"/>
      <c r="I66" s="91">
        <v>2</v>
      </c>
      <c r="J66" s="262">
        <f ca="1">OFFSET('Tax value roll forward'!H$44,0,I66-1)-SUM('Tax value roll forward'!H127:OFFSET('Tax value roll forward'!H127,0,Input!$Y$7-1))</f>
        <v>0</v>
      </c>
      <c r="K66" s="262">
        <f ca="1">IF(A5taxstdlife="N/A","n/a",IF(J66=0,0,A5taxstdlife+I66-Input!$Y$7))</f>
        <v>0</v>
      </c>
      <c r="L66" s="115"/>
      <c r="M66" s="9"/>
      <c r="N66" s="9"/>
      <c r="O66" s="9"/>
      <c r="P66" s="9"/>
      <c r="Q66" s="9"/>
      <c r="R66" s="9"/>
      <c r="S66" s="255"/>
      <c r="T66" s="255"/>
      <c r="U66" s="255"/>
      <c r="V66" s="255"/>
      <c r="W66" s="255"/>
      <c r="X66" s="255"/>
      <c r="Y66" s="255"/>
      <c r="Z66" s="255"/>
    </row>
    <row r="67" spans="1:26" hidden="1" outlineLevel="1">
      <c r="A67" s="9"/>
      <c r="B67" s="9"/>
      <c r="C67" s="541"/>
      <c r="D67" s="91">
        <v>3</v>
      </c>
      <c r="E67" s="262">
        <f ca="1">OFFSET('Actual RAB roll forward'!H$48,0,D67-1)-SUM('Actual RAB roll forward'!H132:OFFSET('Actual RAB roll forward'!H132,0,Input!$Y$7-1))</f>
        <v>1.1117476384063671</v>
      </c>
      <c r="F67" s="262">
        <f ca="1">IF(A5stdlife="N/A","n/a",IF(E67=0,0,A5stdlife+D67-Input!$Y$7))</f>
        <v>3</v>
      </c>
      <c r="G67" s="258"/>
      <c r="H67" s="541"/>
      <c r="I67" s="91">
        <v>3</v>
      </c>
      <c r="J67" s="262">
        <f ca="1">OFFSET('Tax value roll forward'!H$44,0,I67-1)-SUM('Tax value roll forward'!H128:OFFSET('Tax value roll forward'!H128,0,Input!$Y$7-1))</f>
        <v>0</v>
      </c>
      <c r="K67" s="262">
        <f ca="1">IF(A5taxstdlife="N/A","n/a",IF(J67=0,0,A5taxstdlife+I67-Input!$Y$7))</f>
        <v>0</v>
      </c>
      <c r="L67" s="115"/>
      <c r="M67" s="9"/>
      <c r="N67" s="9"/>
      <c r="O67" s="9"/>
      <c r="P67" s="9"/>
      <c r="Q67" s="9"/>
      <c r="R67" s="9"/>
      <c r="S67" s="255"/>
      <c r="T67" s="255"/>
      <c r="U67" s="255"/>
      <c r="V67" s="255"/>
      <c r="W67" s="255"/>
      <c r="X67" s="255"/>
      <c r="Y67" s="255"/>
      <c r="Z67" s="255"/>
    </row>
    <row r="68" spans="1:26" hidden="1" outlineLevel="1">
      <c r="A68" s="9"/>
      <c r="B68" s="9"/>
      <c r="C68" s="541"/>
      <c r="D68" s="91">
        <v>4</v>
      </c>
      <c r="E68" s="262">
        <f ca="1">OFFSET('Actual RAB roll forward'!H$48,0,D68-1)-SUM('Actual RAB roll forward'!H133:OFFSET('Actual RAB roll forward'!H133,0,Input!$Y$7-1))</f>
        <v>0.55509996311805998</v>
      </c>
      <c r="F68" s="262">
        <f ca="1">IF(A5stdlife="N/A","n/a",IF(E68=0,0,A5stdlife+D68-Input!$Y$7))</f>
        <v>4</v>
      </c>
      <c r="G68" s="258"/>
      <c r="H68" s="541"/>
      <c r="I68" s="91">
        <v>4</v>
      </c>
      <c r="J68" s="262">
        <f ca="1">OFFSET('Tax value roll forward'!H$44,0,I68-1)-SUM('Tax value roll forward'!H129:OFFSET('Tax value roll forward'!H129,0,Input!$Y$7-1))</f>
        <v>0</v>
      </c>
      <c r="K68" s="262">
        <f ca="1">IF(A5taxstdlife="N/A","n/a",IF(J68=0,0,A5taxstdlife+I68-Input!$Y$7))</f>
        <v>0</v>
      </c>
      <c r="L68" s="115"/>
      <c r="M68" s="9"/>
      <c r="N68" s="9"/>
      <c r="O68" s="9"/>
      <c r="P68" s="9"/>
      <c r="Q68" s="9"/>
      <c r="R68" s="9"/>
      <c r="S68" s="255"/>
      <c r="T68" s="255"/>
      <c r="U68" s="255"/>
      <c r="V68" s="255"/>
      <c r="W68" s="255"/>
      <c r="X68" s="255"/>
      <c r="Y68" s="255"/>
      <c r="Z68" s="255"/>
    </row>
    <row r="69" spans="1:26" hidden="1" outlineLevel="1">
      <c r="A69" s="9"/>
      <c r="B69" s="9"/>
      <c r="C69" s="541"/>
      <c r="D69" s="91">
        <v>5</v>
      </c>
      <c r="E69" s="262">
        <f ca="1">OFFSET('Actual RAB roll forward'!H$48,0,D69-1)-SUM('Actual RAB roll forward'!H134:OFFSET('Actual RAB roll forward'!H134,0,Input!$Y$7-1))</f>
        <v>2.6870060196725571</v>
      </c>
      <c r="F69" s="262">
        <f ca="1">IF(A5stdlife="N/A","n/a",IF(E69=0,0,A5stdlife+D69-Input!$Y$7))</f>
        <v>5</v>
      </c>
      <c r="G69" s="258"/>
      <c r="H69" s="541"/>
      <c r="I69" s="91">
        <v>5</v>
      </c>
      <c r="J69" s="262">
        <f ca="1">OFFSET('Tax value roll forward'!H$44,0,I69-1)-SUM('Tax value roll forward'!H130:OFFSET('Tax value roll forward'!H130,0,Input!$Y$7-1))</f>
        <v>2.9134612419346908</v>
      </c>
      <c r="K69" s="262">
        <f ca="1">IF(A5taxstdlife="N/A","n/a",IF(J69=0,0,A5taxstdlife+I69-Input!$Y$7))</f>
        <v>0</v>
      </c>
      <c r="L69" s="115"/>
      <c r="M69" s="9"/>
      <c r="N69" s="9"/>
      <c r="O69" s="9"/>
      <c r="P69" s="9"/>
      <c r="Q69" s="9"/>
      <c r="R69" s="9"/>
      <c r="S69" s="255"/>
      <c r="T69" s="255"/>
      <c r="U69" s="255"/>
      <c r="V69" s="255"/>
      <c r="W69" s="255"/>
      <c r="X69" s="255"/>
      <c r="Y69" s="255"/>
      <c r="Z69" s="255"/>
    </row>
    <row r="70" spans="1:26" hidden="1" outlineLevel="1">
      <c r="A70" s="9"/>
      <c r="B70" s="9"/>
      <c r="C70" s="541"/>
      <c r="D70" s="91">
        <v>6</v>
      </c>
      <c r="E70" s="262">
        <f ca="1">OFFSET('Actual RAB roll forward'!H$48,0,D70-1)-SUM('Actual RAB roll forward'!H135:OFFSET('Actual RAB roll forward'!H135,0,Input!$Y$7-1))</f>
        <v>0</v>
      </c>
      <c r="F70" s="262">
        <f ca="1">IF(A5stdlife="N/A","n/a",IF(E70=0,0,A5stdlife+D70-Input!$Y$7))</f>
        <v>0</v>
      </c>
      <c r="G70" s="258"/>
      <c r="H70" s="541"/>
      <c r="I70" s="91">
        <v>6</v>
      </c>
      <c r="J70" s="262">
        <f ca="1">OFFSET('Tax value roll forward'!H$44,0,I70-1)-SUM('Tax value roll forward'!H131:OFFSET('Tax value roll forward'!H131,0,Input!$Y$7-1))</f>
        <v>0</v>
      </c>
      <c r="K70" s="262">
        <f ca="1">IF(A5taxstdlife="N/A","n/a",IF(J70=0,0,A5taxstdlife+I70-Input!$Y$7))</f>
        <v>0</v>
      </c>
      <c r="L70" s="115"/>
      <c r="M70" s="9"/>
      <c r="N70" s="9"/>
      <c r="O70" s="9"/>
      <c r="P70" s="9"/>
      <c r="Q70" s="9"/>
      <c r="R70" s="9"/>
      <c r="S70" s="255"/>
      <c r="T70" s="255"/>
      <c r="U70" s="255"/>
      <c r="V70" s="255"/>
      <c r="W70" s="255"/>
      <c r="X70" s="255"/>
      <c r="Y70" s="255"/>
      <c r="Z70" s="255"/>
    </row>
    <row r="71" spans="1:26" hidden="1" outlineLevel="1">
      <c r="A71" s="9"/>
      <c r="B71" s="9"/>
      <c r="C71" s="541"/>
      <c r="D71" s="91">
        <v>7</v>
      </c>
      <c r="E71" s="262">
        <f ca="1">OFFSET('Actual RAB roll forward'!H$48,0,D71-1)-SUM('Actual RAB roll forward'!H136:OFFSET('Actual RAB roll forward'!H136,0,Input!$Y$7-1))</f>
        <v>0</v>
      </c>
      <c r="F71" s="262">
        <f ca="1">IF(A5stdlife="N/A","n/a",IF(E71=0,0,A5stdlife+D71-Input!$Y$7))</f>
        <v>0</v>
      </c>
      <c r="G71" s="258"/>
      <c r="H71" s="541"/>
      <c r="I71" s="91">
        <v>7</v>
      </c>
      <c r="J71" s="262">
        <f ca="1">OFFSET('Tax value roll forward'!H$44,0,I71-1)-SUM('Tax value roll forward'!H132:OFFSET('Tax value roll forward'!H132,0,Input!$Y$7-1))</f>
        <v>0</v>
      </c>
      <c r="K71" s="262">
        <f ca="1">IF(A5taxstdlife="N/A","n/a",IF(J71=0,0,A5taxstdlife+I71-Input!$Y$7))</f>
        <v>0</v>
      </c>
      <c r="L71" s="115"/>
      <c r="M71" s="9"/>
      <c r="N71" s="9"/>
      <c r="O71" s="9"/>
      <c r="P71" s="9"/>
      <c r="Q71" s="9"/>
      <c r="R71" s="9"/>
      <c r="S71" s="255"/>
      <c r="T71" s="255"/>
      <c r="U71" s="255"/>
      <c r="V71" s="255"/>
      <c r="W71" s="255"/>
      <c r="X71" s="255"/>
      <c r="Y71" s="255"/>
      <c r="Z71" s="255"/>
    </row>
    <row r="72" spans="1:26" hidden="1" outlineLevel="1">
      <c r="A72" s="9"/>
      <c r="B72" s="9"/>
      <c r="C72" s="541"/>
      <c r="D72" s="91">
        <v>8</v>
      </c>
      <c r="E72" s="262">
        <f ca="1">OFFSET('Actual RAB roll forward'!H$48,0,D72-1)-SUM('Actual RAB roll forward'!H137:OFFSET('Actual RAB roll forward'!H137,0,Input!$Y$7-1))</f>
        <v>0</v>
      </c>
      <c r="F72" s="262">
        <f ca="1">IF(A5stdlife="N/A","n/a",IF(E72=0,0,A5stdlife+D72-Input!$Y$7))</f>
        <v>0</v>
      </c>
      <c r="G72" s="258"/>
      <c r="H72" s="541"/>
      <c r="I72" s="91">
        <v>8</v>
      </c>
      <c r="J72" s="262">
        <f ca="1">OFFSET('Tax value roll forward'!H$44,0,I72-1)-SUM('Tax value roll forward'!H133:OFFSET('Tax value roll forward'!H133,0,Input!$Y$7-1))</f>
        <v>0</v>
      </c>
      <c r="K72" s="262">
        <f ca="1">IF(A5taxstdlife="N/A","n/a",IF(J72=0,0,A5taxstdlife+I72-Input!$Y$7))</f>
        <v>0</v>
      </c>
      <c r="L72" s="115"/>
      <c r="M72" s="9"/>
      <c r="N72" s="9"/>
      <c r="O72" s="9"/>
      <c r="P72" s="9"/>
      <c r="Q72" s="9"/>
      <c r="R72" s="9"/>
      <c r="S72" s="255"/>
      <c r="T72" s="255"/>
      <c r="U72" s="255"/>
      <c r="V72" s="255"/>
      <c r="W72" s="255"/>
      <c r="X72" s="255"/>
      <c r="Y72" s="255"/>
      <c r="Z72" s="255"/>
    </row>
    <row r="73" spans="1:26" hidden="1" outlineLevel="1">
      <c r="A73" s="9"/>
      <c r="B73" s="9"/>
      <c r="C73" s="541"/>
      <c r="D73" s="91">
        <v>9</v>
      </c>
      <c r="E73" s="262">
        <f ca="1">OFFSET('Actual RAB roll forward'!H$48,0,D73-1)-SUM('Actual RAB roll forward'!H138:OFFSET('Actual RAB roll forward'!H138,0,Input!$Y$7-1))</f>
        <v>0</v>
      </c>
      <c r="F73" s="262">
        <f ca="1">IF(A5stdlife="N/A","n/a",IF(E73=0,0,A5stdlife+D73-Input!$Y$7))</f>
        <v>0</v>
      </c>
      <c r="G73" s="258"/>
      <c r="H73" s="541"/>
      <c r="I73" s="91">
        <v>9</v>
      </c>
      <c r="J73" s="262">
        <f ca="1">OFFSET('Tax value roll forward'!H$44,0,I73-1)-SUM('Tax value roll forward'!H134:OFFSET('Tax value roll forward'!H134,0,Input!$Y$7-1))</f>
        <v>0</v>
      </c>
      <c r="K73" s="262">
        <f ca="1">IF(A5taxstdlife="N/A","n/a",IF(J73=0,0,A5taxstdlife+I73-Input!$Y$7))</f>
        <v>0</v>
      </c>
      <c r="L73" s="115"/>
      <c r="M73" s="9"/>
      <c r="N73" s="9"/>
      <c r="O73" s="9"/>
      <c r="P73" s="9"/>
      <c r="Q73" s="9"/>
      <c r="R73" s="9"/>
      <c r="S73" s="255"/>
      <c r="T73" s="255"/>
      <c r="U73" s="255"/>
      <c r="V73" s="255"/>
      <c r="W73" s="255"/>
      <c r="X73" s="255"/>
      <c r="Y73" s="255"/>
      <c r="Z73" s="255"/>
    </row>
    <row r="74" spans="1:26" hidden="1" outlineLevel="1">
      <c r="A74" s="9"/>
      <c r="B74" s="9"/>
      <c r="C74" s="542"/>
      <c r="D74" s="92">
        <v>10</v>
      </c>
      <c r="E74" s="262">
        <f ca="1">OFFSET('Actual RAB roll forward'!H$48,0,D74-1)-SUM('Actual RAB roll forward'!H139:OFFSET('Actual RAB roll forward'!H139,0,Input!$Y$7-1))</f>
        <v>0</v>
      </c>
      <c r="F74" s="262">
        <f ca="1">IF(A5stdlife="N/A","n/a",IF(E74=0,0,A5stdlife+D74-Input!$Y$7))</f>
        <v>0</v>
      </c>
      <c r="G74" s="258"/>
      <c r="H74" s="542"/>
      <c r="I74" s="92">
        <v>10</v>
      </c>
      <c r="J74" s="262">
        <f ca="1">OFFSET('Tax value roll forward'!H$44,0,I74-1)-SUM('Tax value roll forward'!H135:OFFSET('Tax value roll forward'!H135,0,Input!$Y$7-1))</f>
        <v>0</v>
      </c>
      <c r="K74" s="262">
        <f ca="1">IF(A5taxstdlife="N/A","n/a",IF(J74=0,0,A5taxstdlife+I74-Input!$Y$7))</f>
        <v>0</v>
      </c>
      <c r="L74" s="115"/>
      <c r="M74" s="9"/>
      <c r="N74" s="9"/>
      <c r="O74" s="9"/>
      <c r="P74" s="9"/>
      <c r="Q74" s="9"/>
      <c r="R74" s="9"/>
      <c r="S74" s="255"/>
      <c r="T74" s="255"/>
      <c r="U74" s="255"/>
      <c r="V74" s="255"/>
      <c r="W74" s="255"/>
      <c r="X74" s="255"/>
      <c r="Y74" s="255"/>
      <c r="Z74" s="255"/>
    </row>
    <row r="75" spans="1:26" collapsed="1">
      <c r="A75" s="9"/>
      <c r="B75" s="9"/>
      <c r="C75" s="275" t="str">
        <f>Asset5</f>
        <v>SCADA/Network control</v>
      </c>
      <c r="D75" s="9"/>
      <c r="E75" s="262">
        <f ca="1">SUM(E64:E74)</f>
        <v>6.9523344666605649</v>
      </c>
      <c r="F75" s="262">
        <f ca="1">IF(E75=0,0,SUMPRODUCT(E64:E74,F64:F74)/E75)</f>
        <v>3.4418228827747797</v>
      </c>
      <c r="G75" s="258"/>
      <c r="H75" s="43"/>
      <c r="I75" s="262"/>
      <c r="J75" s="262">
        <f ca="1">SUM(J64:J74)</f>
        <v>2.9134612419346908</v>
      </c>
      <c r="K75" s="262">
        <f ca="1">IF(J75=0,0,SUMPRODUCT(J64:J74,K64:K74)/J75)</f>
        <v>0</v>
      </c>
      <c r="L75" s="115"/>
      <c r="M75" s="9"/>
      <c r="N75" s="9"/>
      <c r="O75" s="9"/>
      <c r="P75" s="9"/>
      <c r="Q75" s="9"/>
      <c r="R75" s="9"/>
      <c r="S75" s="255"/>
      <c r="T75" s="255"/>
      <c r="U75" s="255"/>
      <c r="V75" s="255"/>
      <c r="W75" s="255"/>
      <c r="X75" s="255"/>
      <c r="Y75" s="255"/>
      <c r="Z75" s="255"/>
    </row>
    <row r="76" spans="1:26" hidden="1" outlineLevel="1">
      <c r="A76" s="9"/>
      <c r="B76" s="9"/>
      <c r="C76" s="275"/>
      <c r="D76" s="9"/>
      <c r="E76" s="262"/>
      <c r="F76" s="262"/>
      <c r="G76" s="258"/>
      <c r="H76" s="262"/>
      <c r="I76" s="262"/>
      <c r="J76" s="267"/>
      <c r="K76" s="262"/>
      <c r="L76" s="115"/>
      <c r="M76" s="9"/>
      <c r="N76" s="9"/>
      <c r="O76" s="9"/>
      <c r="P76" s="9"/>
      <c r="Q76" s="9"/>
      <c r="R76" s="9"/>
      <c r="S76" s="255"/>
      <c r="T76" s="255"/>
      <c r="U76" s="255"/>
      <c r="V76" s="255"/>
      <c r="W76" s="255"/>
      <c r="X76" s="255"/>
      <c r="Y76" s="255"/>
      <c r="Z76" s="255"/>
    </row>
    <row r="77" spans="1:26" hidden="1" outlineLevel="1">
      <c r="A77" s="9"/>
      <c r="B77" s="273" t="str">
        <f>Asset6</f>
        <v>Non-network general assets - IT</v>
      </c>
      <c r="C77" s="9"/>
      <c r="D77" s="9"/>
      <c r="E77" s="262"/>
      <c r="F77" s="262"/>
      <c r="G77" s="258"/>
      <c r="H77" s="262"/>
      <c r="I77" s="262"/>
      <c r="J77" s="267"/>
      <c r="K77" s="262"/>
      <c r="L77" s="115"/>
      <c r="M77" s="9"/>
      <c r="N77" s="9"/>
      <c r="O77" s="9"/>
      <c r="P77" s="9"/>
      <c r="Q77" s="9"/>
      <c r="R77" s="9"/>
      <c r="S77" s="255"/>
      <c r="T77" s="255"/>
      <c r="U77" s="255"/>
      <c r="V77" s="255"/>
      <c r="W77" s="255"/>
      <c r="X77" s="255"/>
      <c r="Y77" s="255"/>
      <c r="Z77" s="255"/>
    </row>
    <row r="78" spans="1:26" ht="12.75" hidden="1" customHeight="1" outlineLevel="1">
      <c r="A78" s="9"/>
      <c r="B78" s="9"/>
      <c r="C78" s="538" t="s">
        <v>5</v>
      </c>
      <c r="D78" s="539"/>
      <c r="E78" s="262">
        <f ca="1">A6value-SUM('Actual RAB roll forward'!H141:OFFSET('Actual RAB roll forward'!H141,0,Input!$Y$7-1))</f>
        <v>0</v>
      </c>
      <c r="F78" s="262">
        <f>IF(A6remlife="N/A","n/a",A6remlife-Input!$Y$7)</f>
        <v>-1.5409233082422622</v>
      </c>
      <c r="G78" s="258"/>
      <c r="H78" s="299" t="s">
        <v>43</v>
      </c>
      <c r="I78" s="300"/>
      <c r="J78" s="262">
        <f ca="1">A6taxvalue-SUM('Tax value roll forward'!H137:OFFSET('Tax value roll forward'!H137,0,Input!$Y$7-1))</f>
        <v>0</v>
      </c>
      <c r="K78" s="262">
        <f>IF(A6taxremlife="N/A","n/a",A6taxremlife-Input!$Y$7)</f>
        <v>-5</v>
      </c>
      <c r="L78" s="115"/>
      <c r="M78" s="9"/>
      <c r="N78" s="9"/>
      <c r="O78" s="9"/>
      <c r="P78" s="9"/>
      <c r="Q78" s="9"/>
      <c r="R78" s="9"/>
      <c r="S78" s="255"/>
      <c r="T78" s="255"/>
      <c r="U78" s="255"/>
      <c r="V78" s="255"/>
      <c r="W78" s="255"/>
      <c r="X78" s="255"/>
      <c r="Y78" s="255"/>
      <c r="Z78" s="255"/>
    </row>
    <row r="79" spans="1:26" hidden="1" outlineLevel="1">
      <c r="A79" s="9"/>
      <c r="B79" s="9"/>
      <c r="C79" s="540" t="s">
        <v>59</v>
      </c>
      <c r="D79" s="91">
        <v>1</v>
      </c>
      <c r="E79" s="262">
        <f ca="1">OFFSET('Actual RAB roll forward'!H$49,0,D79-1)-SUM('Actual RAB roll forward'!H143:OFFSET('Actual RAB roll forward'!H143,0,Input!$Y$7-1))</f>
        <v>9.5127428771974962</v>
      </c>
      <c r="F79" s="262">
        <f ca="1">IF(A6stdlife="N/A","n/a",IF(E79=0,0,A6stdlife+D79-Input!$Y$7))</f>
        <v>1</v>
      </c>
      <c r="G79" s="258"/>
      <c r="H79" s="540" t="s">
        <v>59</v>
      </c>
      <c r="I79" s="91">
        <v>1</v>
      </c>
      <c r="J79" s="262">
        <f ca="1">OFFSET('Tax value roll forward'!H$45,0,I79-1)-SUM('Tax value roll forward'!H139:OFFSET('Tax value roll forward'!H139,0,Input!$Y$7-1))</f>
        <v>0</v>
      </c>
      <c r="K79" s="262">
        <f ca="1">IF(A6taxstdlife="N/A","n/a",IF(J79=0,0,A6taxstdlife+I79-Input!$Y$7))</f>
        <v>0</v>
      </c>
      <c r="L79" s="115"/>
      <c r="M79" s="9"/>
      <c r="N79" s="9"/>
      <c r="O79" s="9"/>
      <c r="P79" s="9"/>
      <c r="Q79" s="9"/>
      <c r="R79" s="9"/>
      <c r="S79" s="255"/>
      <c r="T79" s="255"/>
      <c r="U79" s="255"/>
      <c r="V79" s="255"/>
      <c r="W79" s="255"/>
      <c r="X79" s="255"/>
      <c r="Y79" s="255"/>
      <c r="Z79" s="255"/>
    </row>
    <row r="80" spans="1:26" hidden="1" outlineLevel="1">
      <c r="A80" s="9"/>
      <c r="B80" s="9"/>
      <c r="C80" s="541"/>
      <c r="D80" s="91">
        <v>2</v>
      </c>
      <c r="E80" s="262">
        <f ca="1">OFFSET('Actual RAB roll forward'!H$49,0,D80-1)-SUM('Actual RAB roll forward'!H144:OFFSET('Actual RAB roll forward'!H144,0,Input!$Y$7-1))</f>
        <v>18.007517774718551</v>
      </c>
      <c r="F80" s="262">
        <f ca="1">IF(A6stdlife="N/A","n/a",IF(E80=0,0,A6stdlife+D80-Input!$Y$7))</f>
        <v>2</v>
      </c>
      <c r="G80" s="258"/>
      <c r="H80" s="541"/>
      <c r="I80" s="91">
        <v>2</v>
      </c>
      <c r="J80" s="262">
        <f ca="1">OFFSET('Tax value roll forward'!H$45,0,I80-1)-SUM('Tax value roll forward'!H140:OFFSET('Tax value roll forward'!H140,0,Input!$Y$7-1))</f>
        <v>0</v>
      </c>
      <c r="K80" s="262">
        <f ca="1">IF(A6taxstdlife="N/A","n/a",IF(J80=0,0,A6taxstdlife+I80-Input!$Y$7))</f>
        <v>0</v>
      </c>
      <c r="L80" s="115"/>
      <c r="M80" s="9"/>
      <c r="N80" s="9"/>
      <c r="O80" s="9"/>
      <c r="P80" s="9"/>
      <c r="Q80" s="9"/>
      <c r="R80" s="9"/>
      <c r="S80" s="255"/>
      <c r="T80" s="255"/>
      <c r="U80" s="255"/>
      <c r="V80" s="255"/>
      <c r="W80" s="255"/>
      <c r="X80" s="255"/>
      <c r="Y80" s="255"/>
      <c r="Z80" s="255"/>
    </row>
    <row r="81" spans="1:26" hidden="1" outlineLevel="1">
      <c r="A81" s="9"/>
      <c r="B81" s="9"/>
      <c r="C81" s="541"/>
      <c r="D81" s="91">
        <v>3</v>
      </c>
      <c r="E81" s="262">
        <f ca="1">OFFSET('Actual RAB roll forward'!H$49,0,D81-1)-SUM('Actual RAB roll forward'!H145:OFFSET('Actual RAB roll forward'!H145,0,Input!$Y$7-1))</f>
        <v>28.995961881044877</v>
      </c>
      <c r="F81" s="262">
        <f ca="1">IF(A6stdlife="N/A","n/a",IF(E81=0,0,A6stdlife+D81-Input!$Y$7))</f>
        <v>3</v>
      </c>
      <c r="G81" s="258"/>
      <c r="H81" s="541"/>
      <c r="I81" s="91">
        <v>3</v>
      </c>
      <c r="J81" s="262">
        <f ca="1">OFFSET('Tax value roll forward'!H$45,0,I81-1)-SUM('Tax value roll forward'!H141:OFFSET('Tax value roll forward'!H141,0,Input!$Y$7-1))</f>
        <v>0</v>
      </c>
      <c r="K81" s="262">
        <f ca="1">IF(A6taxstdlife="N/A","n/a",IF(J81=0,0,A6taxstdlife+I81-Input!$Y$7))</f>
        <v>0</v>
      </c>
      <c r="L81" s="115"/>
      <c r="M81" s="9"/>
      <c r="N81" s="9"/>
      <c r="O81" s="9"/>
      <c r="P81" s="9"/>
      <c r="Q81" s="9"/>
      <c r="R81" s="9"/>
      <c r="S81" s="255"/>
      <c r="T81" s="255"/>
      <c r="U81" s="255"/>
      <c r="V81" s="255"/>
      <c r="W81" s="255"/>
      <c r="X81" s="255"/>
      <c r="Y81" s="255"/>
      <c r="Z81" s="255"/>
    </row>
    <row r="82" spans="1:26" hidden="1" outlineLevel="1">
      <c r="A82" s="9"/>
      <c r="B82" s="9"/>
      <c r="C82" s="541"/>
      <c r="D82" s="91">
        <v>4</v>
      </c>
      <c r="E82" s="262">
        <f ca="1">OFFSET('Actual RAB roll forward'!H$49,0,D82-1)-SUM('Actual RAB roll forward'!H146:OFFSET('Actual RAB roll forward'!H146,0,Input!$Y$7-1))</f>
        <v>24.911697224358015</v>
      </c>
      <c r="F82" s="262">
        <f ca="1">IF(A6stdlife="N/A","n/a",IF(E82=0,0,A6stdlife+D82-Input!$Y$7))</f>
        <v>4</v>
      </c>
      <c r="G82" s="258"/>
      <c r="H82" s="541"/>
      <c r="I82" s="91">
        <v>4</v>
      </c>
      <c r="J82" s="262">
        <f ca="1">OFFSET('Tax value roll forward'!H$45,0,I82-1)-SUM('Tax value roll forward'!H142:OFFSET('Tax value roll forward'!H142,0,Input!$Y$7-1))</f>
        <v>0</v>
      </c>
      <c r="K82" s="262">
        <f ca="1">IF(A6taxstdlife="N/A","n/a",IF(J82=0,0,A6taxstdlife+I82-Input!$Y$7))</f>
        <v>0</v>
      </c>
      <c r="L82" s="115"/>
      <c r="M82" s="9"/>
      <c r="N82" s="9"/>
      <c r="O82" s="9"/>
      <c r="P82" s="9"/>
      <c r="Q82" s="9"/>
      <c r="R82" s="9"/>
      <c r="S82" s="255"/>
      <c r="T82" s="255"/>
      <c r="U82" s="255"/>
      <c r="V82" s="255"/>
      <c r="W82" s="255"/>
      <c r="X82" s="255"/>
      <c r="Y82" s="255"/>
      <c r="Z82" s="255"/>
    </row>
    <row r="83" spans="1:26" hidden="1" outlineLevel="1">
      <c r="A83" s="9"/>
      <c r="B83" s="9"/>
      <c r="C83" s="541"/>
      <c r="D83" s="91">
        <v>5</v>
      </c>
      <c r="E83" s="262">
        <f ca="1">OFFSET('Actual RAB roll forward'!H$49,0,D83-1)-SUM('Actual RAB roll forward'!H147:OFFSET('Actual RAB roll forward'!H147,0,Input!$Y$7-1))</f>
        <v>17.963424117942814</v>
      </c>
      <c r="F83" s="262">
        <f ca="1">IF(A6stdlife="N/A","n/a",IF(E83=0,0,A6stdlife+D83-Input!$Y$7))</f>
        <v>5</v>
      </c>
      <c r="G83" s="258"/>
      <c r="H83" s="541"/>
      <c r="I83" s="91">
        <v>5</v>
      </c>
      <c r="J83" s="262">
        <f ca="1">OFFSET('Tax value roll forward'!H$45,0,I83-1)-SUM('Tax value roll forward'!H143:OFFSET('Tax value roll forward'!H143,0,Input!$Y$7-1))</f>
        <v>19.477343763613511</v>
      </c>
      <c r="K83" s="262">
        <f ca="1">IF(A6taxstdlife="N/A","n/a",IF(J83=0,0,A6taxstdlife+I83-Input!$Y$7))</f>
        <v>0</v>
      </c>
      <c r="L83" s="115"/>
      <c r="M83" s="9"/>
      <c r="N83" s="9"/>
      <c r="O83" s="9"/>
      <c r="P83" s="9"/>
      <c r="Q83" s="9"/>
      <c r="R83" s="9"/>
      <c r="S83" s="255"/>
      <c r="T83" s="255"/>
      <c r="U83" s="255"/>
      <c r="V83" s="255"/>
      <c r="W83" s="255"/>
      <c r="X83" s="255"/>
      <c r="Y83" s="255"/>
      <c r="Z83" s="255"/>
    </row>
    <row r="84" spans="1:26" hidden="1" outlineLevel="1">
      <c r="A84" s="9"/>
      <c r="B84" s="9"/>
      <c r="C84" s="541"/>
      <c r="D84" s="91">
        <v>6</v>
      </c>
      <c r="E84" s="262">
        <f ca="1">OFFSET('Actual RAB roll forward'!H$49,0,D84-1)-SUM('Actual RAB roll forward'!H148:OFFSET('Actual RAB roll forward'!H148,0,Input!$Y$7-1))</f>
        <v>0</v>
      </c>
      <c r="F84" s="262">
        <f ca="1">IF(A6stdlife="N/A","n/a",IF(E84=0,0,A6stdlife+D84-Input!$Y$7))</f>
        <v>0</v>
      </c>
      <c r="G84" s="258"/>
      <c r="H84" s="541"/>
      <c r="I84" s="91">
        <v>6</v>
      </c>
      <c r="J84" s="262">
        <f ca="1">OFFSET('Tax value roll forward'!H$45,0,I84-1)-SUM('Tax value roll forward'!H144:OFFSET('Tax value roll forward'!H144,0,Input!$Y$7-1))</f>
        <v>0</v>
      </c>
      <c r="K84" s="262">
        <f ca="1">IF(A6taxstdlife="N/A","n/a",IF(J84=0,0,A6taxstdlife+I84-Input!$Y$7))</f>
        <v>0</v>
      </c>
      <c r="L84" s="115"/>
      <c r="M84" s="9"/>
      <c r="N84" s="9"/>
      <c r="O84" s="9"/>
      <c r="P84" s="9"/>
      <c r="Q84" s="9"/>
      <c r="R84" s="9"/>
      <c r="S84" s="255"/>
      <c r="T84" s="255"/>
      <c r="U84" s="255"/>
      <c r="V84" s="255"/>
      <c r="W84" s="255"/>
      <c r="X84" s="255"/>
      <c r="Y84" s="255"/>
      <c r="Z84" s="255"/>
    </row>
    <row r="85" spans="1:26" hidden="1" outlineLevel="1">
      <c r="A85" s="9"/>
      <c r="B85" s="9"/>
      <c r="C85" s="541"/>
      <c r="D85" s="91">
        <v>7</v>
      </c>
      <c r="E85" s="262">
        <f ca="1">OFFSET('Actual RAB roll forward'!H$49,0,D85-1)-SUM('Actual RAB roll forward'!H149:OFFSET('Actual RAB roll forward'!H149,0,Input!$Y$7-1))</f>
        <v>0</v>
      </c>
      <c r="F85" s="262">
        <f ca="1">IF(A6stdlife="N/A","n/a",IF(E85=0,0,A6stdlife+D85-Input!$Y$7))</f>
        <v>0</v>
      </c>
      <c r="G85" s="258"/>
      <c r="H85" s="541"/>
      <c r="I85" s="91">
        <v>7</v>
      </c>
      <c r="J85" s="262">
        <f ca="1">OFFSET('Tax value roll forward'!H$45,0,I85-1)-SUM('Tax value roll forward'!H145:OFFSET('Tax value roll forward'!H145,0,Input!$Y$7-1))</f>
        <v>0</v>
      </c>
      <c r="K85" s="262">
        <f ca="1">IF(A6taxstdlife="N/A","n/a",IF(J85=0,0,A6taxstdlife+I85-Input!$Y$7))</f>
        <v>0</v>
      </c>
      <c r="L85" s="115"/>
      <c r="M85" s="9"/>
      <c r="N85" s="9"/>
      <c r="O85" s="9"/>
      <c r="P85" s="9"/>
      <c r="Q85" s="9"/>
      <c r="R85" s="9"/>
      <c r="S85" s="255"/>
      <c r="T85" s="255"/>
      <c r="U85" s="255"/>
      <c r="V85" s="255"/>
      <c r="W85" s="255"/>
      <c r="X85" s="255"/>
      <c r="Y85" s="255"/>
      <c r="Z85" s="255"/>
    </row>
    <row r="86" spans="1:26" hidden="1" outlineLevel="1">
      <c r="A86" s="9"/>
      <c r="B86" s="9"/>
      <c r="C86" s="541"/>
      <c r="D86" s="91">
        <v>8</v>
      </c>
      <c r="E86" s="262">
        <f ca="1">OFFSET('Actual RAB roll forward'!H$49,0,D86-1)-SUM('Actual RAB roll forward'!H150:OFFSET('Actual RAB roll forward'!H150,0,Input!$Y$7-1))</f>
        <v>0</v>
      </c>
      <c r="F86" s="262">
        <f ca="1">IF(A6stdlife="N/A","n/a",IF(E86=0,0,A6stdlife+D86-Input!$Y$7))</f>
        <v>0</v>
      </c>
      <c r="G86" s="258"/>
      <c r="H86" s="541"/>
      <c r="I86" s="91">
        <v>8</v>
      </c>
      <c r="J86" s="262">
        <f ca="1">OFFSET('Tax value roll forward'!H$45,0,I86-1)-SUM('Tax value roll forward'!H146:OFFSET('Tax value roll forward'!H146,0,Input!$Y$7-1))</f>
        <v>0</v>
      </c>
      <c r="K86" s="262">
        <f ca="1">IF(A6taxstdlife="N/A","n/a",IF(J86=0,0,A6taxstdlife+I86-Input!$Y$7))</f>
        <v>0</v>
      </c>
      <c r="L86" s="115"/>
      <c r="M86" s="9"/>
      <c r="N86" s="9"/>
      <c r="O86" s="9"/>
      <c r="P86" s="9"/>
      <c r="Q86" s="9"/>
      <c r="R86" s="9"/>
      <c r="S86" s="255"/>
      <c r="T86" s="255"/>
      <c r="U86" s="255"/>
      <c r="V86" s="255"/>
      <c r="W86" s="255"/>
      <c r="X86" s="255"/>
      <c r="Y86" s="255"/>
      <c r="Z86" s="255"/>
    </row>
    <row r="87" spans="1:26" hidden="1" outlineLevel="1">
      <c r="A87" s="9"/>
      <c r="B87" s="9"/>
      <c r="C87" s="541"/>
      <c r="D87" s="91">
        <v>9</v>
      </c>
      <c r="E87" s="262">
        <f ca="1">OFFSET('Actual RAB roll forward'!H$49,0,D87-1)-SUM('Actual RAB roll forward'!H151:OFFSET('Actual RAB roll forward'!H151,0,Input!$Y$7-1))</f>
        <v>0</v>
      </c>
      <c r="F87" s="262">
        <f ca="1">IF(A6stdlife="N/A","n/a",IF(E87=0,0,A6stdlife+D87-Input!$Y$7))</f>
        <v>0</v>
      </c>
      <c r="G87" s="258"/>
      <c r="H87" s="541"/>
      <c r="I87" s="91">
        <v>9</v>
      </c>
      <c r="J87" s="262">
        <f ca="1">OFFSET('Tax value roll forward'!H$45,0,I87-1)-SUM('Tax value roll forward'!H147:OFFSET('Tax value roll forward'!H147,0,Input!$Y$7-1))</f>
        <v>0</v>
      </c>
      <c r="K87" s="262">
        <f ca="1">IF(A6taxstdlife="N/A","n/a",IF(J87=0,0,A6taxstdlife+I87-Input!$Y$7))</f>
        <v>0</v>
      </c>
      <c r="L87" s="115"/>
      <c r="M87" s="9"/>
      <c r="N87" s="9"/>
      <c r="O87" s="9"/>
      <c r="P87" s="9"/>
      <c r="Q87" s="9"/>
      <c r="R87" s="9"/>
      <c r="S87" s="255"/>
      <c r="T87" s="255"/>
      <c r="U87" s="255"/>
      <c r="V87" s="255"/>
      <c r="W87" s="255"/>
      <c r="X87" s="255"/>
      <c r="Y87" s="255"/>
      <c r="Z87" s="255"/>
    </row>
    <row r="88" spans="1:26" hidden="1" outlineLevel="1">
      <c r="A88" s="9"/>
      <c r="B88" s="9"/>
      <c r="C88" s="542"/>
      <c r="D88" s="92">
        <v>10</v>
      </c>
      <c r="E88" s="262">
        <f ca="1">OFFSET('Actual RAB roll forward'!H$49,0,D88-1)-SUM('Actual RAB roll forward'!H152:OFFSET('Actual RAB roll forward'!H152,0,Input!$Y$7-1))</f>
        <v>0</v>
      </c>
      <c r="F88" s="262">
        <f ca="1">IF(A6stdlife="N/A","n/a",IF(E88=0,0,A6stdlife+D88-Input!$Y$7))</f>
        <v>0</v>
      </c>
      <c r="G88" s="258"/>
      <c r="H88" s="542"/>
      <c r="I88" s="92">
        <v>10</v>
      </c>
      <c r="J88" s="262">
        <f ca="1">OFFSET('Tax value roll forward'!H$45,0,I88-1)-SUM('Tax value roll forward'!H148:OFFSET('Tax value roll forward'!H148,0,Input!$Y$7-1))</f>
        <v>0</v>
      </c>
      <c r="K88" s="262">
        <f ca="1">IF(A6taxstdlife="N/A","n/a",IF(J88=0,0,A6taxstdlife+I88-Input!$Y$7))</f>
        <v>0</v>
      </c>
      <c r="L88" s="115"/>
      <c r="M88" s="9"/>
      <c r="N88" s="9"/>
      <c r="O88" s="9"/>
      <c r="P88" s="9"/>
      <c r="Q88" s="9"/>
      <c r="R88" s="9"/>
      <c r="S88" s="255"/>
      <c r="T88" s="255"/>
      <c r="U88" s="255"/>
      <c r="V88" s="255"/>
      <c r="W88" s="255"/>
      <c r="X88" s="255"/>
      <c r="Y88" s="255"/>
      <c r="Z88" s="255"/>
    </row>
    <row r="89" spans="1:26" collapsed="1">
      <c r="A89" s="9"/>
      <c r="B89" s="9"/>
      <c r="C89" s="275" t="str">
        <f>Asset6</f>
        <v>Non-network general assets - IT</v>
      </c>
      <c r="D89" s="9"/>
      <c r="E89" s="262">
        <f ca="1">SUM(E78:E88)</f>
        <v>99.391343875261754</v>
      </c>
      <c r="F89" s="262">
        <f ca="1">IF(E89=0,0,SUMPRODUCT(E78:E88,F78:F88)/E89)</f>
        <v>3.2395132312629418</v>
      </c>
      <c r="G89" s="258"/>
      <c r="H89" s="43"/>
      <c r="I89" s="262"/>
      <c r="J89" s="262">
        <f ca="1">SUM(J78:J88)</f>
        <v>19.477343763613511</v>
      </c>
      <c r="K89" s="262">
        <f ca="1">IF(J89=0,0,SUMPRODUCT(J78:J88,K78:K88)/J89)</f>
        <v>0</v>
      </c>
      <c r="L89" s="115"/>
      <c r="M89" s="9"/>
      <c r="N89" s="9"/>
      <c r="O89" s="9"/>
      <c r="P89" s="9"/>
      <c r="Q89" s="9"/>
      <c r="R89" s="9"/>
      <c r="S89" s="255"/>
      <c r="T89" s="255"/>
      <c r="U89" s="255"/>
      <c r="V89" s="255"/>
      <c r="W89" s="255"/>
      <c r="X89" s="255"/>
      <c r="Y89" s="255"/>
      <c r="Z89" s="255"/>
    </row>
    <row r="90" spans="1:26" hidden="1" outlineLevel="1">
      <c r="A90" s="9"/>
      <c r="B90" s="9"/>
      <c r="C90" s="275"/>
      <c r="D90" s="9"/>
      <c r="E90" s="262"/>
      <c r="F90" s="262"/>
      <c r="G90" s="258"/>
      <c r="H90" s="262"/>
      <c r="I90" s="262"/>
      <c r="J90" s="267"/>
      <c r="K90" s="262"/>
      <c r="L90" s="115"/>
      <c r="M90" s="9"/>
      <c r="N90" s="9"/>
      <c r="O90" s="9"/>
      <c r="P90" s="9"/>
      <c r="Q90" s="9"/>
      <c r="R90" s="9"/>
      <c r="S90" s="255"/>
      <c r="T90" s="255"/>
      <c r="U90" s="255"/>
      <c r="V90" s="255"/>
      <c r="W90" s="255"/>
      <c r="X90" s="255"/>
      <c r="Y90" s="255"/>
      <c r="Z90" s="255"/>
    </row>
    <row r="91" spans="1:26" hidden="1" outlineLevel="1">
      <c r="A91" s="9"/>
      <c r="B91" s="273" t="str">
        <f>Asset7</f>
        <v>Non-network general assets - Other</v>
      </c>
      <c r="C91" s="9"/>
      <c r="D91" s="12"/>
      <c r="E91" s="262"/>
      <c r="F91" s="262"/>
      <c r="G91" s="258"/>
      <c r="H91" s="262"/>
      <c r="I91" s="262"/>
      <c r="J91" s="267"/>
      <c r="K91" s="262"/>
      <c r="L91" s="115"/>
      <c r="M91" s="9"/>
      <c r="N91" s="9"/>
      <c r="O91" s="9"/>
      <c r="P91" s="9"/>
      <c r="Q91" s="9"/>
      <c r="R91" s="9"/>
      <c r="S91" s="255"/>
      <c r="T91" s="255"/>
      <c r="U91" s="255"/>
      <c r="V91" s="255"/>
      <c r="W91" s="255"/>
      <c r="X91" s="255"/>
      <c r="Y91" s="255"/>
      <c r="Z91" s="255"/>
    </row>
    <row r="92" spans="1:26" ht="12.75" hidden="1" customHeight="1" outlineLevel="1">
      <c r="A92" s="9"/>
      <c r="B92" s="9"/>
      <c r="C92" s="538" t="s">
        <v>5</v>
      </c>
      <c r="D92" s="539"/>
      <c r="E92" s="262">
        <f ca="1">A7value-SUM('Actual RAB roll forward'!H154:OFFSET('Actual RAB roll forward'!H154,0,Input!$Y$7-1))</f>
        <v>0</v>
      </c>
      <c r="F92" s="262">
        <f>IF(A7remlife="N/A","n/a",A7remlife-Input!$Y$7)</f>
        <v>-4.0464615626579139</v>
      </c>
      <c r="G92" s="258"/>
      <c r="H92" s="299" t="s">
        <v>43</v>
      </c>
      <c r="I92" s="300"/>
      <c r="J92" s="262">
        <f ca="1">A7taxvalue-SUM('Tax value roll forward'!H150:OFFSET('Tax value roll forward'!H150,0,Input!$Y$7-1))</f>
        <v>0</v>
      </c>
      <c r="K92" s="262">
        <f>IF(A7taxremlife="N/A","n/a",A7taxremlife-Input!$Y$7)</f>
        <v>-5</v>
      </c>
      <c r="L92" s="115"/>
      <c r="M92" s="9"/>
      <c r="N92" s="9"/>
      <c r="O92" s="9"/>
      <c r="P92" s="9"/>
      <c r="Q92" s="9"/>
      <c r="R92" s="9"/>
      <c r="S92" s="255"/>
      <c r="T92" s="255"/>
      <c r="U92" s="255"/>
      <c r="V92" s="255"/>
      <c r="W92" s="255"/>
      <c r="X92" s="255"/>
      <c r="Y92" s="255"/>
      <c r="Z92" s="255"/>
    </row>
    <row r="93" spans="1:26" hidden="1" outlineLevel="1">
      <c r="A93" s="9"/>
      <c r="B93" s="9"/>
      <c r="C93" s="540" t="s">
        <v>59</v>
      </c>
      <c r="D93" s="91">
        <v>1</v>
      </c>
      <c r="E93" s="262">
        <f ca="1">OFFSET('Actual RAB roll forward'!H$50,0,D93-1)-SUM('Actual RAB roll forward'!H156:OFFSET('Actual RAB roll forward'!H156,0,Input!$Y$7-1))</f>
        <v>1.0026876607895829</v>
      </c>
      <c r="F93" s="262">
        <f ca="1">IF(A7stdlife="N/A","n/a",IF(E93=0,0,A7stdlife+D93-Input!$Y$7))</f>
        <v>1</v>
      </c>
      <c r="G93" s="258"/>
      <c r="H93" s="540" t="s">
        <v>59</v>
      </c>
      <c r="I93" s="91">
        <v>1</v>
      </c>
      <c r="J93" s="262">
        <f ca="1">OFFSET('Tax value roll forward'!H$46,0,I93-1)-SUM('Tax value roll forward'!H152:OFFSET('Tax value roll forward'!H152,0,Input!$Y$7-1))</f>
        <v>0</v>
      </c>
      <c r="K93" s="262">
        <f ca="1">IF(A7taxstdlife="N/A","n/a",IF(J93=0,0,A7taxstdlife+I93-Input!$Y$7))</f>
        <v>0</v>
      </c>
      <c r="L93" s="115"/>
      <c r="M93" s="9"/>
      <c r="N93" s="9"/>
      <c r="O93" s="9"/>
      <c r="P93" s="9"/>
      <c r="Q93" s="9"/>
      <c r="R93" s="9"/>
      <c r="S93" s="255"/>
      <c r="T93" s="255"/>
      <c r="U93" s="255"/>
      <c r="V93" s="255"/>
      <c r="W93" s="255"/>
      <c r="X93" s="255"/>
      <c r="Y93" s="255"/>
      <c r="Z93" s="255"/>
    </row>
    <row r="94" spans="1:26" hidden="1" outlineLevel="1">
      <c r="A94" s="9"/>
      <c r="B94" s="9"/>
      <c r="C94" s="541"/>
      <c r="D94" s="91">
        <v>2</v>
      </c>
      <c r="E94" s="262">
        <f ca="1">OFFSET('Actual RAB roll forward'!H$50,0,D94-1)-SUM('Actual RAB roll forward'!H157:OFFSET('Actual RAB roll forward'!H157,0,Input!$Y$7-1))</f>
        <v>1.4610370536450503</v>
      </c>
      <c r="F94" s="262">
        <f ca="1">IF(A7stdlife="N/A","n/a",IF(E94=0,0,A7stdlife+D94-Input!$Y$7))</f>
        <v>2</v>
      </c>
      <c r="G94" s="258"/>
      <c r="H94" s="541"/>
      <c r="I94" s="91">
        <v>2</v>
      </c>
      <c r="J94" s="262">
        <f ca="1">OFFSET('Tax value roll forward'!H$46,0,I94-1)-SUM('Tax value roll forward'!H153:OFFSET('Tax value roll forward'!H153,0,Input!$Y$7-1))</f>
        <v>0</v>
      </c>
      <c r="K94" s="262">
        <f ca="1">IF(A7taxstdlife="N/A","n/a",IF(J94=0,0,A7taxstdlife+I94-Input!$Y$7))</f>
        <v>0</v>
      </c>
      <c r="L94" s="115"/>
      <c r="M94" s="9"/>
      <c r="N94" s="9"/>
      <c r="O94" s="9"/>
      <c r="P94" s="9"/>
      <c r="Q94" s="9"/>
      <c r="R94" s="9"/>
      <c r="S94" s="255"/>
      <c r="T94" s="255"/>
      <c r="U94" s="255"/>
      <c r="V94" s="255"/>
      <c r="W94" s="255"/>
      <c r="X94" s="255"/>
      <c r="Y94" s="255"/>
      <c r="Z94" s="255"/>
    </row>
    <row r="95" spans="1:26" hidden="1" outlineLevel="1">
      <c r="A95" s="9"/>
      <c r="B95" s="9"/>
      <c r="C95" s="541"/>
      <c r="D95" s="91">
        <v>3</v>
      </c>
      <c r="E95" s="262">
        <f ca="1">OFFSET('Actual RAB roll forward'!H$50,0,D95-1)-SUM('Actual RAB roll forward'!H158:OFFSET('Actual RAB roll forward'!H158,0,Input!$Y$7-1))</f>
        <v>3.1716274336597889</v>
      </c>
      <c r="F95" s="262">
        <f ca="1">IF(A7stdlife="N/A","n/a",IF(E95=0,0,A7stdlife+D95-Input!$Y$7))</f>
        <v>3</v>
      </c>
      <c r="G95" s="258"/>
      <c r="H95" s="541"/>
      <c r="I95" s="91">
        <v>3</v>
      </c>
      <c r="J95" s="262">
        <f ca="1">OFFSET('Tax value roll forward'!H$46,0,I95-1)-SUM('Tax value roll forward'!H154:OFFSET('Tax value roll forward'!H154,0,Input!$Y$7-1))</f>
        <v>0</v>
      </c>
      <c r="K95" s="262">
        <f ca="1">IF(A7taxstdlife="N/A","n/a",IF(J95=0,0,A7taxstdlife+I95-Input!$Y$7))</f>
        <v>0</v>
      </c>
      <c r="L95" s="115"/>
      <c r="M95" s="9"/>
      <c r="N95" s="9"/>
      <c r="O95" s="9"/>
      <c r="P95" s="9"/>
      <c r="Q95" s="9"/>
      <c r="R95" s="9"/>
      <c r="S95" s="255"/>
      <c r="T95" s="255"/>
      <c r="U95" s="255"/>
      <c r="V95" s="255"/>
      <c r="W95" s="255"/>
      <c r="X95" s="255"/>
      <c r="Y95" s="255"/>
      <c r="Z95" s="255"/>
    </row>
    <row r="96" spans="1:26" hidden="1" outlineLevel="1">
      <c r="A96" s="9"/>
      <c r="B96" s="9"/>
      <c r="C96" s="541"/>
      <c r="D96" s="91">
        <v>4</v>
      </c>
      <c r="E96" s="262">
        <f ca="1">OFFSET('Actual RAB roll forward'!H$50,0,D96-1)-SUM('Actual RAB roll forward'!H159:OFFSET('Actual RAB roll forward'!H159,0,Input!$Y$7-1))</f>
        <v>3.328841694810813</v>
      </c>
      <c r="F96" s="262">
        <f ca="1">IF(A7stdlife="N/A","n/a",IF(E96=0,0,A7stdlife+D96-Input!$Y$7))</f>
        <v>4</v>
      </c>
      <c r="G96" s="258"/>
      <c r="H96" s="541"/>
      <c r="I96" s="91">
        <v>4</v>
      </c>
      <c r="J96" s="262">
        <f ca="1">OFFSET('Tax value roll forward'!H$46,0,I96-1)-SUM('Tax value roll forward'!H155:OFFSET('Tax value roll forward'!H155,0,Input!$Y$7-1))</f>
        <v>0</v>
      </c>
      <c r="K96" s="262">
        <f ca="1">IF(A7taxstdlife="N/A","n/a",IF(J96=0,0,A7taxstdlife+I96-Input!$Y$7))</f>
        <v>0</v>
      </c>
      <c r="L96" s="115"/>
      <c r="M96" s="9"/>
      <c r="N96" s="9"/>
      <c r="O96" s="9"/>
      <c r="P96" s="9"/>
      <c r="Q96" s="9"/>
      <c r="R96" s="9"/>
      <c r="S96" s="255"/>
      <c r="T96" s="255"/>
      <c r="U96" s="255"/>
      <c r="V96" s="255"/>
      <c r="W96" s="255"/>
      <c r="X96" s="255"/>
      <c r="Y96" s="255"/>
      <c r="Z96" s="255"/>
    </row>
    <row r="97" spans="1:26" hidden="1" outlineLevel="1">
      <c r="A97" s="9"/>
      <c r="B97" s="9"/>
      <c r="C97" s="541"/>
      <c r="D97" s="91">
        <v>5</v>
      </c>
      <c r="E97" s="262">
        <f ca="1">OFFSET('Actual RAB roll forward'!H$50,0,D97-1)-SUM('Actual RAB roll forward'!H160:OFFSET('Actual RAB roll forward'!H160,0,Input!$Y$7-1))</f>
        <v>2.2266963481113646</v>
      </c>
      <c r="F97" s="262">
        <f ca="1">IF(A7stdlife="N/A","n/a",IF(E97=0,0,A7stdlife+D97-Input!$Y$7))</f>
        <v>5</v>
      </c>
      <c r="G97" s="258"/>
      <c r="H97" s="541"/>
      <c r="I97" s="91">
        <v>5</v>
      </c>
      <c r="J97" s="262">
        <f ca="1">OFFSET('Tax value roll forward'!H$46,0,I97-1)-SUM('Tax value roll forward'!H156:OFFSET('Tax value roll forward'!H156,0,Input!$Y$7-1))</f>
        <v>2.4143576383094745</v>
      </c>
      <c r="K97" s="262">
        <f ca="1">IF(A7taxstdlife="N/A","n/a",IF(J97=0,0,A7taxstdlife+I97-Input!$Y$7))</f>
        <v>0</v>
      </c>
      <c r="L97" s="115"/>
      <c r="M97" s="9"/>
      <c r="N97" s="9"/>
      <c r="O97" s="9"/>
      <c r="P97" s="9"/>
      <c r="Q97" s="9"/>
      <c r="R97" s="9"/>
      <c r="S97" s="255"/>
      <c r="T97" s="255"/>
      <c r="U97" s="255"/>
      <c r="V97" s="255"/>
      <c r="W97" s="255"/>
      <c r="X97" s="255"/>
      <c r="Y97" s="255"/>
      <c r="Z97" s="255"/>
    </row>
    <row r="98" spans="1:26" hidden="1" outlineLevel="1">
      <c r="A98" s="9"/>
      <c r="B98" s="9"/>
      <c r="C98" s="541"/>
      <c r="D98" s="91">
        <v>6</v>
      </c>
      <c r="E98" s="262">
        <f ca="1">OFFSET('Actual RAB roll forward'!H$50,0,D98-1)-SUM('Actual RAB roll forward'!H161:OFFSET('Actual RAB roll forward'!H161,0,Input!$Y$7-1))</f>
        <v>0</v>
      </c>
      <c r="F98" s="262">
        <f ca="1">IF(A7stdlife="N/A","n/a",IF(E98=0,0,A7stdlife+D98-Input!$Y$7))</f>
        <v>0</v>
      </c>
      <c r="G98" s="258"/>
      <c r="H98" s="541"/>
      <c r="I98" s="91">
        <v>6</v>
      </c>
      <c r="J98" s="262">
        <f ca="1">OFFSET('Tax value roll forward'!H$46,0,I98-1)-SUM('Tax value roll forward'!H157:OFFSET('Tax value roll forward'!H157,0,Input!$Y$7-1))</f>
        <v>0</v>
      </c>
      <c r="K98" s="262">
        <f ca="1">IF(A7taxstdlife="N/A","n/a",IF(J98=0,0,A7taxstdlife+I98-Input!$Y$7))</f>
        <v>0</v>
      </c>
      <c r="L98" s="115"/>
      <c r="M98" s="9"/>
      <c r="N98" s="9"/>
      <c r="O98" s="9"/>
      <c r="P98" s="9"/>
      <c r="Q98" s="9"/>
      <c r="R98" s="9"/>
      <c r="S98" s="255"/>
      <c r="T98" s="255"/>
      <c r="U98" s="255"/>
      <c r="V98" s="255"/>
      <c r="W98" s="255"/>
      <c r="X98" s="255"/>
      <c r="Y98" s="255"/>
      <c r="Z98" s="255"/>
    </row>
    <row r="99" spans="1:26" hidden="1" outlineLevel="1">
      <c r="A99" s="9"/>
      <c r="B99" s="9"/>
      <c r="C99" s="541"/>
      <c r="D99" s="91">
        <v>7</v>
      </c>
      <c r="E99" s="262">
        <f ca="1">OFFSET('Actual RAB roll forward'!H$50,0,D99-1)-SUM('Actual RAB roll forward'!H162:OFFSET('Actual RAB roll forward'!H162,0,Input!$Y$7-1))</f>
        <v>0</v>
      </c>
      <c r="F99" s="262">
        <f ca="1">IF(A7stdlife="N/A","n/a",IF(E99=0,0,A7stdlife+D99-Input!$Y$7))</f>
        <v>0</v>
      </c>
      <c r="G99" s="258"/>
      <c r="H99" s="541"/>
      <c r="I99" s="91">
        <v>7</v>
      </c>
      <c r="J99" s="262">
        <f ca="1">OFFSET('Tax value roll forward'!H$46,0,I99-1)-SUM('Tax value roll forward'!H158:OFFSET('Tax value roll forward'!H158,0,Input!$Y$7-1))</f>
        <v>0</v>
      </c>
      <c r="K99" s="262">
        <f ca="1">IF(A7taxstdlife="N/A","n/a",IF(J99=0,0,A7taxstdlife+I99-Input!$Y$7))</f>
        <v>0</v>
      </c>
      <c r="L99" s="115"/>
      <c r="M99" s="9"/>
      <c r="N99" s="9"/>
      <c r="O99" s="9"/>
      <c r="P99" s="9"/>
      <c r="Q99" s="9"/>
      <c r="R99" s="9"/>
      <c r="S99" s="255"/>
      <c r="T99" s="255"/>
      <c r="U99" s="255"/>
      <c r="V99" s="255"/>
      <c r="W99" s="255"/>
      <c r="X99" s="255"/>
      <c r="Y99" s="255"/>
      <c r="Z99" s="255"/>
    </row>
    <row r="100" spans="1:26" hidden="1" outlineLevel="1">
      <c r="A100" s="9"/>
      <c r="B100" s="9"/>
      <c r="C100" s="541"/>
      <c r="D100" s="91">
        <v>8</v>
      </c>
      <c r="E100" s="262">
        <f ca="1">OFFSET('Actual RAB roll forward'!H$50,0,D100-1)-SUM('Actual RAB roll forward'!H163:OFFSET('Actual RAB roll forward'!H163,0,Input!$Y$7-1))</f>
        <v>0</v>
      </c>
      <c r="F100" s="262">
        <f ca="1">IF(A7stdlife="N/A","n/a",IF(E100=0,0,A7stdlife+D100-Input!$Y$7))</f>
        <v>0</v>
      </c>
      <c r="G100" s="258"/>
      <c r="H100" s="541"/>
      <c r="I100" s="91">
        <v>8</v>
      </c>
      <c r="J100" s="262">
        <f ca="1">OFFSET('Tax value roll forward'!H$46,0,I100-1)-SUM('Tax value roll forward'!H159:OFFSET('Tax value roll forward'!H159,0,Input!$Y$7-1))</f>
        <v>0</v>
      </c>
      <c r="K100" s="262">
        <f ca="1">IF(A7taxstdlife="N/A","n/a",IF(J100=0,0,A7taxstdlife+I100-Input!$Y$7))</f>
        <v>0</v>
      </c>
      <c r="L100" s="115"/>
      <c r="M100" s="9"/>
      <c r="N100" s="9"/>
      <c r="O100" s="9"/>
      <c r="P100" s="9"/>
      <c r="Q100" s="9"/>
      <c r="R100" s="9"/>
      <c r="S100" s="255"/>
      <c r="T100" s="255"/>
      <c r="U100" s="255"/>
      <c r="V100" s="255"/>
      <c r="W100" s="255"/>
      <c r="X100" s="255"/>
      <c r="Y100" s="255"/>
      <c r="Z100" s="255"/>
    </row>
    <row r="101" spans="1:26" hidden="1" outlineLevel="1">
      <c r="A101" s="9"/>
      <c r="B101" s="9"/>
      <c r="C101" s="541"/>
      <c r="D101" s="91">
        <v>9</v>
      </c>
      <c r="E101" s="262">
        <f ca="1">OFFSET('Actual RAB roll forward'!H$50,0,D101-1)-SUM('Actual RAB roll forward'!H164:OFFSET('Actual RAB roll forward'!H164,0,Input!$Y$7-1))</f>
        <v>0</v>
      </c>
      <c r="F101" s="262">
        <f ca="1">IF(A7stdlife="N/A","n/a",IF(E101=0,0,A7stdlife+D101-Input!$Y$7))</f>
        <v>0</v>
      </c>
      <c r="G101" s="258"/>
      <c r="H101" s="541"/>
      <c r="I101" s="91">
        <v>9</v>
      </c>
      <c r="J101" s="262">
        <f ca="1">OFFSET('Tax value roll forward'!H$46,0,I101-1)-SUM('Tax value roll forward'!H160:OFFSET('Tax value roll forward'!H160,0,Input!$Y$7-1))</f>
        <v>0</v>
      </c>
      <c r="K101" s="262">
        <f ca="1">IF(A7taxstdlife="N/A","n/a",IF(J101=0,0,A7taxstdlife+I101-Input!$Y$7))</f>
        <v>0</v>
      </c>
      <c r="L101" s="115"/>
      <c r="M101" s="9"/>
      <c r="N101" s="9"/>
      <c r="O101" s="9"/>
      <c r="P101" s="9"/>
      <c r="Q101" s="9"/>
      <c r="R101" s="9"/>
      <c r="S101" s="255"/>
      <c r="T101" s="255"/>
      <c r="U101" s="255"/>
      <c r="V101" s="255"/>
      <c r="W101" s="255"/>
      <c r="X101" s="255"/>
      <c r="Y101" s="255"/>
      <c r="Z101" s="255"/>
    </row>
    <row r="102" spans="1:26" hidden="1" outlineLevel="1">
      <c r="A102" s="9"/>
      <c r="B102" s="9"/>
      <c r="C102" s="542"/>
      <c r="D102" s="92">
        <v>10</v>
      </c>
      <c r="E102" s="262">
        <f ca="1">OFFSET('Actual RAB roll forward'!H$50,0,D102-1)-SUM('Actual RAB roll forward'!H165:OFFSET('Actual RAB roll forward'!H165,0,Input!$Y$7-1))</f>
        <v>0</v>
      </c>
      <c r="F102" s="262">
        <f ca="1">IF(A7stdlife="N/A","n/a",IF(E102=0,0,A7stdlife+D102-Input!$Y$7))</f>
        <v>0</v>
      </c>
      <c r="G102" s="258"/>
      <c r="H102" s="542"/>
      <c r="I102" s="92">
        <v>10</v>
      </c>
      <c r="J102" s="262">
        <f ca="1">OFFSET('Tax value roll forward'!H$46,0,I102-1)-SUM('Tax value roll forward'!H161:OFFSET('Tax value roll forward'!H161,0,Input!$Y$7-1))</f>
        <v>0</v>
      </c>
      <c r="K102" s="262">
        <f ca="1">IF(A7taxstdlife="N/A","n/a",IF(J102=0,0,A7taxstdlife+I102-Input!$Y$7))</f>
        <v>0</v>
      </c>
      <c r="L102" s="115"/>
      <c r="M102" s="9"/>
      <c r="N102" s="9"/>
      <c r="O102" s="9"/>
      <c r="P102" s="9"/>
      <c r="Q102" s="9"/>
      <c r="R102" s="9"/>
      <c r="S102" s="255"/>
      <c r="T102" s="255"/>
      <c r="U102" s="255"/>
      <c r="V102" s="255"/>
      <c r="W102" s="255"/>
      <c r="X102" s="255"/>
      <c r="Y102" s="255"/>
      <c r="Z102" s="255"/>
    </row>
    <row r="103" spans="1:26" collapsed="1">
      <c r="A103" s="9"/>
      <c r="B103" s="9"/>
      <c r="C103" s="275" t="str">
        <f>Asset7</f>
        <v>Non-network general assets - Other</v>
      </c>
      <c r="D103" s="9"/>
      <c r="E103" s="262">
        <f ca="1">SUM(E92:E102)</f>
        <v>11.190890191016599</v>
      </c>
      <c r="F103" s="262">
        <f ca="1">IF(E103=0,0,SUMPRODUCT(E92:E102,F92:F102)/E103)</f>
        <v>3.3856549338026585</v>
      </c>
      <c r="G103" s="258"/>
      <c r="H103" s="43"/>
      <c r="I103" s="262"/>
      <c r="J103" s="262">
        <f ca="1">SUM(J92:J102)</f>
        <v>2.4143576383094745</v>
      </c>
      <c r="K103" s="262">
        <f ca="1">IF(J103=0,0,SUMPRODUCT(J92:J102,K92:K102)/J103)</f>
        <v>0</v>
      </c>
      <c r="L103" s="115"/>
      <c r="M103" s="9"/>
      <c r="N103" s="9"/>
      <c r="O103" s="9"/>
      <c r="P103" s="9"/>
      <c r="Q103" s="9"/>
      <c r="R103" s="9"/>
      <c r="S103" s="255"/>
      <c r="T103" s="255"/>
      <c r="U103" s="255"/>
      <c r="V103" s="255"/>
      <c r="W103" s="255"/>
      <c r="X103" s="255"/>
      <c r="Y103" s="255"/>
      <c r="Z103" s="255"/>
    </row>
    <row r="104" spans="1:26" hidden="1" outlineLevel="1">
      <c r="A104" s="9"/>
      <c r="B104" s="9"/>
      <c r="C104" s="275"/>
      <c r="D104" s="9"/>
      <c r="E104" s="262"/>
      <c r="F104" s="262"/>
      <c r="G104" s="258"/>
      <c r="H104" s="262"/>
      <c r="I104" s="262"/>
      <c r="J104" s="267"/>
      <c r="K104" s="262"/>
      <c r="L104" s="115"/>
      <c r="M104" s="9"/>
      <c r="N104" s="9"/>
      <c r="O104" s="9"/>
      <c r="P104" s="9"/>
      <c r="Q104" s="9"/>
      <c r="R104" s="9"/>
      <c r="S104" s="255"/>
      <c r="T104" s="255"/>
      <c r="U104" s="255"/>
      <c r="V104" s="255"/>
      <c r="W104" s="255"/>
      <c r="X104" s="255"/>
      <c r="Y104" s="255"/>
      <c r="Z104" s="255"/>
    </row>
    <row r="105" spans="1:26" hidden="1" outlineLevel="1">
      <c r="A105" s="9"/>
      <c r="B105" s="273" t="str">
        <f>Asset8</f>
        <v>Equity Raising Costs</v>
      </c>
      <c r="C105" s="9"/>
      <c r="D105" s="9"/>
      <c r="E105" s="262"/>
      <c r="F105" s="262"/>
      <c r="G105" s="258"/>
      <c r="H105" s="262"/>
      <c r="I105" s="262"/>
      <c r="J105" s="267"/>
      <c r="K105" s="262"/>
      <c r="L105" s="115"/>
      <c r="M105" s="9"/>
      <c r="N105" s="9"/>
      <c r="O105" s="9"/>
      <c r="P105" s="9"/>
      <c r="Q105" s="9"/>
      <c r="R105" s="9"/>
      <c r="S105" s="255"/>
      <c r="T105" s="255"/>
      <c r="U105" s="255"/>
      <c r="V105" s="255"/>
      <c r="W105" s="255"/>
      <c r="X105" s="255"/>
      <c r="Y105" s="255"/>
      <c r="Z105" s="255"/>
    </row>
    <row r="106" spans="1:26" ht="12.75" hidden="1" customHeight="1" outlineLevel="1">
      <c r="A106" s="9"/>
      <c r="B106" s="9"/>
      <c r="C106" s="538" t="s">
        <v>5</v>
      </c>
      <c r="D106" s="539"/>
      <c r="E106" s="262">
        <f ca="1">A8value-SUM('Actual RAB roll forward'!H167:OFFSET('Actual RAB roll forward'!H167,0,Input!$Y$7-1))</f>
        <v>0</v>
      </c>
      <c r="F106" s="262" t="str">
        <f>IF(A8remlife="N/A","n/a",A8remlife-Input!$Y$7)</f>
        <v>n/a</v>
      </c>
      <c r="G106" s="258"/>
      <c r="H106" s="299" t="s">
        <v>43</v>
      </c>
      <c r="I106" s="300"/>
      <c r="J106" s="262">
        <f ca="1">A8taxvalue-SUM('Tax value roll forward'!H163:OFFSET('Tax value roll forward'!H163,0,Input!$Y$7-1))</f>
        <v>0</v>
      </c>
      <c r="K106" s="262">
        <f>IF(A8taxremlife="N/A","n/a",A8taxremlife-Input!$Y$7)</f>
        <v>-5</v>
      </c>
      <c r="L106" s="115"/>
      <c r="M106" s="9"/>
      <c r="N106" s="9"/>
      <c r="O106" s="9"/>
      <c r="P106" s="9"/>
      <c r="Q106" s="9"/>
      <c r="R106" s="9"/>
      <c r="S106" s="255"/>
      <c r="T106" s="255"/>
      <c r="U106" s="255"/>
      <c r="V106" s="255"/>
      <c r="W106" s="255"/>
      <c r="X106" s="255"/>
      <c r="Y106" s="255"/>
      <c r="Z106" s="255"/>
    </row>
    <row r="107" spans="1:26" hidden="1" outlineLevel="1">
      <c r="A107" s="9"/>
      <c r="B107" s="9"/>
      <c r="C107" s="540" t="s">
        <v>59</v>
      </c>
      <c r="D107" s="91">
        <v>1</v>
      </c>
      <c r="E107" s="262">
        <f ca="1">OFFSET('Actual RAB roll forward'!H$51,0,D107-1)-SUM('Actual RAB roll forward'!H169:OFFSET('Actual RAB roll forward'!H169,0,Input!$Y$7-1))</f>
        <v>1.3829268634101297</v>
      </c>
      <c r="F107" s="262">
        <f ca="1">IF(A8stdlife="N/A","n/a",IF(E107=0,0,A8stdlife+D107-Input!$Y$7))</f>
        <v>42.474672142650419</v>
      </c>
      <c r="G107" s="258"/>
      <c r="H107" s="540" t="s">
        <v>59</v>
      </c>
      <c r="I107" s="91">
        <v>1</v>
      </c>
      <c r="J107" s="262">
        <f ca="1">OFFSET('Tax value roll forward'!H$47,0,I107-1)-SUM('Tax value roll forward'!H165:OFFSET('Tax value roll forward'!H165,0,Input!$Y$7-1))</f>
        <v>0</v>
      </c>
      <c r="K107" s="262">
        <f ca="1">IF(A8taxstdlife="N/A","n/a",IF(J107=0,0,A8taxstdlife+I107-Input!$Y$7))</f>
        <v>0</v>
      </c>
      <c r="L107" s="115"/>
      <c r="M107" s="9"/>
      <c r="N107" s="9"/>
      <c r="O107" s="9"/>
      <c r="P107" s="9"/>
      <c r="Q107" s="9"/>
      <c r="R107" s="9"/>
      <c r="S107" s="255"/>
      <c r="T107" s="255"/>
      <c r="U107" s="255"/>
      <c r="V107" s="255"/>
      <c r="W107" s="255"/>
      <c r="X107" s="255"/>
      <c r="Y107" s="255"/>
      <c r="Z107" s="255"/>
    </row>
    <row r="108" spans="1:26" hidden="1" outlineLevel="1">
      <c r="A108" s="9"/>
      <c r="B108" s="9"/>
      <c r="C108" s="541"/>
      <c r="D108" s="91">
        <v>2</v>
      </c>
      <c r="E108" s="262">
        <f ca="1">OFFSET('Actual RAB roll forward'!H$51,0,D108-1)-SUM('Actual RAB roll forward'!H170:OFFSET('Actual RAB roll forward'!H170,0,Input!$Y$7-1))</f>
        <v>0</v>
      </c>
      <c r="F108" s="262">
        <f ca="1">IF(A8stdlife="N/A","n/a",IF(E108=0,0,A8stdlife+D108-Input!$Y$7))</f>
        <v>0</v>
      </c>
      <c r="G108" s="258"/>
      <c r="H108" s="541"/>
      <c r="I108" s="91">
        <v>2</v>
      </c>
      <c r="J108" s="262">
        <f ca="1">OFFSET('Tax value roll forward'!H$47,0,I108-1)-SUM('Tax value roll forward'!H166:OFFSET('Tax value roll forward'!H166,0,Input!$Y$7-1))</f>
        <v>0</v>
      </c>
      <c r="K108" s="262">
        <f ca="1">IF(A8taxstdlife="N/A","n/a",IF(J108=0,0,A8taxstdlife+I108-Input!$Y$7))</f>
        <v>0</v>
      </c>
      <c r="L108" s="115"/>
      <c r="M108" s="9"/>
      <c r="N108" s="9"/>
      <c r="O108" s="9"/>
      <c r="P108" s="9"/>
      <c r="Q108" s="9"/>
      <c r="R108" s="9"/>
      <c r="S108" s="255"/>
      <c r="T108" s="255"/>
      <c r="U108" s="255"/>
      <c r="V108" s="255"/>
      <c r="W108" s="255"/>
      <c r="X108" s="255"/>
      <c r="Y108" s="255"/>
      <c r="Z108" s="255"/>
    </row>
    <row r="109" spans="1:26" hidden="1" outlineLevel="1">
      <c r="A109" s="9"/>
      <c r="B109" s="9"/>
      <c r="C109" s="541"/>
      <c r="D109" s="91">
        <v>3</v>
      </c>
      <c r="E109" s="262">
        <f ca="1">OFFSET('Actual RAB roll forward'!H$51,0,D109-1)-SUM('Actual RAB roll forward'!H171:OFFSET('Actual RAB roll forward'!H171,0,Input!$Y$7-1))</f>
        <v>0</v>
      </c>
      <c r="F109" s="262">
        <f ca="1">IF(A8stdlife="N/A","n/a",IF(E109=0,0,A8stdlife+D109-Input!$Y$7))</f>
        <v>0</v>
      </c>
      <c r="G109" s="258"/>
      <c r="H109" s="541"/>
      <c r="I109" s="91">
        <v>3</v>
      </c>
      <c r="J109" s="262">
        <f ca="1">OFFSET('Tax value roll forward'!H$47,0,I109-1)-SUM('Tax value roll forward'!H167:OFFSET('Tax value roll forward'!H167,0,Input!$Y$7-1))</f>
        <v>0</v>
      </c>
      <c r="K109" s="262">
        <f ca="1">IF(A8taxstdlife="N/A","n/a",IF(J109=0,0,A8taxstdlife+I109-Input!$Y$7))</f>
        <v>0</v>
      </c>
      <c r="L109" s="115"/>
      <c r="M109" s="9"/>
      <c r="N109" s="9"/>
      <c r="O109" s="9"/>
      <c r="P109" s="9"/>
      <c r="Q109" s="9"/>
      <c r="R109" s="9"/>
      <c r="S109" s="255"/>
      <c r="T109" s="255"/>
      <c r="U109" s="255"/>
      <c r="V109" s="255"/>
      <c r="W109" s="255"/>
      <c r="X109" s="255"/>
      <c r="Y109" s="255"/>
      <c r="Z109" s="255"/>
    </row>
    <row r="110" spans="1:26" hidden="1" outlineLevel="1">
      <c r="A110" s="9"/>
      <c r="B110" s="9"/>
      <c r="C110" s="541"/>
      <c r="D110" s="91">
        <v>4</v>
      </c>
      <c r="E110" s="262">
        <f ca="1">OFFSET('Actual RAB roll forward'!H$51,0,D110-1)-SUM('Actual RAB roll forward'!H172:OFFSET('Actual RAB roll forward'!H172,0,Input!$Y$7-1))</f>
        <v>0</v>
      </c>
      <c r="F110" s="262">
        <f ca="1">IF(A8stdlife="N/A","n/a",IF(E110=0,0,A8stdlife+D110-Input!$Y$7))</f>
        <v>0</v>
      </c>
      <c r="G110" s="258"/>
      <c r="H110" s="541"/>
      <c r="I110" s="91">
        <v>4</v>
      </c>
      <c r="J110" s="262">
        <f ca="1">OFFSET('Tax value roll forward'!H$47,0,I110-1)-SUM('Tax value roll forward'!H168:OFFSET('Tax value roll forward'!H168,0,Input!$Y$7-1))</f>
        <v>0</v>
      </c>
      <c r="K110" s="262">
        <f ca="1">IF(A8taxstdlife="N/A","n/a",IF(J110=0,0,A8taxstdlife+I110-Input!$Y$7))</f>
        <v>0</v>
      </c>
      <c r="L110" s="115"/>
      <c r="M110" s="9"/>
      <c r="N110" s="9"/>
      <c r="O110" s="9"/>
      <c r="P110" s="9"/>
      <c r="Q110" s="9"/>
      <c r="R110" s="9"/>
      <c r="S110" s="255"/>
      <c r="T110" s="255"/>
      <c r="U110" s="255"/>
      <c r="V110" s="255"/>
      <c r="W110" s="255"/>
      <c r="X110" s="255"/>
      <c r="Y110" s="255"/>
      <c r="Z110" s="255"/>
    </row>
    <row r="111" spans="1:26" hidden="1" outlineLevel="1">
      <c r="A111" s="9"/>
      <c r="B111" s="9"/>
      <c r="C111" s="541"/>
      <c r="D111" s="91">
        <v>5</v>
      </c>
      <c r="E111" s="262">
        <f ca="1">OFFSET('Actual RAB roll forward'!H$51,0,D111-1)-SUM('Actual RAB roll forward'!H173:OFFSET('Actual RAB roll forward'!H173,0,Input!$Y$7-1))</f>
        <v>0</v>
      </c>
      <c r="F111" s="262">
        <f ca="1">IF(A8stdlife="N/A","n/a",IF(E111=0,0,A8stdlife+D111-Input!$Y$7))</f>
        <v>0</v>
      </c>
      <c r="G111" s="258"/>
      <c r="H111" s="541"/>
      <c r="I111" s="91">
        <v>5</v>
      </c>
      <c r="J111" s="262">
        <f ca="1">OFFSET('Tax value roll forward'!H$47,0,I111-1)-SUM('Tax value roll forward'!H169:OFFSET('Tax value roll forward'!H169,0,Input!$Y$7-1))</f>
        <v>0</v>
      </c>
      <c r="K111" s="262">
        <f ca="1">IF(A8taxstdlife="N/A","n/a",IF(J111=0,0,A8taxstdlife+I111-Input!$Y$7))</f>
        <v>0</v>
      </c>
      <c r="L111" s="115"/>
      <c r="M111" s="9"/>
      <c r="N111" s="9"/>
      <c r="O111" s="9"/>
      <c r="P111" s="9"/>
      <c r="Q111" s="9"/>
      <c r="R111" s="9"/>
      <c r="S111" s="255"/>
      <c r="T111" s="255"/>
      <c r="U111" s="255"/>
      <c r="V111" s="255"/>
      <c r="W111" s="255"/>
      <c r="X111" s="255"/>
      <c r="Y111" s="255"/>
      <c r="Z111" s="255"/>
    </row>
    <row r="112" spans="1:26" hidden="1" outlineLevel="1">
      <c r="A112" s="9"/>
      <c r="B112" s="9"/>
      <c r="C112" s="541"/>
      <c r="D112" s="91">
        <v>6</v>
      </c>
      <c r="E112" s="262">
        <f ca="1">OFFSET('Actual RAB roll forward'!H$51,0,D112-1)-SUM('Actual RAB roll forward'!H174:OFFSET('Actual RAB roll forward'!H174,0,Input!$Y$7-1))</f>
        <v>0</v>
      </c>
      <c r="F112" s="262">
        <f ca="1">IF(A8stdlife="N/A","n/a",IF(E112=0,0,A8stdlife+D112-Input!$Y$7))</f>
        <v>0</v>
      </c>
      <c r="G112" s="258"/>
      <c r="H112" s="541"/>
      <c r="I112" s="91">
        <v>6</v>
      </c>
      <c r="J112" s="262">
        <f ca="1">OFFSET('Tax value roll forward'!H$47,0,I112-1)-SUM('Tax value roll forward'!H170:OFFSET('Tax value roll forward'!H170,0,Input!$Y$7-1))</f>
        <v>0</v>
      </c>
      <c r="K112" s="262">
        <f ca="1">IF(A8taxstdlife="N/A","n/a",IF(J112=0,0,A8taxstdlife+I112-Input!$Y$7))</f>
        <v>0</v>
      </c>
      <c r="L112" s="115"/>
      <c r="M112" s="9"/>
      <c r="N112" s="9"/>
      <c r="O112" s="9"/>
      <c r="P112" s="9"/>
      <c r="Q112" s="9"/>
      <c r="R112" s="9"/>
      <c r="S112" s="255"/>
      <c r="T112" s="255"/>
      <c r="U112" s="255"/>
      <c r="V112" s="255"/>
      <c r="W112" s="255"/>
      <c r="X112" s="255"/>
      <c r="Y112" s="255"/>
      <c r="Z112" s="255"/>
    </row>
    <row r="113" spans="1:26" hidden="1" outlineLevel="1">
      <c r="A113" s="9"/>
      <c r="B113" s="9"/>
      <c r="C113" s="541"/>
      <c r="D113" s="91">
        <v>7</v>
      </c>
      <c r="E113" s="262">
        <f ca="1">OFFSET('Actual RAB roll forward'!H$51,0,D113-1)-SUM('Actual RAB roll forward'!H175:OFFSET('Actual RAB roll forward'!H175,0,Input!$Y$7-1))</f>
        <v>0</v>
      </c>
      <c r="F113" s="262">
        <f ca="1">IF(A8stdlife="N/A","n/a",IF(E113=0,0,A8stdlife+D113-Input!$Y$7))</f>
        <v>0</v>
      </c>
      <c r="G113" s="258"/>
      <c r="H113" s="541"/>
      <c r="I113" s="91">
        <v>7</v>
      </c>
      <c r="J113" s="262">
        <f ca="1">OFFSET('Tax value roll forward'!H$47,0,I113-1)-SUM('Tax value roll forward'!H171:OFFSET('Tax value roll forward'!H171,0,Input!$Y$7-1))</f>
        <v>0</v>
      </c>
      <c r="K113" s="262">
        <f ca="1">IF(A8taxstdlife="N/A","n/a",IF(J113=0,0,A8taxstdlife+I113-Input!$Y$7))</f>
        <v>0</v>
      </c>
      <c r="L113" s="115"/>
      <c r="M113" s="9"/>
      <c r="N113" s="9"/>
      <c r="O113" s="9"/>
      <c r="P113" s="9"/>
      <c r="Q113" s="9"/>
      <c r="R113" s="9"/>
      <c r="S113" s="255"/>
      <c r="T113" s="255"/>
      <c r="U113" s="255"/>
      <c r="V113" s="255"/>
      <c r="W113" s="255"/>
      <c r="X113" s="255"/>
      <c r="Y113" s="255"/>
      <c r="Z113" s="255"/>
    </row>
    <row r="114" spans="1:26" hidden="1" outlineLevel="1">
      <c r="A114" s="9"/>
      <c r="B114" s="9"/>
      <c r="C114" s="541"/>
      <c r="D114" s="91">
        <v>8</v>
      </c>
      <c r="E114" s="262">
        <f ca="1">OFFSET('Actual RAB roll forward'!H$51,0,D114-1)-SUM('Actual RAB roll forward'!H176:OFFSET('Actual RAB roll forward'!H176,0,Input!$Y$7-1))</f>
        <v>0</v>
      </c>
      <c r="F114" s="262">
        <f ca="1">IF(A8stdlife="N/A","n/a",IF(E114=0,0,A8stdlife+D114-Input!$Y$7))</f>
        <v>0</v>
      </c>
      <c r="G114" s="258"/>
      <c r="H114" s="541"/>
      <c r="I114" s="91">
        <v>8</v>
      </c>
      <c r="J114" s="262">
        <f ca="1">OFFSET('Tax value roll forward'!H$47,0,I114-1)-SUM('Tax value roll forward'!H172:OFFSET('Tax value roll forward'!H172,0,Input!$Y$7-1))</f>
        <v>0</v>
      </c>
      <c r="K114" s="262">
        <f ca="1">IF(A8taxstdlife="N/A","n/a",IF(J114=0,0,A8taxstdlife+I114-Input!$Y$7))</f>
        <v>0</v>
      </c>
      <c r="L114" s="115"/>
      <c r="M114" s="9"/>
      <c r="N114" s="9"/>
      <c r="O114" s="9"/>
      <c r="P114" s="9"/>
      <c r="Q114" s="9"/>
      <c r="R114" s="9"/>
      <c r="S114" s="255"/>
      <c r="T114" s="255"/>
      <c r="U114" s="255"/>
      <c r="V114" s="255"/>
      <c r="W114" s="255"/>
      <c r="X114" s="255"/>
      <c r="Y114" s="255"/>
      <c r="Z114" s="255"/>
    </row>
    <row r="115" spans="1:26" hidden="1" outlineLevel="1">
      <c r="A115" s="9"/>
      <c r="B115" s="9"/>
      <c r="C115" s="541"/>
      <c r="D115" s="91">
        <v>9</v>
      </c>
      <c r="E115" s="262">
        <f ca="1">OFFSET('Actual RAB roll forward'!H$51,0,D115-1)-SUM('Actual RAB roll forward'!H177:OFFSET('Actual RAB roll forward'!H177,0,Input!$Y$7-1))</f>
        <v>0</v>
      </c>
      <c r="F115" s="262">
        <f ca="1">IF(A8stdlife="N/A","n/a",IF(E115=0,0,A8stdlife+D115-Input!$Y$7))</f>
        <v>0</v>
      </c>
      <c r="G115" s="258"/>
      <c r="H115" s="541"/>
      <c r="I115" s="91">
        <v>9</v>
      </c>
      <c r="J115" s="262">
        <f ca="1">OFFSET('Tax value roll forward'!H$47,0,I115-1)-SUM('Tax value roll forward'!H173:OFFSET('Tax value roll forward'!H173,0,Input!$Y$7-1))</f>
        <v>0</v>
      </c>
      <c r="K115" s="262">
        <f ca="1">IF(A8taxstdlife="N/A","n/a",IF(J115=0,0,A8taxstdlife+I115-Input!$Y$7))</f>
        <v>0</v>
      </c>
      <c r="L115" s="115"/>
      <c r="M115" s="9"/>
      <c r="N115" s="9"/>
      <c r="O115" s="9"/>
      <c r="P115" s="9"/>
      <c r="Q115" s="9"/>
      <c r="R115" s="9"/>
      <c r="S115" s="255"/>
      <c r="T115" s="255"/>
      <c r="U115" s="255"/>
      <c r="V115" s="255"/>
      <c r="W115" s="255"/>
      <c r="X115" s="255"/>
      <c r="Y115" s="255"/>
      <c r="Z115" s="255"/>
    </row>
    <row r="116" spans="1:26" hidden="1" outlineLevel="1">
      <c r="A116" s="9"/>
      <c r="B116" s="9"/>
      <c r="C116" s="542"/>
      <c r="D116" s="92">
        <v>10</v>
      </c>
      <c r="E116" s="262">
        <f ca="1">OFFSET('Actual RAB roll forward'!H$51,0,D116-1)-SUM('Actual RAB roll forward'!H178:OFFSET('Actual RAB roll forward'!H178,0,Input!$Y$7-1))</f>
        <v>0</v>
      </c>
      <c r="F116" s="262">
        <f ca="1">IF(A8stdlife="N/A","n/a",IF(E116=0,0,A8stdlife+D116-Input!$Y$7))</f>
        <v>0</v>
      </c>
      <c r="G116" s="258"/>
      <c r="H116" s="542"/>
      <c r="I116" s="92">
        <v>10</v>
      </c>
      <c r="J116" s="262">
        <f ca="1">OFFSET('Tax value roll forward'!H$47,0,I116-1)-SUM('Tax value roll forward'!H174:OFFSET('Tax value roll forward'!H174,0,Input!$Y$7-1))</f>
        <v>0</v>
      </c>
      <c r="K116" s="262">
        <f ca="1">IF(A8taxstdlife="N/A","n/a",IF(J116=0,0,A8taxstdlife+I116-Input!$Y$7))</f>
        <v>0</v>
      </c>
      <c r="L116" s="115"/>
      <c r="M116" s="9"/>
      <c r="N116" s="9"/>
      <c r="O116" s="9"/>
      <c r="P116" s="9"/>
      <c r="Q116" s="9"/>
      <c r="R116" s="9"/>
      <c r="S116" s="255"/>
      <c r="T116" s="255"/>
      <c r="U116" s="255"/>
      <c r="V116" s="255"/>
      <c r="W116" s="255"/>
      <c r="X116" s="255"/>
      <c r="Y116" s="255"/>
      <c r="Z116" s="255"/>
    </row>
    <row r="117" spans="1:26" collapsed="1">
      <c r="A117" s="9"/>
      <c r="B117" s="9"/>
      <c r="C117" s="275" t="str">
        <f>Asset8</f>
        <v>Equity Raising Costs</v>
      </c>
      <c r="D117" s="9"/>
      <c r="E117" s="262">
        <f ca="1">SUM(E106:E116)</f>
        <v>1.3829268634101297</v>
      </c>
      <c r="F117" s="262">
        <f ca="1">IF(E117=0,0,SUMPRODUCT(E106:E116,F106:F116)/E117)</f>
        <v>42.474672142650419</v>
      </c>
      <c r="G117" s="258"/>
      <c r="H117" s="43"/>
      <c r="I117" s="262"/>
      <c r="J117" s="262">
        <f ca="1">SUM(J106:J116)</f>
        <v>0</v>
      </c>
      <c r="K117" s="262">
        <f ca="1">IF(J117=0,0,SUMPRODUCT(J106:J116,K106:K116)/J117)</f>
        <v>0</v>
      </c>
      <c r="L117" s="115"/>
      <c r="M117" s="9"/>
      <c r="N117" s="9"/>
      <c r="O117" s="9"/>
      <c r="P117" s="9"/>
      <c r="Q117" s="9"/>
      <c r="R117" s="9"/>
      <c r="S117" s="255"/>
      <c r="T117" s="255"/>
      <c r="U117" s="255"/>
      <c r="V117" s="255"/>
      <c r="W117" s="255"/>
      <c r="X117" s="255"/>
      <c r="Y117" s="255"/>
      <c r="Z117" s="255"/>
    </row>
    <row r="118" spans="1:26" hidden="1" outlineLevel="1">
      <c r="A118" s="9"/>
      <c r="B118" s="9"/>
      <c r="C118" s="275"/>
      <c r="D118" s="9"/>
      <c r="E118" s="262"/>
      <c r="F118" s="262"/>
      <c r="G118" s="258"/>
      <c r="H118" s="262"/>
      <c r="I118" s="262"/>
      <c r="J118" s="267"/>
      <c r="K118" s="262"/>
      <c r="L118" s="115"/>
      <c r="M118" s="9"/>
      <c r="N118" s="9"/>
      <c r="O118" s="9"/>
      <c r="P118" s="9"/>
      <c r="Q118" s="9"/>
      <c r="R118" s="9"/>
      <c r="S118" s="255"/>
      <c r="T118" s="255"/>
      <c r="U118" s="255"/>
      <c r="V118" s="255"/>
      <c r="W118" s="255"/>
      <c r="X118" s="255"/>
      <c r="Y118" s="255"/>
      <c r="Z118" s="255"/>
    </row>
    <row r="119" spans="1:26" hidden="1" outlineLevel="1">
      <c r="A119" s="9"/>
      <c r="B119" s="273">
        <f>Asset9</f>
        <v>0</v>
      </c>
      <c r="C119" s="9"/>
      <c r="D119" s="9"/>
      <c r="E119" s="115"/>
      <c r="F119" s="115"/>
      <c r="G119" s="258"/>
      <c r="H119" s="262"/>
      <c r="I119" s="262"/>
      <c r="J119" s="267"/>
      <c r="K119" s="262"/>
      <c r="L119" s="115"/>
      <c r="M119" s="9"/>
      <c r="N119" s="9"/>
      <c r="O119" s="9"/>
      <c r="P119" s="9"/>
      <c r="Q119" s="9"/>
      <c r="R119" s="9"/>
      <c r="S119" s="255"/>
      <c r="T119" s="255"/>
      <c r="U119" s="255"/>
      <c r="V119" s="255"/>
      <c r="W119" s="255"/>
      <c r="X119" s="255"/>
      <c r="Y119" s="255"/>
      <c r="Z119" s="255"/>
    </row>
    <row r="120" spans="1:26" ht="12.75" hidden="1" customHeight="1" outlineLevel="1">
      <c r="A120" s="9"/>
      <c r="B120" s="9"/>
      <c r="C120" s="538" t="s">
        <v>5</v>
      </c>
      <c r="D120" s="539"/>
      <c r="E120" s="262">
        <f ca="1">A9value-SUM('Actual RAB roll forward'!H180:OFFSET('Actual RAB roll forward'!H180,0,Input!$Y$7-1))</f>
        <v>0</v>
      </c>
      <c r="F120" s="262">
        <f>IF(A9remlife="N/A","n/a",A9remlife-Input!$Y$7)</f>
        <v>-5</v>
      </c>
      <c r="G120" s="258"/>
      <c r="H120" s="299" t="s">
        <v>43</v>
      </c>
      <c r="I120" s="300"/>
      <c r="J120" s="262">
        <f ca="1">A9taxvalue-SUM('Tax value roll forward'!H176:OFFSET('Tax value roll forward'!H176,0,Input!$Y$7-1))</f>
        <v>0</v>
      </c>
      <c r="K120" s="262">
        <f>IF(A9taxremlife="N/A","n/a",A9taxremlife-Input!$Y$7)</f>
        <v>-5</v>
      </c>
      <c r="L120" s="115"/>
      <c r="M120" s="9"/>
      <c r="N120" s="9"/>
      <c r="O120" s="9"/>
      <c r="P120" s="9"/>
      <c r="Q120" s="9"/>
      <c r="R120" s="9"/>
      <c r="S120" s="255"/>
      <c r="T120" s="255"/>
      <c r="U120" s="255"/>
      <c r="V120" s="255"/>
      <c r="W120" s="255"/>
      <c r="X120" s="255"/>
      <c r="Y120" s="255"/>
      <c r="Z120" s="255"/>
    </row>
    <row r="121" spans="1:26" hidden="1" outlineLevel="1">
      <c r="A121" s="9"/>
      <c r="B121" s="9"/>
      <c r="C121" s="540" t="s">
        <v>59</v>
      </c>
      <c r="D121" s="91">
        <v>1</v>
      </c>
      <c r="E121" s="262">
        <f ca="1">OFFSET('Actual RAB roll forward'!H$52,0,D121-1)-SUM('Actual RAB roll forward'!H182:OFFSET('Actual RAB roll forward'!H182,0,Input!$Y$7-1))</f>
        <v>0</v>
      </c>
      <c r="F121" s="262">
        <f ca="1">IF(A9stdlife="N/A","n/a",IF(E121=0,0,A9stdlife+D121-Input!$Y$7))</f>
        <v>0</v>
      </c>
      <c r="G121" s="258"/>
      <c r="H121" s="540" t="s">
        <v>59</v>
      </c>
      <c r="I121" s="91">
        <v>1</v>
      </c>
      <c r="J121" s="262">
        <f ca="1">OFFSET('Tax value roll forward'!H$48,0,I121-1)-SUM('Tax value roll forward'!H178:OFFSET('Tax value roll forward'!H178,0,Input!$Y$7-1))</f>
        <v>0</v>
      </c>
      <c r="K121" s="262">
        <f ca="1">IF(A9taxstdlife="N/A","n/a",IF(J121=0,0,A9taxstdlife+I121-Input!$Y$7))</f>
        <v>0</v>
      </c>
      <c r="L121" s="115"/>
      <c r="M121" s="9"/>
      <c r="N121" s="9"/>
      <c r="O121" s="9"/>
      <c r="P121" s="9"/>
      <c r="Q121" s="9"/>
      <c r="R121" s="9"/>
      <c r="S121" s="255"/>
      <c r="T121" s="255"/>
      <c r="U121" s="255"/>
      <c r="V121" s="255"/>
      <c r="W121" s="255"/>
      <c r="X121" s="255"/>
      <c r="Y121" s="255"/>
      <c r="Z121" s="255"/>
    </row>
    <row r="122" spans="1:26" hidden="1" outlineLevel="1">
      <c r="A122" s="9"/>
      <c r="B122" s="9"/>
      <c r="C122" s="541"/>
      <c r="D122" s="91">
        <v>2</v>
      </c>
      <c r="E122" s="262">
        <f ca="1">OFFSET('Actual RAB roll forward'!H$52,0,D122-1)-SUM('Actual RAB roll forward'!H183:OFFSET('Actual RAB roll forward'!H183,0,Input!$Y$7-1))</f>
        <v>0</v>
      </c>
      <c r="F122" s="262">
        <f ca="1">IF(A9stdlife="N/A","n/a",IF(E122=0,0,A9stdlife+D122-Input!$Y$7))</f>
        <v>0</v>
      </c>
      <c r="G122" s="258"/>
      <c r="H122" s="541"/>
      <c r="I122" s="91">
        <v>2</v>
      </c>
      <c r="J122" s="262">
        <f ca="1">OFFSET('Tax value roll forward'!H$48,0,I122-1)-SUM('Tax value roll forward'!H179:OFFSET('Tax value roll forward'!H179,0,Input!$Y$7-1))</f>
        <v>0</v>
      </c>
      <c r="K122" s="262">
        <f ca="1">IF(A9taxstdlife="N/A","n/a",IF(J122=0,0,A9taxstdlife+I122-Input!$Y$7))</f>
        <v>0</v>
      </c>
      <c r="L122" s="115"/>
      <c r="M122" s="9"/>
      <c r="N122" s="9"/>
      <c r="O122" s="9"/>
      <c r="P122" s="9"/>
      <c r="Q122" s="9"/>
      <c r="R122" s="9"/>
      <c r="S122" s="255"/>
      <c r="T122" s="255"/>
      <c r="U122" s="255"/>
      <c r="V122" s="255"/>
      <c r="W122" s="255"/>
      <c r="X122" s="255"/>
      <c r="Y122" s="255"/>
      <c r="Z122" s="255"/>
    </row>
    <row r="123" spans="1:26" hidden="1" outlineLevel="1">
      <c r="A123" s="9"/>
      <c r="B123" s="9"/>
      <c r="C123" s="541"/>
      <c r="D123" s="91">
        <v>3</v>
      </c>
      <c r="E123" s="262">
        <f ca="1">OFFSET('Actual RAB roll forward'!H$52,0,D123-1)-SUM('Actual RAB roll forward'!H184:OFFSET('Actual RAB roll forward'!H184,0,Input!$Y$7-1))</f>
        <v>0</v>
      </c>
      <c r="F123" s="262">
        <f ca="1">IF(A9stdlife="N/A","n/a",IF(E123=0,0,A9stdlife+D123-Input!$Y$7))</f>
        <v>0</v>
      </c>
      <c r="G123" s="258"/>
      <c r="H123" s="541"/>
      <c r="I123" s="91">
        <v>3</v>
      </c>
      <c r="J123" s="262">
        <f ca="1">OFFSET('Tax value roll forward'!H$48,0,I123-1)-SUM('Tax value roll forward'!H180:OFFSET('Tax value roll forward'!H180,0,Input!$Y$7-1))</f>
        <v>0</v>
      </c>
      <c r="K123" s="262">
        <f ca="1">IF(A9taxstdlife="N/A","n/a",IF(J123=0,0,A9taxstdlife+I123-Input!$Y$7))</f>
        <v>0</v>
      </c>
      <c r="L123" s="115"/>
      <c r="M123" s="9"/>
      <c r="N123" s="9"/>
      <c r="O123" s="9"/>
      <c r="P123" s="9"/>
      <c r="Q123" s="9"/>
      <c r="R123" s="9"/>
      <c r="S123" s="255"/>
      <c r="T123" s="255"/>
      <c r="U123" s="255"/>
      <c r="V123" s="255"/>
      <c r="W123" s="255"/>
      <c r="X123" s="255"/>
      <c r="Y123" s="255"/>
      <c r="Z123" s="255"/>
    </row>
    <row r="124" spans="1:26" hidden="1" outlineLevel="1">
      <c r="A124" s="9"/>
      <c r="B124" s="9"/>
      <c r="C124" s="541"/>
      <c r="D124" s="91">
        <v>4</v>
      </c>
      <c r="E124" s="262">
        <f ca="1">OFFSET('Actual RAB roll forward'!H$52,0,D124-1)-SUM('Actual RAB roll forward'!H185:OFFSET('Actual RAB roll forward'!H185,0,Input!$Y$7-1))</f>
        <v>0</v>
      </c>
      <c r="F124" s="262">
        <f ca="1">IF(A9stdlife="N/A","n/a",IF(E124=0,0,A9stdlife+D124-Input!$Y$7))</f>
        <v>0</v>
      </c>
      <c r="G124" s="258"/>
      <c r="H124" s="541"/>
      <c r="I124" s="91">
        <v>4</v>
      </c>
      <c r="J124" s="262">
        <f ca="1">OFFSET('Tax value roll forward'!H$48,0,I124-1)-SUM('Tax value roll forward'!H181:OFFSET('Tax value roll forward'!H181,0,Input!$Y$7-1))</f>
        <v>0</v>
      </c>
      <c r="K124" s="262">
        <f ca="1">IF(A9taxstdlife="N/A","n/a",IF(J124=0,0,A9taxstdlife+I124-Input!$Y$7))</f>
        <v>0</v>
      </c>
      <c r="L124" s="115"/>
      <c r="M124" s="9"/>
      <c r="N124" s="9"/>
      <c r="O124" s="9"/>
      <c r="P124" s="9"/>
      <c r="Q124" s="9"/>
      <c r="R124" s="9"/>
      <c r="S124" s="255"/>
      <c r="T124" s="255"/>
      <c r="U124" s="255"/>
      <c r="V124" s="255"/>
      <c r="W124" s="255"/>
      <c r="X124" s="255"/>
      <c r="Y124" s="255"/>
      <c r="Z124" s="255"/>
    </row>
    <row r="125" spans="1:26" hidden="1" outlineLevel="1">
      <c r="A125" s="9"/>
      <c r="B125" s="9"/>
      <c r="C125" s="541"/>
      <c r="D125" s="91">
        <v>5</v>
      </c>
      <c r="E125" s="262">
        <f ca="1">OFFSET('Actual RAB roll forward'!H$52,0,D125-1)-SUM('Actual RAB roll forward'!H186:OFFSET('Actual RAB roll forward'!H186,0,Input!$Y$7-1))</f>
        <v>0</v>
      </c>
      <c r="F125" s="262">
        <f ca="1">IF(A9stdlife="N/A","n/a",IF(E125=0,0,A9stdlife+D125-Input!$Y$7))</f>
        <v>0</v>
      </c>
      <c r="G125" s="258"/>
      <c r="H125" s="541"/>
      <c r="I125" s="91">
        <v>5</v>
      </c>
      <c r="J125" s="262">
        <f ca="1">OFFSET('Tax value roll forward'!H$48,0,I125-1)-SUM('Tax value roll forward'!H182:OFFSET('Tax value roll forward'!H182,0,Input!$Y$7-1))</f>
        <v>0</v>
      </c>
      <c r="K125" s="262">
        <f ca="1">IF(A9taxstdlife="N/A","n/a",IF(J125=0,0,A9taxstdlife+I125-Input!$Y$7))</f>
        <v>0</v>
      </c>
      <c r="L125" s="115"/>
      <c r="M125" s="9"/>
      <c r="N125" s="9"/>
      <c r="O125" s="9"/>
      <c r="P125" s="9"/>
      <c r="Q125" s="9"/>
      <c r="R125" s="9"/>
      <c r="S125" s="255"/>
      <c r="T125" s="255"/>
      <c r="U125" s="255"/>
      <c r="V125" s="255"/>
      <c r="W125" s="255"/>
      <c r="X125" s="255"/>
      <c r="Y125" s="255"/>
      <c r="Z125" s="255"/>
    </row>
    <row r="126" spans="1:26" hidden="1" outlineLevel="1">
      <c r="A126" s="9"/>
      <c r="B126" s="9"/>
      <c r="C126" s="541"/>
      <c r="D126" s="91">
        <v>6</v>
      </c>
      <c r="E126" s="262">
        <f ca="1">OFFSET('Actual RAB roll forward'!H$52,0,D126-1)-SUM('Actual RAB roll forward'!H187:OFFSET('Actual RAB roll forward'!H187,0,Input!$Y$7-1))</f>
        <v>0</v>
      </c>
      <c r="F126" s="262">
        <f ca="1">IF(A9stdlife="N/A","n/a",IF(E126=0,0,A9stdlife+D126-Input!$Y$7))</f>
        <v>0</v>
      </c>
      <c r="G126" s="258"/>
      <c r="H126" s="541"/>
      <c r="I126" s="91">
        <v>6</v>
      </c>
      <c r="J126" s="262">
        <f ca="1">OFFSET('Tax value roll forward'!H$48,0,I126-1)-SUM('Tax value roll forward'!H183:OFFSET('Tax value roll forward'!H183,0,Input!$Y$7-1))</f>
        <v>0</v>
      </c>
      <c r="K126" s="262">
        <f ca="1">IF(A9taxstdlife="N/A","n/a",IF(J126=0,0,A9taxstdlife+I126-Input!$Y$7))</f>
        <v>0</v>
      </c>
      <c r="L126" s="115"/>
      <c r="M126" s="9"/>
      <c r="N126" s="9"/>
      <c r="O126" s="9"/>
      <c r="P126" s="9"/>
      <c r="Q126" s="9"/>
      <c r="R126" s="9"/>
      <c r="S126" s="255"/>
      <c r="T126" s="255"/>
      <c r="U126" s="255"/>
      <c r="V126" s="255"/>
      <c r="W126" s="255"/>
      <c r="X126" s="255"/>
      <c r="Y126" s="255"/>
      <c r="Z126" s="255"/>
    </row>
    <row r="127" spans="1:26" hidden="1" outlineLevel="1">
      <c r="A127" s="9"/>
      <c r="B127" s="9"/>
      <c r="C127" s="541"/>
      <c r="D127" s="91">
        <v>7</v>
      </c>
      <c r="E127" s="262">
        <f ca="1">OFFSET('Actual RAB roll forward'!H$52,0,D127-1)-SUM('Actual RAB roll forward'!H188:OFFSET('Actual RAB roll forward'!H188,0,Input!$Y$7-1))</f>
        <v>0</v>
      </c>
      <c r="F127" s="262">
        <f ca="1">IF(A9stdlife="N/A","n/a",IF(E127=0,0,A9stdlife+D127-Input!$Y$7))</f>
        <v>0</v>
      </c>
      <c r="G127" s="258"/>
      <c r="H127" s="541"/>
      <c r="I127" s="91">
        <v>7</v>
      </c>
      <c r="J127" s="262">
        <f ca="1">OFFSET('Tax value roll forward'!H$48,0,I127-1)-SUM('Tax value roll forward'!H184:OFFSET('Tax value roll forward'!H184,0,Input!$Y$7-1))</f>
        <v>0</v>
      </c>
      <c r="K127" s="262">
        <f ca="1">IF(A9taxstdlife="N/A","n/a",IF(J127=0,0,A9taxstdlife+I127-Input!$Y$7))</f>
        <v>0</v>
      </c>
      <c r="L127" s="115"/>
      <c r="M127" s="9"/>
      <c r="N127" s="9"/>
      <c r="O127" s="9"/>
      <c r="P127" s="9"/>
      <c r="Q127" s="9"/>
      <c r="R127" s="9"/>
      <c r="S127" s="255"/>
      <c r="T127" s="255"/>
      <c r="U127" s="255"/>
      <c r="V127" s="255"/>
      <c r="W127" s="255"/>
      <c r="X127" s="255"/>
      <c r="Y127" s="255"/>
      <c r="Z127" s="255"/>
    </row>
    <row r="128" spans="1:26" hidden="1" outlineLevel="1">
      <c r="A128" s="9"/>
      <c r="B128" s="9"/>
      <c r="C128" s="541"/>
      <c r="D128" s="91">
        <v>8</v>
      </c>
      <c r="E128" s="262">
        <f ca="1">OFFSET('Actual RAB roll forward'!H$52,0,D128-1)-SUM('Actual RAB roll forward'!H189:OFFSET('Actual RAB roll forward'!H189,0,Input!$Y$7-1))</f>
        <v>0</v>
      </c>
      <c r="F128" s="262">
        <f ca="1">IF(A9stdlife="N/A","n/a",IF(E128=0,0,A9stdlife+D128-Input!$Y$7))</f>
        <v>0</v>
      </c>
      <c r="G128" s="258"/>
      <c r="H128" s="541"/>
      <c r="I128" s="91">
        <v>8</v>
      </c>
      <c r="J128" s="262">
        <f ca="1">OFFSET('Tax value roll forward'!H$48,0,I128-1)-SUM('Tax value roll forward'!H185:OFFSET('Tax value roll forward'!H185,0,Input!$Y$7-1))</f>
        <v>0</v>
      </c>
      <c r="K128" s="262">
        <f ca="1">IF(A9taxstdlife="N/A","n/a",IF(J128=0,0,A9taxstdlife+I128-Input!$Y$7))</f>
        <v>0</v>
      </c>
      <c r="L128" s="115"/>
      <c r="M128" s="9"/>
      <c r="N128" s="9"/>
      <c r="O128" s="9"/>
      <c r="P128" s="9"/>
      <c r="Q128" s="9"/>
      <c r="R128" s="9"/>
      <c r="S128" s="255"/>
      <c r="T128" s="255"/>
      <c r="U128" s="255"/>
      <c r="V128" s="255"/>
      <c r="W128" s="255"/>
      <c r="X128" s="255"/>
      <c r="Y128" s="255"/>
      <c r="Z128" s="255"/>
    </row>
    <row r="129" spans="1:26" hidden="1" outlineLevel="1">
      <c r="A129" s="9"/>
      <c r="B129" s="9"/>
      <c r="C129" s="541"/>
      <c r="D129" s="91">
        <v>9</v>
      </c>
      <c r="E129" s="262">
        <f ca="1">OFFSET('Actual RAB roll forward'!H$52,0,D129-1)-SUM('Actual RAB roll forward'!H190:OFFSET('Actual RAB roll forward'!H190,0,Input!$Y$7-1))</f>
        <v>0</v>
      </c>
      <c r="F129" s="262">
        <f ca="1">IF(A9stdlife="N/A","n/a",IF(E129=0,0,A9stdlife+D129-Input!$Y$7))</f>
        <v>0</v>
      </c>
      <c r="G129" s="258"/>
      <c r="H129" s="541"/>
      <c r="I129" s="91">
        <v>9</v>
      </c>
      <c r="J129" s="262">
        <f ca="1">OFFSET('Tax value roll forward'!H$48,0,I129-1)-SUM('Tax value roll forward'!H186:OFFSET('Tax value roll forward'!H186,0,Input!$Y$7-1))</f>
        <v>0</v>
      </c>
      <c r="K129" s="262">
        <f ca="1">IF(A9taxstdlife="N/A","n/a",IF(J129=0,0,A9taxstdlife+I129-Input!$Y$7))</f>
        <v>0</v>
      </c>
      <c r="L129" s="115"/>
      <c r="M129" s="9"/>
      <c r="N129" s="9"/>
      <c r="O129" s="9"/>
      <c r="P129" s="9"/>
      <c r="Q129" s="9"/>
      <c r="R129" s="9"/>
      <c r="S129" s="255"/>
      <c r="T129" s="255"/>
      <c r="U129" s="255"/>
      <c r="V129" s="255"/>
      <c r="W129" s="255"/>
      <c r="X129" s="255"/>
      <c r="Y129" s="255"/>
      <c r="Z129" s="255"/>
    </row>
    <row r="130" spans="1:26" hidden="1" outlineLevel="1">
      <c r="A130" s="9"/>
      <c r="B130" s="9"/>
      <c r="C130" s="542"/>
      <c r="D130" s="92">
        <v>10</v>
      </c>
      <c r="E130" s="262">
        <f ca="1">OFFSET('Actual RAB roll forward'!H$52,0,D130-1)-SUM('Actual RAB roll forward'!H191:OFFSET('Actual RAB roll forward'!H191,0,Input!$Y$7-1))</f>
        <v>0</v>
      </c>
      <c r="F130" s="262">
        <f ca="1">IF(A9stdlife="N/A","n/a",IF(E130=0,0,A9stdlife+D130-Input!$Y$7))</f>
        <v>0</v>
      </c>
      <c r="G130" s="258"/>
      <c r="H130" s="542"/>
      <c r="I130" s="92">
        <v>10</v>
      </c>
      <c r="J130" s="262">
        <f ca="1">OFFSET('Tax value roll forward'!H$48,0,I130-1)-SUM('Tax value roll forward'!H187:OFFSET('Tax value roll forward'!H187,0,Input!$Y$7-1))</f>
        <v>0</v>
      </c>
      <c r="K130" s="262">
        <f ca="1">IF(A9taxstdlife="N/A","n/a",IF(J130=0,0,A9taxstdlife+I130-Input!$Y$7))</f>
        <v>0</v>
      </c>
      <c r="L130" s="115"/>
      <c r="M130" s="9"/>
      <c r="N130" s="9"/>
      <c r="O130" s="9"/>
      <c r="P130" s="9"/>
      <c r="Q130" s="9"/>
      <c r="R130" s="9"/>
      <c r="S130" s="255"/>
      <c r="T130" s="255"/>
      <c r="U130" s="255"/>
      <c r="V130" s="255"/>
      <c r="W130" s="255"/>
      <c r="X130" s="255"/>
      <c r="Y130" s="255"/>
      <c r="Z130" s="255"/>
    </row>
    <row r="131" spans="1:26" collapsed="1">
      <c r="A131" s="9"/>
      <c r="B131" s="9"/>
      <c r="C131" s="275">
        <f>Asset9</f>
        <v>0</v>
      </c>
      <c r="D131" s="9"/>
      <c r="E131" s="262">
        <f ca="1">SUM(E120:E130)</f>
        <v>0</v>
      </c>
      <c r="F131" s="262">
        <f ca="1">IF(E131=0,0,SUMPRODUCT(E120:E130,F120:F130)/E131)</f>
        <v>0</v>
      </c>
      <c r="G131" s="258"/>
      <c r="H131" s="43"/>
      <c r="I131" s="262"/>
      <c r="J131" s="262">
        <f ca="1">SUM(J120:J130)</f>
        <v>0</v>
      </c>
      <c r="K131" s="262">
        <f ca="1">IF(J131=0,0,SUMPRODUCT(J120:J130,K120:K130)/J131)</f>
        <v>0</v>
      </c>
      <c r="L131" s="115"/>
      <c r="M131" s="9"/>
      <c r="N131" s="9"/>
      <c r="O131" s="9"/>
      <c r="P131" s="9"/>
      <c r="Q131" s="9"/>
      <c r="R131" s="9"/>
      <c r="S131" s="255"/>
      <c r="T131" s="255"/>
      <c r="U131" s="255"/>
      <c r="V131" s="255"/>
      <c r="W131" s="255"/>
      <c r="X131" s="255"/>
      <c r="Y131" s="255"/>
      <c r="Z131" s="255"/>
    </row>
    <row r="132" spans="1:26" hidden="1" outlineLevel="1">
      <c r="A132" s="9"/>
      <c r="B132" s="9"/>
      <c r="C132" s="275"/>
      <c r="D132" s="9"/>
      <c r="E132" s="262"/>
      <c r="F132" s="262"/>
      <c r="G132" s="258"/>
      <c r="H132" s="262"/>
      <c r="I132" s="262"/>
      <c r="J132" s="267"/>
      <c r="K132" s="262"/>
      <c r="L132" s="115"/>
      <c r="M132" s="9"/>
      <c r="N132" s="9"/>
      <c r="O132" s="9"/>
      <c r="P132" s="9"/>
      <c r="Q132" s="9"/>
      <c r="R132" s="9"/>
      <c r="S132" s="255"/>
      <c r="T132" s="255"/>
      <c r="U132" s="255"/>
      <c r="V132" s="255"/>
      <c r="W132" s="255"/>
      <c r="X132" s="255"/>
      <c r="Y132" s="255"/>
      <c r="Z132" s="255"/>
    </row>
    <row r="133" spans="1:26" hidden="1" outlineLevel="1">
      <c r="A133" s="9"/>
      <c r="B133" s="273">
        <f>Asset10</f>
        <v>0</v>
      </c>
      <c r="C133" s="9"/>
      <c r="D133" s="9"/>
      <c r="E133" s="35"/>
      <c r="F133" s="35"/>
      <c r="G133" s="258"/>
      <c r="H133" s="262"/>
      <c r="I133" s="262"/>
      <c r="J133" s="267"/>
      <c r="K133" s="262"/>
      <c r="L133" s="115"/>
      <c r="M133" s="9"/>
      <c r="N133" s="9"/>
      <c r="O133" s="9"/>
      <c r="P133" s="9"/>
      <c r="Q133" s="9"/>
      <c r="R133" s="9"/>
      <c r="S133" s="255"/>
      <c r="T133" s="255"/>
      <c r="U133" s="255"/>
      <c r="V133" s="255"/>
      <c r="W133" s="255"/>
      <c r="X133" s="255"/>
      <c r="Y133" s="255"/>
      <c r="Z133" s="255"/>
    </row>
    <row r="134" spans="1:26" ht="12.75" hidden="1" customHeight="1" outlineLevel="1">
      <c r="A134" s="9"/>
      <c r="B134" s="9"/>
      <c r="C134" s="538" t="s">
        <v>5</v>
      </c>
      <c r="D134" s="539"/>
      <c r="E134" s="262">
        <f ca="1">A10value-SUM('Actual RAB roll forward'!H193:OFFSET('Actual RAB roll forward'!H193,0,Input!$Y$7-1))</f>
        <v>0</v>
      </c>
      <c r="F134" s="262">
        <f>IF(A10remlife="N/A","n/a",A10remlife-Input!$Y$7)</f>
        <v>-5</v>
      </c>
      <c r="G134" s="258"/>
      <c r="H134" s="299" t="s">
        <v>43</v>
      </c>
      <c r="I134" s="300"/>
      <c r="J134" s="262">
        <f ca="1">A10taxvalue-SUM('Tax value roll forward'!H189:OFFSET('Tax value roll forward'!H189,0,Input!$Y$7-1))</f>
        <v>0</v>
      </c>
      <c r="K134" s="262">
        <f>IF(A10taxremlife="N/A","n/a",A10taxremlife-Input!$Y$7)</f>
        <v>-5</v>
      </c>
      <c r="L134" s="115"/>
      <c r="M134" s="9"/>
      <c r="N134" s="9"/>
      <c r="O134" s="9"/>
      <c r="P134" s="9"/>
      <c r="Q134" s="9"/>
      <c r="R134" s="9"/>
      <c r="S134" s="255"/>
      <c r="T134" s="255"/>
      <c r="U134" s="255"/>
      <c r="V134" s="255"/>
      <c r="W134" s="255"/>
      <c r="X134" s="255"/>
      <c r="Y134" s="255"/>
      <c r="Z134" s="255"/>
    </row>
    <row r="135" spans="1:26" hidden="1" outlineLevel="1">
      <c r="A135" s="9"/>
      <c r="B135" s="9"/>
      <c r="C135" s="540" t="s">
        <v>59</v>
      </c>
      <c r="D135" s="91">
        <v>1</v>
      </c>
      <c r="E135" s="262">
        <f ca="1">OFFSET('Actual RAB roll forward'!H$53,0,D135-1)-SUM('Actual RAB roll forward'!H195:OFFSET('Actual RAB roll forward'!H195,0,Input!$Y$7-1))</f>
        <v>0</v>
      </c>
      <c r="F135" s="262">
        <f ca="1">IF(A10stdlife="N/A","n/a",IF(E135=0,0,A10stdlife+D135-Input!$Y$7))</f>
        <v>0</v>
      </c>
      <c r="G135" s="258"/>
      <c r="H135" s="540" t="s">
        <v>59</v>
      </c>
      <c r="I135" s="91">
        <v>1</v>
      </c>
      <c r="J135" s="262">
        <f ca="1">OFFSET('Tax value roll forward'!H$49,0,I135-1)-SUM('Tax value roll forward'!H191:OFFSET('Tax value roll forward'!H191,0,Input!$Y$7-1))</f>
        <v>0</v>
      </c>
      <c r="K135" s="262">
        <f ca="1">IF(A10taxstdlife="N/A","n/a",IF(J135=0,0,A10taxstdlife+I135-Input!$Y$7))</f>
        <v>0</v>
      </c>
      <c r="L135" s="115"/>
      <c r="M135" s="9"/>
      <c r="N135" s="9"/>
      <c r="O135" s="9"/>
      <c r="P135" s="9"/>
      <c r="Q135" s="9"/>
      <c r="R135" s="9"/>
      <c r="S135" s="255"/>
      <c r="T135" s="255"/>
      <c r="U135" s="255"/>
      <c r="V135" s="255"/>
      <c r="W135" s="255"/>
      <c r="X135" s="255"/>
      <c r="Y135" s="255"/>
      <c r="Z135" s="255"/>
    </row>
    <row r="136" spans="1:26" hidden="1" outlineLevel="1">
      <c r="A136" s="9"/>
      <c r="B136" s="9"/>
      <c r="C136" s="541"/>
      <c r="D136" s="91">
        <v>2</v>
      </c>
      <c r="E136" s="262">
        <f ca="1">OFFSET('Actual RAB roll forward'!H$53,0,D136-1)-SUM('Actual RAB roll forward'!H196:OFFSET('Actual RAB roll forward'!H196,0,Input!$Y$7-1))</f>
        <v>0</v>
      </c>
      <c r="F136" s="262">
        <f ca="1">IF(A10stdlife="N/A","n/a",IF(E136=0,0,A10stdlife+D136-Input!$Y$7))</f>
        <v>0</v>
      </c>
      <c r="G136" s="258"/>
      <c r="H136" s="541"/>
      <c r="I136" s="91">
        <v>2</v>
      </c>
      <c r="J136" s="262">
        <f ca="1">OFFSET('Tax value roll forward'!H$49,0,I136-1)-SUM('Tax value roll forward'!H192:OFFSET('Tax value roll forward'!H192,0,Input!$Y$7-1))</f>
        <v>0</v>
      </c>
      <c r="K136" s="262">
        <f ca="1">IF(A10taxstdlife="N/A","n/a",IF(J136=0,0,A10taxstdlife+I136-Input!$Y$7))</f>
        <v>0</v>
      </c>
      <c r="L136" s="115"/>
      <c r="M136" s="9"/>
      <c r="N136" s="9"/>
      <c r="O136" s="9"/>
      <c r="P136" s="9"/>
      <c r="Q136" s="9"/>
      <c r="R136" s="9"/>
      <c r="S136" s="255"/>
      <c r="T136" s="255"/>
      <c r="U136" s="255"/>
      <c r="V136" s="255"/>
      <c r="W136" s="255"/>
      <c r="X136" s="255"/>
      <c r="Y136" s="255"/>
      <c r="Z136" s="255"/>
    </row>
    <row r="137" spans="1:26" hidden="1" outlineLevel="1">
      <c r="A137" s="9"/>
      <c r="B137" s="9"/>
      <c r="C137" s="541"/>
      <c r="D137" s="91">
        <v>3</v>
      </c>
      <c r="E137" s="262">
        <f ca="1">OFFSET('Actual RAB roll forward'!H$53,0,D137-1)-SUM('Actual RAB roll forward'!H197:OFFSET('Actual RAB roll forward'!H197,0,Input!$Y$7-1))</f>
        <v>0</v>
      </c>
      <c r="F137" s="262">
        <f ca="1">IF(A10stdlife="N/A","n/a",IF(E137=0,0,A10stdlife+D137-Input!$Y$7))</f>
        <v>0</v>
      </c>
      <c r="G137" s="258"/>
      <c r="H137" s="541"/>
      <c r="I137" s="91">
        <v>3</v>
      </c>
      <c r="J137" s="262">
        <f ca="1">OFFSET('Tax value roll forward'!H$49,0,I137-1)-SUM('Tax value roll forward'!H193:OFFSET('Tax value roll forward'!H193,0,Input!$Y$7-1))</f>
        <v>0</v>
      </c>
      <c r="K137" s="262">
        <f ca="1">IF(A10taxstdlife="N/A","n/a",IF(J137=0,0,A10taxstdlife+I137-Input!$Y$7))</f>
        <v>0</v>
      </c>
      <c r="L137" s="115"/>
      <c r="M137" s="9"/>
      <c r="N137" s="9"/>
      <c r="O137" s="9"/>
      <c r="P137" s="9"/>
      <c r="Q137" s="9"/>
      <c r="R137" s="9"/>
      <c r="S137" s="255"/>
      <c r="T137" s="255"/>
      <c r="U137" s="255"/>
      <c r="V137" s="255"/>
      <c r="W137" s="255"/>
      <c r="X137" s="255"/>
      <c r="Y137" s="255"/>
      <c r="Z137" s="255"/>
    </row>
    <row r="138" spans="1:26" hidden="1" outlineLevel="1">
      <c r="A138" s="9"/>
      <c r="B138" s="9"/>
      <c r="C138" s="541"/>
      <c r="D138" s="91">
        <v>4</v>
      </c>
      <c r="E138" s="262">
        <f ca="1">OFFSET('Actual RAB roll forward'!H$53,0,D138-1)-SUM('Actual RAB roll forward'!H198:OFFSET('Actual RAB roll forward'!H198,0,Input!$Y$7-1))</f>
        <v>0</v>
      </c>
      <c r="F138" s="262">
        <f ca="1">IF(A10stdlife="N/A","n/a",IF(E138=0,0,A10stdlife+D138-Input!$Y$7))</f>
        <v>0</v>
      </c>
      <c r="G138" s="258"/>
      <c r="H138" s="541"/>
      <c r="I138" s="91">
        <v>4</v>
      </c>
      <c r="J138" s="262">
        <f ca="1">OFFSET('Tax value roll forward'!H$49,0,I138-1)-SUM('Tax value roll forward'!H194:OFFSET('Tax value roll forward'!H194,0,Input!$Y$7-1))</f>
        <v>0</v>
      </c>
      <c r="K138" s="262">
        <f ca="1">IF(A10taxstdlife="N/A","n/a",IF(J138=0,0,A10taxstdlife+I138-Input!$Y$7))</f>
        <v>0</v>
      </c>
      <c r="L138" s="115"/>
      <c r="M138" s="9"/>
      <c r="N138" s="9"/>
      <c r="O138" s="9"/>
      <c r="P138" s="9"/>
      <c r="Q138" s="9"/>
      <c r="R138" s="9"/>
      <c r="S138" s="255"/>
      <c r="T138" s="255"/>
      <c r="U138" s="255"/>
      <c r="V138" s="255"/>
      <c r="W138" s="255"/>
      <c r="X138" s="255"/>
      <c r="Y138" s="255"/>
      <c r="Z138" s="255"/>
    </row>
    <row r="139" spans="1:26" hidden="1" outlineLevel="1">
      <c r="A139" s="9"/>
      <c r="B139" s="9"/>
      <c r="C139" s="541"/>
      <c r="D139" s="91">
        <v>5</v>
      </c>
      <c r="E139" s="262">
        <f ca="1">OFFSET('Actual RAB roll forward'!H$53,0,D139-1)-SUM('Actual RAB roll forward'!H199:OFFSET('Actual RAB roll forward'!H199,0,Input!$Y$7-1))</f>
        <v>0</v>
      </c>
      <c r="F139" s="262">
        <f ca="1">IF(A10stdlife="N/A","n/a",IF(E139=0,0,A10stdlife+D139-Input!$Y$7))</f>
        <v>0</v>
      </c>
      <c r="G139" s="258"/>
      <c r="H139" s="541"/>
      <c r="I139" s="91">
        <v>5</v>
      </c>
      <c r="J139" s="262">
        <f ca="1">OFFSET('Tax value roll forward'!H$49,0,I139-1)-SUM('Tax value roll forward'!H195:OFFSET('Tax value roll forward'!H195,0,Input!$Y$7-1))</f>
        <v>0</v>
      </c>
      <c r="K139" s="262">
        <f ca="1">IF(A10taxstdlife="N/A","n/a",IF(J139=0,0,A10taxstdlife+I139-Input!$Y$7))</f>
        <v>0</v>
      </c>
      <c r="L139" s="115"/>
      <c r="M139" s="9"/>
      <c r="N139" s="9"/>
      <c r="O139" s="9"/>
      <c r="P139" s="9"/>
      <c r="Q139" s="9"/>
      <c r="R139" s="9"/>
      <c r="S139" s="255"/>
      <c r="T139" s="255"/>
      <c r="U139" s="255"/>
      <c r="V139" s="255"/>
      <c r="W139" s="255"/>
      <c r="X139" s="255"/>
      <c r="Y139" s="255"/>
      <c r="Z139" s="255"/>
    </row>
    <row r="140" spans="1:26" hidden="1" outlineLevel="1">
      <c r="A140" s="9"/>
      <c r="B140" s="9"/>
      <c r="C140" s="541"/>
      <c r="D140" s="91">
        <v>6</v>
      </c>
      <c r="E140" s="262">
        <f ca="1">OFFSET('Actual RAB roll forward'!H$53,0,D140-1)-SUM('Actual RAB roll forward'!H200:OFFSET('Actual RAB roll forward'!H200,0,Input!$Y$7-1))</f>
        <v>0</v>
      </c>
      <c r="F140" s="262">
        <f ca="1">IF(A10stdlife="N/A","n/a",IF(E140=0,0,A10stdlife+D140-Input!$Y$7))</f>
        <v>0</v>
      </c>
      <c r="G140" s="258"/>
      <c r="H140" s="541"/>
      <c r="I140" s="91">
        <v>6</v>
      </c>
      <c r="J140" s="262">
        <f ca="1">OFFSET('Tax value roll forward'!H$49,0,I140-1)-SUM('Tax value roll forward'!H196:OFFSET('Tax value roll forward'!H196,0,Input!$Y$7-1))</f>
        <v>0</v>
      </c>
      <c r="K140" s="262">
        <f ca="1">IF(A10taxstdlife="N/A","n/a",IF(J140=0,0,A10taxstdlife+I140-Input!$Y$7))</f>
        <v>0</v>
      </c>
      <c r="L140" s="115"/>
      <c r="M140" s="9"/>
      <c r="N140" s="9"/>
      <c r="O140" s="9"/>
      <c r="P140" s="9"/>
      <c r="Q140" s="9"/>
      <c r="R140" s="9"/>
      <c r="S140" s="255"/>
      <c r="T140" s="255"/>
      <c r="U140" s="255"/>
      <c r="V140" s="255"/>
      <c r="W140" s="255"/>
      <c r="X140" s="255"/>
      <c r="Y140" s="255"/>
      <c r="Z140" s="255"/>
    </row>
    <row r="141" spans="1:26" hidden="1" outlineLevel="1">
      <c r="A141" s="9"/>
      <c r="B141" s="9"/>
      <c r="C141" s="541"/>
      <c r="D141" s="91">
        <v>7</v>
      </c>
      <c r="E141" s="262">
        <f ca="1">OFFSET('Actual RAB roll forward'!H$53,0,D141-1)-SUM('Actual RAB roll forward'!H201:OFFSET('Actual RAB roll forward'!H201,0,Input!$Y$7-1))</f>
        <v>0</v>
      </c>
      <c r="F141" s="262">
        <f ca="1">IF(A10stdlife="N/A","n/a",IF(E141=0,0,A10stdlife+D141-Input!$Y$7))</f>
        <v>0</v>
      </c>
      <c r="G141" s="258"/>
      <c r="H141" s="541"/>
      <c r="I141" s="91">
        <v>7</v>
      </c>
      <c r="J141" s="262">
        <f ca="1">OFFSET('Tax value roll forward'!H$49,0,I141-1)-SUM('Tax value roll forward'!H197:OFFSET('Tax value roll forward'!H197,0,Input!$Y$7-1))</f>
        <v>0</v>
      </c>
      <c r="K141" s="262">
        <f ca="1">IF(A10taxstdlife="N/A","n/a",IF(J141=0,0,A10taxstdlife+I141-Input!$Y$7))</f>
        <v>0</v>
      </c>
      <c r="L141" s="115"/>
      <c r="M141" s="9"/>
      <c r="N141" s="9"/>
      <c r="O141" s="9"/>
      <c r="P141" s="9"/>
      <c r="Q141" s="9"/>
      <c r="R141" s="9"/>
      <c r="S141" s="255"/>
      <c r="T141" s="255"/>
      <c r="U141" s="255"/>
      <c r="V141" s="255"/>
      <c r="W141" s="255"/>
      <c r="X141" s="255"/>
      <c r="Y141" s="255"/>
      <c r="Z141" s="255"/>
    </row>
    <row r="142" spans="1:26" hidden="1" outlineLevel="1">
      <c r="A142" s="9"/>
      <c r="B142" s="9"/>
      <c r="C142" s="541"/>
      <c r="D142" s="91">
        <v>8</v>
      </c>
      <c r="E142" s="262">
        <f ca="1">OFFSET('Actual RAB roll forward'!H$53,0,D142-1)-SUM('Actual RAB roll forward'!H202:OFFSET('Actual RAB roll forward'!H202,0,Input!$Y$7-1))</f>
        <v>0</v>
      </c>
      <c r="F142" s="262">
        <f ca="1">IF(A10stdlife="N/A","n/a",IF(E142=0,0,A10stdlife+D142-Input!$Y$7))</f>
        <v>0</v>
      </c>
      <c r="G142" s="258"/>
      <c r="H142" s="541"/>
      <c r="I142" s="91">
        <v>8</v>
      </c>
      <c r="J142" s="262">
        <f ca="1">OFFSET('Tax value roll forward'!H$49,0,I142-1)-SUM('Tax value roll forward'!H198:OFFSET('Tax value roll forward'!H198,0,Input!$Y$7-1))</f>
        <v>0</v>
      </c>
      <c r="K142" s="262">
        <f ca="1">IF(A10taxstdlife="N/A","n/a",IF(J142=0,0,A10taxstdlife+I142-Input!$Y$7))</f>
        <v>0</v>
      </c>
      <c r="L142" s="115"/>
      <c r="M142" s="9"/>
      <c r="N142" s="9"/>
      <c r="O142" s="9"/>
      <c r="P142" s="9"/>
      <c r="Q142" s="9"/>
      <c r="R142" s="9"/>
      <c r="S142" s="255"/>
      <c r="T142" s="255"/>
      <c r="U142" s="255"/>
      <c r="V142" s="255"/>
      <c r="W142" s="255"/>
      <c r="X142" s="255"/>
      <c r="Y142" s="255"/>
      <c r="Z142" s="255"/>
    </row>
    <row r="143" spans="1:26" hidden="1" outlineLevel="1">
      <c r="A143" s="9"/>
      <c r="B143" s="9"/>
      <c r="C143" s="541"/>
      <c r="D143" s="91">
        <v>9</v>
      </c>
      <c r="E143" s="262">
        <f ca="1">OFFSET('Actual RAB roll forward'!H$53,0,D143-1)-SUM('Actual RAB roll forward'!H203:OFFSET('Actual RAB roll forward'!H203,0,Input!$Y$7-1))</f>
        <v>0</v>
      </c>
      <c r="F143" s="262">
        <f ca="1">IF(A10stdlife="N/A","n/a",IF(E143=0,0,A10stdlife+D143-Input!$Y$7))</f>
        <v>0</v>
      </c>
      <c r="G143" s="258"/>
      <c r="H143" s="541"/>
      <c r="I143" s="91">
        <v>9</v>
      </c>
      <c r="J143" s="262">
        <f ca="1">OFFSET('Tax value roll forward'!H$49,0,I143-1)-SUM('Tax value roll forward'!H199:OFFSET('Tax value roll forward'!H199,0,Input!$Y$7-1))</f>
        <v>0</v>
      </c>
      <c r="K143" s="262">
        <f ca="1">IF(A10taxstdlife="N/A","n/a",IF(J143=0,0,A10taxstdlife+I143-Input!$Y$7))</f>
        <v>0</v>
      </c>
      <c r="L143" s="115"/>
      <c r="M143" s="9"/>
      <c r="N143" s="9"/>
      <c r="O143" s="9"/>
      <c r="P143" s="9"/>
      <c r="Q143" s="9"/>
      <c r="R143" s="9"/>
      <c r="S143" s="255"/>
      <c r="T143" s="255"/>
      <c r="U143" s="255"/>
      <c r="V143" s="255"/>
      <c r="W143" s="255"/>
      <c r="X143" s="255"/>
      <c r="Y143" s="255"/>
      <c r="Z143" s="255"/>
    </row>
    <row r="144" spans="1:26" hidden="1" outlineLevel="1">
      <c r="A144" s="9"/>
      <c r="B144" s="9"/>
      <c r="C144" s="542"/>
      <c r="D144" s="92">
        <v>10</v>
      </c>
      <c r="E144" s="262">
        <f ca="1">OFFSET('Actual RAB roll forward'!H$53,0,D144-1)-SUM('Actual RAB roll forward'!H204:OFFSET('Actual RAB roll forward'!H204,0,Input!$Y$7-1))</f>
        <v>0</v>
      </c>
      <c r="F144" s="262">
        <f ca="1">IF(A10stdlife="N/A","n/a",IF(E144=0,0,A10stdlife+D144-Input!$Y$7))</f>
        <v>0</v>
      </c>
      <c r="G144" s="258"/>
      <c r="H144" s="542"/>
      <c r="I144" s="92">
        <v>10</v>
      </c>
      <c r="J144" s="262">
        <f ca="1">OFFSET('Tax value roll forward'!H$49,0,I144-1)-SUM('Tax value roll forward'!H200:OFFSET('Tax value roll forward'!H200,0,Input!$Y$7-1))</f>
        <v>0</v>
      </c>
      <c r="K144" s="262">
        <f ca="1">IF(A10taxstdlife="N/A","n/a",IF(J144=0,0,A10taxstdlife+I144-Input!$Y$7))</f>
        <v>0</v>
      </c>
      <c r="L144" s="115"/>
      <c r="M144" s="9"/>
      <c r="N144" s="9"/>
      <c r="O144" s="9"/>
      <c r="P144" s="9"/>
      <c r="Q144" s="9"/>
      <c r="R144" s="9"/>
      <c r="S144" s="255"/>
      <c r="T144" s="255"/>
      <c r="U144" s="255"/>
      <c r="V144" s="255"/>
      <c r="W144" s="255"/>
      <c r="X144" s="255"/>
      <c r="Y144" s="255"/>
      <c r="Z144" s="255"/>
    </row>
    <row r="145" spans="1:26" collapsed="1">
      <c r="A145" s="9"/>
      <c r="B145" s="9"/>
      <c r="C145" s="275">
        <f>Asset10</f>
        <v>0</v>
      </c>
      <c r="D145" s="9"/>
      <c r="E145" s="262">
        <f ca="1">SUM(E134:E144)</f>
        <v>0</v>
      </c>
      <c r="F145" s="262">
        <f ca="1">IF(E145=0,0,SUMPRODUCT(E134:E144,F134:F144)/E145)</f>
        <v>0</v>
      </c>
      <c r="G145" s="258"/>
      <c r="H145" s="43"/>
      <c r="I145" s="262"/>
      <c r="J145" s="262">
        <f ca="1">SUM(J134:J144)</f>
        <v>0</v>
      </c>
      <c r="K145" s="262">
        <f ca="1">IF(J145=0,0,SUMPRODUCT(J134:J144,K134:K144)/J145)</f>
        <v>0</v>
      </c>
      <c r="L145" s="115"/>
      <c r="M145" s="9"/>
      <c r="N145" s="9"/>
      <c r="O145" s="9"/>
      <c r="P145" s="9"/>
      <c r="Q145" s="9"/>
      <c r="R145" s="9"/>
      <c r="S145" s="255"/>
      <c r="T145" s="255"/>
      <c r="U145" s="255"/>
      <c r="V145" s="255"/>
      <c r="W145" s="255"/>
      <c r="X145" s="255"/>
      <c r="Y145" s="255"/>
      <c r="Z145" s="255"/>
    </row>
    <row r="146" spans="1:26" hidden="1" outlineLevel="1">
      <c r="A146" s="9"/>
      <c r="B146" s="9"/>
      <c r="C146" s="275"/>
      <c r="D146" s="9"/>
      <c r="E146" s="262"/>
      <c r="F146" s="262"/>
      <c r="G146" s="258"/>
      <c r="H146" s="262"/>
      <c r="I146" s="262"/>
      <c r="J146" s="267"/>
      <c r="K146" s="262"/>
      <c r="L146" s="115"/>
      <c r="M146" s="9"/>
      <c r="N146" s="9"/>
      <c r="O146" s="9"/>
      <c r="P146" s="9"/>
      <c r="Q146" s="9"/>
      <c r="R146" s="9"/>
      <c r="S146" s="255"/>
      <c r="T146" s="255"/>
      <c r="U146" s="255"/>
      <c r="V146" s="255"/>
      <c r="W146" s="255"/>
      <c r="X146" s="255"/>
      <c r="Y146" s="255"/>
      <c r="Z146" s="255"/>
    </row>
    <row r="147" spans="1:26" hidden="1" outlineLevel="1">
      <c r="A147" s="9"/>
      <c r="B147" s="273">
        <f>Asset11</f>
        <v>0</v>
      </c>
      <c r="C147" s="9"/>
      <c r="D147" s="9"/>
      <c r="E147" s="35"/>
      <c r="F147" s="35"/>
      <c r="G147" s="258"/>
      <c r="H147" s="262"/>
      <c r="I147" s="262"/>
      <c r="J147" s="267"/>
      <c r="K147" s="262"/>
      <c r="L147" s="115"/>
      <c r="M147" s="9"/>
      <c r="N147" s="9"/>
      <c r="O147" s="9"/>
      <c r="P147" s="9"/>
      <c r="Q147" s="9"/>
      <c r="R147" s="9"/>
      <c r="S147" s="255"/>
      <c r="T147" s="255"/>
      <c r="U147" s="255"/>
      <c r="V147" s="255"/>
      <c r="W147" s="255"/>
      <c r="X147" s="255"/>
      <c r="Y147" s="255"/>
      <c r="Z147" s="255"/>
    </row>
    <row r="148" spans="1:26" ht="12.75" hidden="1" customHeight="1" outlineLevel="1">
      <c r="A148" s="9"/>
      <c r="B148" s="9"/>
      <c r="C148" s="538" t="s">
        <v>5</v>
      </c>
      <c r="D148" s="539"/>
      <c r="E148" s="262">
        <f ca="1">A11value-SUM('Actual RAB roll forward'!H206:OFFSET('Actual RAB roll forward'!H206,0,Input!$Y$7-1))</f>
        <v>0</v>
      </c>
      <c r="F148" s="262">
        <f>IF(A11remlife="N/A","n/a",A11remlife-Input!$Y$7)</f>
        <v>-5</v>
      </c>
      <c r="G148" s="258"/>
      <c r="H148" s="299" t="s">
        <v>43</v>
      </c>
      <c r="I148" s="300"/>
      <c r="J148" s="262">
        <f ca="1">A11taxvalue-SUM('Tax value roll forward'!H202:OFFSET('Tax value roll forward'!H202,0,Input!$Y$7-1))</f>
        <v>0</v>
      </c>
      <c r="K148" s="262">
        <f>IF(A11taxremlife="N/A","n/a",A11taxremlife-Input!$Y$7)</f>
        <v>-5</v>
      </c>
      <c r="L148" s="115"/>
      <c r="M148" s="9"/>
      <c r="N148" s="9"/>
      <c r="O148" s="9"/>
      <c r="P148" s="9"/>
      <c r="Q148" s="9"/>
      <c r="R148" s="9"/>
      <c r="S148" s="255"/>
      <c r="T148" s="255"/>
      <c r="U148" s="255"/>
      <c r="V148" s="255"/>
      <c r="W148" s="255"/>
      <c r="X148" s="255"/>
      <c r="Y148" s="255"/>
      <c r="Z148" s="255"/>
    </row>
    <row r="149" spans="1:26" hidden="1" outlineLevel="1">
      <c r="A149" s="9"/>
      <c r="B149" s="9"/>
      <c r="C149" s="540" t="s">
        <v>59</v>
      </c>
      <c r="D149" s="91">
        <v>1</v>
      </c>
      <c r="E149" s="262">
        <f ca="1">OFFSET('Actual RAB roll forward'!H$54,0,D149-1)-SUM('Actual RAB roll forward'!H208:OFFSET('Actual RAB roll forward'!H208,0,Input!$Y$7-1))</f>
        <v>0</v>
      </c>
      <c r="F149" s="262">
        <f ca="1">IF(A11stdlife="N/A","n/a",IF(E149=0,0,A11stdlife+D149-Input!$Y$7))</f>
        <v>0</v>
      </c>
      <c r="G149" s="258"/>
      <c r="H149" s="540" t="s">
        <v>59</v>
      </c>
      <c r="I149" s="91">
        <v>1</v>
      </c>
      <c r="J149" s="262">
        <f ca="1">OFFSET('Tax value roll forward'!H$50,0,I149-1)-SUM('Tax value roll forward'!H204:OFFSET('Tax value roll forward'!H204,0,Input!$Y$7-1))</f>
        <v>0</v>
      </c>
      <c r="K149" s="262">
        <f ca="1">IF(A11taxstdlife="N/A","n/a",IF(J149=0,0,A11taxstdlife+I149-Input!$Y$7))</f>
        <v>0</v>
      </c>
      <c r="L149" s="115"/>
      <c r="M149" s="9"/>
      <c r="N149" s="9"/>
      <c r="O149" s="9"/>
      <c r="P149" s="9"/>
      <c r="Q149" s="9"/>
      <c r="R149" s="9"/>
      <c r="S149" s="255"/>
      <c r="T149" s="255"/>
      <c r="U149" s="255"/>
      <c r="V149" s="255"/>
      <c r="W149" s="255"/>
      <c r="X149" s="255"/>
      <c r="Y149" s="255"/>
      <c r="Z149" s="255"/>
    </row>
    <row r="150" spans="1:26" hidden="1" outlineLevel="1">
      <c r="A150" s="9"/>
      <c r="B150" s="9"/>
      <c r="C150" s="541"/>
      <c r="D150" s="91">
        <v>2</v>
      </c>
      <c r="E150" s="262">
        <f ca="1">OFFSET('Actual RAB roll forward'!H$54,0,D150-1)-SUM('Actual RAB roll forward'!H209:OFFSET('Actual RAB roll forward'!H209,0,Input!$Y$7-1))</f>
        <v>0</v>
      </c>
      <c r="F150" s="262">
        <f ca="1">IF(A11stdlife="N/A","n/a",IF(E150=0,0,A11stdlife+D150-Input!$Y$7))</f>
        <v>0</v>
      </c>
      <c r="G150" s="258"/>
      <c r="H150" s="541"/>
      <c r="I150" s="91">
        <v>2</v>
      </c>
      <c r="J150" s="262">
        <f ca="1">OFFSET('Tax value roll forward'!H$50,0,I150-1)-SUM('Tax value roll forward'!H205:OFFSET('Tax value roll forward'!H205,0,Input!$Y$7-1))</f>
        <v>0</v>
      </c>
      <c r="K150" s="262">
        <f ca="1">IF(A11taxstdlife="N/A","n/a",IF(J150=0,0,A11taxstdlife+I150-Input!$Y$7))</f>
        <v>0</v>
      </c>
      <c r="L150" s="115"/>
      <c r="M150" s="9"/>
      <c r="N150" s="9"/>
      <c r="O150" s="9"/>
      <c r="P150" s="9"/>
      <c r="Q150" s="9"/>
      <c r="R150" s="9"/>
      <c r="S150" s="255"/>
      <c r="T150" s="255"/>
      <c r="U150" s="255"/>
      <c r="V150" s="255"/>
      <c r="W150" s="255"/>
      <c r="X150" s="255"/>
      <c r="Y150" s="255"/>
      <c r="Z150" s="255"/>
    </row>
    <row r="151" spans="1:26" hidden="1" outlineLevel="1">
      <c r="A151" s="9"/>
      <c r="B151" s="9"/>
      <c r="C151" s="541"/>
      <c r="D151" s="91">
        <v>3</v>
      </c>
      <c r="E151" s="262">
        <f ca="1">OFFSET('Actual RAB roll forward'!H$54,0,D151-1)-SUM('Actual RAB roll forward'!H210:OFFSET('Actual RAB roll forward'!H210,0,Input!$Y$7-1))</f>
        <v>0</v>
      </c>
      <c r="F151" s="262">
        <f ca="1">IF(A11stdlife="N/A","n/a",IF(E151=0,0,A11stdlife+D151-Input!$Y$7))</f>
        <v>0</v>
      </c>
      <c r="G151" s="258"/>
      <c r="H151" s="541"/>
      <c r="I151" s="91">
        <v>3</v>
      </c>
      <c r="J151" s="262">
        <f ca="1">OFFSET('Tax value roll forward'!H$50,0,I151-1)-SUM('Tax value roll forward'!H206:OFFSET('Tax value roll forward'!H206,0,Input!$Y$7-1))</f>
        <v>0</v>
      </c>
      <c r="K151" s="262">
        <f ca="1">IF(A11taxstdlife="N/A","n/a",IF(J151=0,0,A11taxstdlife+I151-Input!$Y$7))</f>
        <v>0</v>
      </c>
      <c r="L151" s="115"/>
      <c r="M151" s="9"/>
      <c r="N151" s="9"/>
      <c r="O151" s="9"/>
      <c r="P151" s="9"/>
      <c r="Q151" s="9"/>
      <c r="R151" s="9"/>
      <c r="S151" s="255"/>
      <c r="T151" s="255"/>
      <c r="U151" s="255"/>
      <c r="V151" s="255"/>
      <c r="W151" s="255"/>
      <c r="X151" s="255"/>
      <c r="Y151" s="255"/>
      <c r="Z151" s="255"/>
    </row>
    <row r="152" spans="1:26" hidden="1" outlineLevel="1">
      <c r="A152" s="9"/>
      <c r="B152" s="9"/>
      <c r="C152" s="541"/>
      <c r="D152" s="91">
        <v>4</v>
      </c>
      <c r="E152" s="262">
        <f ca="1">OFFSET('Actual RAB roll forward'!H$54,0,D152-1)-SUM('Actual RAB roll forward'!H211:OFFSET('Actual RAB roll forward'!H211,0,Input!$Y$7-1))</f>
        <v>0</v>
      </c>
      <c r="F152" s="262">
        <f ca="1">IF(A11stdlife="N/A","n/a",IF(E152=0,0,A11stdlife+D152-Input!$Y$7))</f>
        <v>0</v>
      </c>
      <c r="G152" s="258"/>
      <c r="H152" s="541"/>
      <c r="I152" s="91">
        <v>4</v>
      </c>
      <c r="J152" s="262">
        <f ca="1">OFFSET('Tax value roll forward'!H$50,0,I152-1)-SUM('Tax value roll forward'!H207:OFFSET('Tax value roll forward'!H207,0,Input!$Y$7-1))</f>
        <v>0</v>
      </c>
      <c r="K152" s="262">
        <f ca="1">IF(A11taxstdlife="N/A","n/a",IF(J152=0,0,A11taxstdlife+I152-Input!$Y$7))</f>
        <v>0</v>
      </c>
      <c r="L152" s="115"/>
      <c r="M152" s="9"/>
      <c r="N152" s="9"/>
      <c r="O152" s="9"/>
      <c r="P152" s="9"/>
      <c r="Q152" s="9"/>
      <c r="R152" s="9"/>
      <c r="S152" s="255"/>
      <c r="T152" s="255"/>
      <c r="U152" s="255"/>
      <c r="V152" s="255"/>
      <c r="W152" s="255"/>
      <c r="X152" s="255"/>
      <c r="Y152" s="255"/>
      <c r="Z152" s="255"/>
    </row>
    <row r="153" spans="1:26" hidden="1" outlineLevel="1">
      <c r="A153" s="9"/>
      <c r="B153" s="9"/>
      <c r="C153" s="541"/>
      <c r="D153" s="91">
        <v>5</v>
      </c>
      <c r="E153" s="262">
        <f ca="1">OFFSET('Actual RAB roll forward'!H$54,0,D153-1)-SUM('Actual RAB roll forward'!H212:OFFSET('Actual RAB roll forward'!H212,0,Input!$Y$7-1))</f>
        <v>0</v>
      </c>
      <c r="F153" s="262">
        <f ca="1">IF(A11stdlife="N/A","n/a",IF(E153=0,0,A11stdlife+D153-Input!$Y$7))</f>
        <v>0</v>
      </c>
      <c r="G153" s="258"/>
      <c r="H153" s="541"/>
      <c r="I153" s="91">
        <v>5</v>
      </c>
      <c r="J153" s="262">
        <f ca="1">OFFSET('Tax value roll forward'!H$50,0,I153-1)-SUM('Tax value roll forward'!H208:OFFSET('Tax value roll forward'!H208,0,Input!$Y$7-1))</f>
        <v>0</v>
      </c>
      <c r="K153" s="262">
        <f ca="1">IF(A11taxstdlife="N/A","n/a",IF(J153=0,0,A11taxstdlife+I153-Input!$Y$7))</f>
        <v>0</v>
      </c>
      <c r="L153" s="115"/>
      <c r="M153" s="9"/>
      <c r="N153" s="9"/>
      <c r="O153" s="9"/>
      <c r="P153" s="9"/>
      <c r="Q153" s="9"/>
      <c r="R153" s="9"/>
      <c r="S153" s="255"/>
      <c r="T153" s="255"/>
      <c r="U153" s="255"/>
      <c r="V153" s="255"/>
      <c r="W153" s="255"/>
      <c r="X153" s="255"/>
      <c r="Y153" s="255"/>
      <c r="Z153" s="255"/>
    </row>
    <row r="154" spans="1:26" hidden="1" outlineLevel="1">
      <c r="A154" s="9"/>
      <c r="B154" s="9"/>
      <c r="C154" s="541"/>
      <c r="D154" s="91">
        <v>6</v>
      </c>
      <c r="E154" s="262">
        <f ca="1">OFFSET('Actual RAB roll forward'!H$54,0,D154-1)-SUM('Actual RAB roll forward'!H213:OFFSET('Actual RAB roll forward'!H213,0,Input!$Y$7-1))</f>
        <v>0</v>
      </c>
      <c r="F154" s="262">
        <f ca="1">IF(A11stdlife="N/A","n/a",IF(E154=0,0,A11stdlife+D154-Input!$Y$7))</f>
        <v>0</v>
      </c>
      <c r="G154" s="258"/>
      <c r="H154" s="541"/>
      <c r="I154" s="91">
        <v>6</v>
      </c>
      <c r="J154" s="262">
        <f ca="1">OFFSET('Tax value roll forward'!H$50,0,I154-1)-SUM('Tax value roll forward'!H209:OFFSET('Tax value roll forward'!H209,0,Input!$Y$7-1))</f>
        <v>0</v>
      </c>
      <c r="K154" s="262">
        <f ca="1">IF(A11taxstdlife="N/A","n/a",IF(J154=0,0,A11taxstdlife+I154-Input!$Y$7))</f>
        <v>0</v>
      </c>
      <c r="L154" s="115"/>
      <c r="M154" s="9"/>
      <c r="N154" s="9"/>
      <c r="O154" s="9"/>
      <c r="P154" s="9"/>
      <c r="Q154" s="9"/>
      <c r="R154" s="9"/>
      <c r="S154" s="255"/>
      <c r="T154" s="255"/>
      <c r="U154" s="255"/>
      <c r="V154" s="255"/>
      <c r="W154" s="255"/>
      <c r="X154" s="255"/>
      <c r="Y154" s="255"/>
      <c r="Z154" s="255"/>
    </row>
    <row r="155" spans="1:26" hidden="1" outlineLevel="1">
      <c r="A155" s="9"/>
      <c r="B155" s="9"/>
      <c r="C155" s="541"/>
      <c r="D155" s="91">
        <v>7</v>
      </c>
      <c r="E155" s="262">
        <f ca="1">OFFSET('Actual RAB roll forward'!H$54,0,D155-1)-SUM('Actual RAB roll forward'!H214:OFFSET('Actual RAB roll forward'!H214,0,Input!$Y$7-1))</f>
        <v>0</v>
      </c>
      <c r="F155" s="262">
        <f ca="1">IF(A11stdlife="N/A","n/a",IF(E155=0,0,A11stdlife+D155-Input!$Y$7))</f>
        <v>0</v>
      </c>
      <c r="G155" s="258"/>
      <c r="H155" s="541"/>
      <c r="I155" s="91">
        <v>7</v>
      </c>
      <c r="J155" s="262">
        <f ca="1">OFFSET('Tax value roll forward'!H$50,0,I155-1)-SUM('Tax value roll forward'!H210:OFFSET('Tax value roll forward'!H210,0,Input!$Y$7-1))</f>
        <v>0</v>
      </c>
      <c r="K155" s="262">
        <f ca="1">IF(A11taxstdlife="N/A","n/a",IF(J155=0,0,A11taxstdlife+I155-Input!$Y$7))</f>
        <v>0</v>
      </c>
      <c r="L155" s="115"/>
      <c r="M155" s="9"/>
      <c r="N155" s="9"/>
      <c r="O155" s="9"/>
      <c r="P155" s="9"/>
      <c r="Q155" s="9"/>
      <c r="R155" s="9"/>
      <c r="S155" s="255"/>
      <c r="T155" s="255"/>
      <c r="U155" s="255"/>
      <c r="V155" s="255"/>
      <c r="W155" s="255"/>
      <c r="X155" s="255"/>
      <c r="Y155" s="255"/>
      <c r="Z155" s="255"/>
    </row>
    <row r="156" spans="1:26" hidden="1" outlineLevel="1">
      <c r="A156" s="9"/>
      <c r="B156" s="9"/>
      <c r="C156" s="541"/>
      <c r="D156" s="91">
        <v>8</v>
      </c>
      <c r="E156" s="262">
        <f ca="1">OFFSET('Actual RAB roll forward'!H$54,0,D156-1)-SUM('Actual RAB roll forward'!H215:OFFSET('Actual RAB roll forward'!H215,0,Input!$Y$7-1))</f>
        <v>0</v>
      </c>
      <c r="F156" s="262">
        <f ca="1">IF(A11stdlife="N/A","n/a",IF(E156=0,0,A11stdlife+D156-Input!$Y$7))</f>
        <v>0</v>
      </c>
      <c r="G156" s="258"/>
      <c r="H156" s="541"/>
      <c r="I156" s="91">
        <v>8</v>
      </c>
      <c r="J156" s="262">
        <f ca="1">OFFSET('Tax value roll forward'!H$50,0,I156-1)-SUM('Tax value roll forward'!H211:OFFSET('Tax value roll forward'!H211,0,Input!$Y$7-1))</f>
        <v>0</v>
      </c>
      <c r="K156" s="262">
        <f ca="1">IF(A11taxstdlife="N/A","n/a",IF(J156=0,0,A11taxstdlife+I156-Input!$Y$7))</f>
        <v>0</v>
      </c>
      <c r="L156" s="115"/>
      <c r="M156" s="9"/>
      <c r="N156" s="9"/>
      <c r="O156" s="9"/>
      <c r="P156" s="9"/>
      <c r="Q156" s="9"/>
      <c r="R156" s="9"/>
      <c r="S156" s="255"/>
      <c r="T156" s="255"/>
      <c r="U156" s="255"/>
      <c r="V156" s="255"/>
      <c r="W156" s="255"/>
      <c r="X156" s="255"/>
      <c r="Y156" s="255"/>
      <c r="Z156" s="255"/>
    </row>
    <row r="157" spans="1:26" hidden="1" outlineLevel="1">
      <c r="A157" s="9"/>
      <c r="B157" s="9"/>
      <c r="C157" s="541"/>
      <c r="D157" s="91">
        <v>9</v>
      </c>
      <c r="E157" s="262">
        <f ca="1">OFFSET('Actual RAB roll forward'!H$54,0,D157-1)-SUM('Actual RAB roll forward'!H216:OFFSET('Actual RAB roll forward'!H216,0,Input!$Y$7-1))</f>
        <v>0</v>
      </c>
      <c r="F157" s="262">
        <f ca="1">IF(A11stdlife="N/A","n/a",IF(E157=0,0,A11stdlife+D157-Input!$Y$7))</f>
        <v>0</v>
      </c>
      <c r="G157" s="258"/>
      <c r="H157" s="541"/>
      <c r="I157" s="91">
        <v>9</v>
      </c>
      <c r="J157" s="262">
        <f ca="1">OFFSET('Tax value roll forward'!H$50,0,I157-1)-SUM('Tax value roll forward'!H212:OFFSET('Tax value roll forward'!H212,0,Input!$Y$7-1))</f>
        <v>0</v>
      </c>
      <c r="K157" s="262">
        <f ca="1">IF(A11taxstdlife="N/A","n/a",IF(J157=0,0,A11taxstdlife+I157-Input!$Y$7))</f>
        <v>0</v>
      </c>
      <c r="L157" s="115"/>
      <c r="M157" s="9"/>
      <c r="N157" s="9"/>
      <c r="O157" s="9"/>
      <c r="P157" s="9"/>
      <c r="Q157" s="9"/>
      <c r="R157" s="9"/>
      <c r="S157" s="255"/>
      <c r="T157" s="255"/>
      <c r="U157" s="255"/>
      <c r="V157" s="255"/>
      <c r="W157" s="255"/>
      <c r="X157" s="255"/>
      <c r="Y157" s="255"/>
      <c r="Z157" s="255"/>
    </row>
    <row r="158" spans="1:26" hidden="1" outlineLevel="1">
      <c r="A158" s="9"/>
      <c r="B158" s="9"/>
      <c r="C158" s="542"/>
      <c r="D158" s="92">
        <v>10</v>
      </c>
      <c r="E158" s="262">
        <f ca="1">OFFSET('Actual RAB roll forward'!H$54,0,D158-1)-SUM('Actual RAB roll forward'!H217:OFFSET('Actual RAB roll forward'!H217,0,Input!$Y$7-1))</f>
        <v>0</v>
      </c>
      <c r="F158" s="262">
        <f ca="1">IF(A11stdlife="N/A","n/a",IF(E158=0,0,A11stdlife+D158-Input!$Y$7))</f>
        <v>0</v>
      </c>
      <c r="G158" s="258"/>
      <c r="H158" s="542"/>
      <c r="I158" s="92">
        <v>10</v>
      </c>
      <c r="J158" s="262">
        <f ca="1">OFFSET('Tax value roll forward'!H$50,0,I158-1)-SUM('Tax value roll forward'!H213:OFFSET('Tax value roll forward'!H213,0,Input!$Y$7-1))</f>
        <v>0</v>
      </c>
      <c r="K158" s="262">
        <f ca="1">IF(A11taxstdlife="N/A","n/a",IF(J158=0,0,A11taxstdlife+I158-Input!$Y$7))</f>
        <v>0</v>
      </c>
      <c r="L158" s="115"/>
      <c r="M158" s="9"/>
      <c r="N158" s="9"/>
      <c r="O158" s="9"/>
      <c r="P158" s="9"/>
      <c r="Q158" s="9"/>
      <c r="R158" s="9"/>
      <c r="S158" s="255"/>
      <c r="T158" s="255"/>
      <c r="U158" s="255"/>
      <c r="V158" s="255"/>
      <c r="W158" s="255"/>
      <c r="X158" s="255"/>
      <c r="Y158" s="255"/>
      <c r="Z158" s="255"/>
    </row>
    <row r="159" spans="1:26" collapsed="1">
      <c r="A159" s="9"/>
      <c r="B159" s="9"/>
      <c r="C159" s="275">
        <f>Asset11</f>
        <v>0</v>
      </c>
      <c r="D159" s="9"/>
      <c r="E159" s="262">
        <f ca="1">SUM(E148:E158)</f>
        <v>0</v>
      </c>
      <c r="F159" s="262">
        <f ca="1">IF(E159=0,0,SUMPRODUCT(E148:E158,F148:F158)/E159)</f>
        <v>0</v>
      </c>
      <c r="G159" s="258"/>
      <c r="H159" s="43"/>
      <c r="I159" s="262"/>
      <c r="J159" s="262">
        <f ca="1">SUM(J148:J158)</f>
        <v>0</v>
      </c>
      <c r="K159" s="262">
        <f ca="1">IF(J159=0,0,SUMPRODUCT(J148:J158,K148:K158)/J159)</f>
        <v>0</v>
      </c>
      <c r="L159" s="115"/>
      <c r="M159" s="9"/>
      <c r="N159" s="9"/>
      <c r="O159" s="9"/>
      <c r="P159" s="9"/>
      <c r="Q159" s="9"/>
      <c r="R159" s="9"/>
      <c r="S159" s="255"/>
      <c r="T159" s="255"/>
      <c r="U159" s="255"/>
      <c r="V159" s="255"/>
      <c r="W159" s="255"/>
      <c r="X159" s="255"/>
      <c r="Y159" s="255"/>
      <c r="Z159" s="255"/>
    </row>
    <row r="160" spans="1:26" hidden="1" outlineLevel="1">
      <c r="A160" s="9"/>
      <c r="B160" s="9"/>
      <c r="C160" s="275"/>
      <c r="D160" s="9"/>
      <c r="E160" s="262"/>
      <c r="F160" s="262"/>
      <c r="G160" s="258"/>
      <c r="H160" s="262"/>
      <c r="I160" s="262"/>
      <c r="J160" s="267"/>
      <c r="K160" s="262"/>
      <c r="L160" s="115"/>
      <c r="M160" s="9"/>
      <c r="N160" s="9"/>
      <c r="O160" s="9"/>
      <c r="P160" s="9"/>
      <c r="Q160" s="9"/>
      <c r="R160" s="9"/>
      <c r="S160" s="255"/>
      <c r="T160" s="255"/>
      <c r="U160" s="255"/>
      <c r="V160" s="255"/>
      <c r="W160" s="255"/>
      <c r="X160" s="255"/>
      <c r="Y160" s="255"/>
      <c r="Z160" s="255"/>
    </row>
    <row r="161" spans="1:26" hidden="1" outlineLevel="1">
      <c r="A161" s="9"/>
      <c r="B161" s="273">
        <f>Asset12</f>
        <v>0</v>
      </c>
      <c r="C161" s="9"/>
      <c r="D161" s="9"/>
      <c r="E161" s="35"/>
      <c r="F161" s="35"/>
      <c r="G161" s="258"/>
      <c r="H161" s="262"/>
      <c r="I161" s="262"/>
      <c r="J161" s="267"/>
      <c r="K161" s="262"/>
      <c r="L161" s="115"/>
      <c r="M161" s="9"/>
      <c r="N161" s="9"/>
      <c r="O161" s="9"/>
      <c r="P161" s="9"/>
      <c r="Q161" s="9"/>
      <c r="R161" s="9"/>
      <c r="S161" s="255"/>
      <c r="T161" s="255"/>
      <c r="U161" s="255"/>
      <c r="V161" s="255"/>
      <c r="W161" s="255"/>
      <c r="X161" s="255"/>
      <c r="Y161" s="255"/>
      <c r="Z161" s="255"/>
    </row>
    <row r="162" spans="1:26" ht="12.75" hidden="1" customHeight="1" outlineLevel="1">
      <c r="A162" s="9"/>
      <c r="B162" s="9"/>
      <c r="C162" s="538" t="s">
        <v>5</v>
      </c>
      <c r="D162" s="539"/>
      <c r="E162" s="262">
        <f ca="1">A12value-SUM('Actual RAB roll forward'!H219:OFFSET('Actual RAB roll forward'!H219,0,Input!$Y$7-1))</f>
        <v>0</v>
      </c>
      <c r="F162" s="262">
        <f>IF(A12remlife="N/A","n/a",A12remlife-Input!$Y$7)</f>
        <v>-5</v>
      </c>
      <c r="G162" s="258"/>
      <c r="H162" s="299" t="s">
        <v>43</v>
      </c>
      <c r="I162" s="300"/>
      <c r="J162" s="262">
        <f ca="1">A12taxvalue-SUM('Tax value roll forward'!H215:OFFSET('Tax value roll forward'!H215,0,Input!$Y$7-1))</f>
        <v>0</v>
      </c>
      <c r="K162" s="262">
        <f>IF(A12taxremlife="N/A","n/a",A12taxremlife-Input!$Y$7)</f>
        <v>-5</v>
      </c>
      <c r="L162" s="115"/>
      <c r="M162" s="9"/>
      <c r="N162" s="9"/>
      <c r="O162" s="9"/>
      <c r="P162" s="9"/>
      <c r="Q162" s="9"/>
      <c r="R162" s="9"/>
      <c r="S162" s="255"/>
      <c r="T162" s="255"/>
      <c r="U162" s="255"/>
      <c r="V162" s="255"/>
      <c r="W162" s="255"/>
      <c r="X162" s="255"/>
      <c r="Y162" s="255"/>
      <c r="Z162" s="255"/>
    </row>
    <row r="163" spans="1:26" hidden="1" outlineLevel="1">
      <c r="A163" s="9"/>
      <c r="B163" s="9"/>
      <c r="C163" s="540" t="s">
        <v>59</v>
      </c>
      <c r="D163" s="91">
        <v>1</v>
      </c>
      <c r="E163" s="262">
        <f ca="1">OFFSET('Actual RAB roll forward'!H$55,0,D163-1)-SUM('Actual RAB roll forward'!H221:OFFSET('Actual RAB roll forward'!H221,0,Input!$Y$7-1))</f>
        <v>0</v>
      </c>
      <c r="F163" s="262">
        <f ca="1">IF(A12stdlife="N/A","n/a",IF(E163=0,0,A12stdlife+D163-Input!$Y$7))</f>
        <v>0</v>
      </c>
      <c r="G163" s="258"/>
      <c r="H163" s="540" t="s">
        <v>59</v>
      </c>
      <c r="I163" s="91">
        <v>1</v>
      </c>
      <c r="J163" s="262">
        <f ca="1">OFFSET('Tax value roll forward'!H$51,0,I163-1)-SUM('Tax value roll forward'!H217:OFFSET('Tax value roll forward'!H217,0,Input!$Y$7-1))</f>
        <v>0</v>
      </c>
      <c r="K163" s="262">
        <f ca="1">IF(A12taxstdlife="N/A","n/a",IF(J163=0,0,A12taxstdlife+I163-Input!$Y$7))</f>
        <v>0</v>
      </c>
      <c r="L163" s="115"/>
      <c r="M163" s="9"/>
      <c r="N163" s="9"/>
      <c r="O163" s="9"/>
      <c r="P163" s="9"/>
      <c r="Q163" s="9"/>
      <c r="R163" s="9"/>
      <c r="S163" s="255"/>
      <c r="T163" s="255"/>
      <c r="U163" s="255"/>
      <c r="V163" s="255"/>
      <c r="W163" s="255"/>
      <c r="X163" s="255"/>
      <c r="Y163" s="255"/>
      <c r="Z163" s="255"/>
    </row>
    <row r="164" spans="1:26" hidden="1" outlineLevel="1">
      <c r="A164" s="9"/>
      <c r="B164" s="9"/>
      <c r="C164" s="541"/>
      <c r="D164" s="91">
        <v>2</v>
      </c>
      <c r="E164" s="262">
        <f ca="1">OFFSET('Actual RAB roll forward'!H$55,0,D164-1)-SUM('Actual RAB roll forward'!H222:OFFSET('Actual RAB roll forward'!H222,0,Input!$Y$7-1))</f>
        <v>0</v>
      </c>
      <c r="F164" s="262">
        <f ca="1">IF(A12stdlife="N/A","n/a",IF(E164=0,0,A12stdlife+D164-Input!$Y$7))</f>
        <v>0</v>
      </c>
      <c r="G164" s="258"/>
      <c r="H164" s="541"/>
      <c r="I164" s="91">
        <v>2</v>
      </c>
      <c r="J164" s="262">
        <f ca="1">OFFSET('Tax value roll forward'!H$51,0,I164-1)-SUM('Tax value roll forward'!H218:OFFSET('Tax value roll forward'!H218,0,Input!$Y$7-1))</f>
        <v>0</v>
      </c>
      <c r="K164" s="262">
        <f ca="1">IF(A12taxstdlife="N/A","n/a",IF(J164=0,0,A12taxstdlife+I164-Input!$Y$7))</f>
        <v>0</v>
      </c>
      <c r="L164" s="115"/>
      <c r="M164" s="9"/>
      <c r="N164" s="9"/>
      <c r="O164" s="9"/>
      <c r="P164" s="9"/>
      <c r="Q164" s="9"/>
      <c r="R164" s="9"/>
      <c r="S164" s="255"/>
      <c r="T164" s="255"/>
      <c r="U164" s="255"/>
      <c r="V164" s="255"/>
      <c r="W164" s="255"/>
      <c r="X164" s="255"/>
      <c r="Y164" s="255"/>
      <c r="Z164" s="255"/>
    </row>
    <row r="165" spans="1:26" hidden="1" outlineLevel="1">
      <c r="A165" s="9"/>
      <c r="B165" s="9"/>
      <c r="C165" s="541"/>
      <c r="D165" s="91">
        <v>3</v>
      </c>
      <c r="E165" s="262">
        <f ca="1">OFFSET('Actual RAB roll forward'!H$55,0,D165-1)-SUM('Actual RAB roll forward'!H223:OFFSET('Actual RAB roll forward'!H223,0,Input!$Y$7-1))</f>
        <v>0</v>
      </c>
      <c r="F165" s="262">
        <f ca="1">IF(A12stdlife="N/A","n/a",IF(E165=0,0,A12stdlife+D165-Input!$Y$7))</f>
        <v>0</v>
      </c>
      <c r="G165" s="258"/>
      <c r="H165" s="541"/>
      <c r="I165" s="91">
        <v>3</v>
      </c>
      <c r="J165" s="262">
        <f ca="1">OFFSET('Tax value roll forward'!H$51,0,I165-1)-SUM('Tax value roll forward'!H219:OFFSET('Tax value roll forward'!H219,0,Input!$Y$7-1))</f>
        <v>0</v>
      </c>
      <c r="K165" s="262">
        <f ca="1">IF(A12taxstdlife="N/A","n/a",IF(J165=0,0,A12taxstdlife+I165-Input!$Y$7))</f>
        <v>0</v>
      </c>
      <c r="L165" s="115"/>
      <c r="M165" s="9"/>
      <c r="N165" s="9"/>
      <c r="O165" s="9"/>
      <c r="P165" s="9"/>
      <c r="Q165" s="9"/>
      <c r="R165" s="9"/>
      <c r="S165" s="255"/>
      <c r="T165" s="255"/>
      <c r="U165" s="255"/>
      <c r="V165" s="255"/>
      <c r="W165" s="255"/>
      <c r="X165" s="255"/>
      <c r="Y165" s="255"/>
      <c r="Z165" s="255"/>
    </row>
    <row r="166" spans="1:26" hidden="1" outlineLevel="1">
      <c r="A166" s="9"/>
      <c r="B166" s="9"/>
      <c r="C166" s="541"/>
      <c r="D166" s="91">
        <v>4</v>
      </c>
      <c r="E166" s="262">
        <f ca="1">OFFSET('Actual RAB roll forward'!H$55,0,D166-1)-SUM('Actual RAB roll forward'!H224:OFFSET('Actual RAB roll forward'!H224,0,Input!$Y$7-1))</f>
        <v>0</v>
      </c>
      <c r="F166" s="262">
        <f ca="1">IF(A12stdlife="N/A","n/a",IF(E166=0,0,A12stdlife+D166-Input!$Y$7))</f>
        <v>0</v>
      </c>
      <c r="G166" s="258"/>
      <c r="H166" s="541"/>
      <c r="I166" s="91">
        <v>4</v>
      </c>
      <c r="J166" s="262">
        <f ca="1">OFFSET('Tax value roll forward'!H$51,0,I166-1)-SUM('Tax value roll forward'!H220:OFFSET('Tax value roll forward'!H220,0,Input!$Y$7-1))</f>
        <v>0</v>
      </c>
      <c r="K166" s="262">
        <f ca="1">IF(A12taxstdlife="N/A","n/a",IF(J166=0,0,A12taxstdlife+I166-Input!$Y$7))</f>
        <v>0</v>
      </c>
      <c r="L166" s="115"/>
      <c r="M166" s="9"/>
      <c r="N166" s="9"/>
      <c r="O166" s="9"/>
      <c r="P166" s="9"/>
      <c r="Q166" s="9"/>
      <c r="R166" s="9"/>
      <c r="S166" s="255"/>
      <c r="T166" s="255"/>
      <c r="U166" s="255"/>
      <c r="V166" s="255"/>
      <c r="W166" s="255"/>
      <c r="X166" s="255"/>
      <c r="Y166" s="255"/>
      <c r="Z166" s="255"/>
    </row>
    <row r="167" spans="1:26" hidden="1" outlineLevel="1">
      <c r="A167" s="9"/>
      <c r="B167" s="9"/>
      <c r="C167" s="541"/>
      <c r="D167" s="91">
        <v>5</v>
      </c>
      <c r="E167" s="262">
        <f ca="1">OFFSET('Actual RAB roll forward'!H$55,0,D167-1)-SUM('Actual RAB roll forward'!H225:OFFSET('Actual RAB roll forward'!H225,0,Input!$Y$7-1))</f>
        <v>0</v>
      </c>
      <c r="F167" s="262">
        <f ca="1">IF(A12stdlife="N/A","n/a",IF(E167=0,0,A12stdlife+D167-Input!$Y$7))</f>
        <v>0</v>
      </c>
      <c r="G167" s="258"/>
      <c r="H167" s="541"/>
      <c r="I167" s="91">
        <v>5</v>
      </c>
      <c r="J167" s="262">
        <f ca="1">OFFSET('Tax value roll forward'!H$51,0,I167-1)-SUM('Tax value roll forward'!H221:OFFSET('Tax value roll forward'!H221,0,Input!$Y$7-1))</f>
        <v>0</v>
      </c>
      <c r="K167" s="262">
        <f ca="1">IF(A12taxstdlife="N/A","n/a",IF(J167=0,0,A12taxstdlife+I167-Input!$Y$7))</f>
        <v>0</v>
      </c>
      <c r="L167" s="115"/>
      <c r="M167" s="9"/>
      <c r="N167" s="9"/>
      <c r="O167" s="9"/>
      <c r="P167" s="9"/>
      <c r="Q167" s="9"/>
      <c r="R167" s="9"/>
      <c r="S167" s="255"/>
      <c r="T167" s="255"/>
      <c r="U167" s="255"/>
      <c r="V167" s="255"/>
      <c r="W167" s="255"/>
      <c r="X167" s="255"/>
      <c r="Y167" s="255"/>
      <c r="Z167" s="255"/>
    </row>
    <row r="168" spans="1:26" hidden="1" outlineLevel="1">
      <c r="A168" s="9"/>
      <c r="B168" s="9"/>
      <c r="C168" s="541"/>
      <c r="D168" s="91">
        <v>6</v>
      </c>
      <c r="E168" s="262">
        <f ca="1">OFFSET('Actual RAB roll forward'!H$55,0,D168-1)-SUM('Actual RAB roll forward'!H226:OFFSET('Actual RAB roll forward'!H226,0,Input!$Y$7-1))</f>
        <v>0</v>
      </c>
      <c r="F168" s="262">
        <f ca="1">IF(A12stdlife="N/A","n/a",IF(E168=0,0,A12stdlife+D168-Input!$Y$7))</f>
        <v>0</v>
      </c>
      <c r="G168" s="258"/>
      <c r="H168" s="541"/>
      <c r="I168" s="91">
        <v>6</v>
      </c>
      <c r="J168" s="262">
        <f ca="1">OFFSET('Tax value roll forward'!H$51,0,I168-1)-SUM('Tax value roll forward'!H222:OFFSET('Tax value roll forward'!H222,0,Input!$Y$7-1))</f>
        <v>0</v>
      </c>
      <c r="K168" s="262">
        <f ca="1">IF(A12taxstdlife="N/A","n/a",IF(J168=0,0,A12taxstdlife+I168-Input!$Y$7))</f>
        <v>0</v>
      </c>
      <c r="L168" s="115"/>
      <c r="M168" s="9"/>
      <c r="N168" s="9"/>
      <c r="O168" s="9"/>
      <c r="P168" s="9"/>
      <c r="Q168" s="9"/>
      <c r="R168" s="9"/>
      <c r="S168" s="255"/>
      <c r="T168" s="255"/>
      <c r="U168" s="255"/>
      <c r="V168" s="255"/>
      <c r="W168" s="255"/>
      <c r="X168" s="255"/>
      <c r="Y168" s="255"/>
      <c r="Z168" s="255"/>
    </row>
    <row r="169" spans="1:26" hidden="1" outlineLevel="1">
      <c r="A169" s="9"/>
      <c r="B169" s="9"/>
      <c r="C169" s="541"/>
      <c r="D169" s="91">
        <v>7</v>
      </c>
      <c r="E169" s="262">
        <f ca="1">OFFSET('Actual RAB roll forward'!H$55,0,D169-1)-SUM('Actual RAB roll forward'!H227:OFFSET('Actual RAB roll forward'!H227,0,Input!$Y$7-1))</f>
        <v>0</v>
      </c>
      <c r="F169" s="262">
        <f ca="1">IF(A12stdlife="N/A","n/a",IF(E169=0,0,A12stdlife+D169-Input!$Y$7))</f>
        <v>0</v>
      </c>
      <c r="G169" s="258"/>
      <c r="H169" s="541"/>
      <c r="I169" s="91">
        <v>7</v>
      </c>
      <c r="J169" s="262">
        <f ca="1">OFFSET('Tax value roll forward'!H$51,0,I169-1)-SUM('Tax value roll forward'!H223:OFFSET('Tax value roll forward'!H223,0,Input!$Y$7-1))</f>
        <v>0</v>
      </c>
      <c r="K169" s="262">
        <f ca="1">IF(A12taxstdlife="N/A","n/a",IF(J169=0,0,A12taxstdlife+I169-Input!$Y$7))</f>
        <v>0</v>
      </c>
      <c r="L169" s="115"/>
      <c r="M169" s="9"/>
      <c r="N169" s="9"/>
      <c r="O169" s="9"/>
      <c r="P169" s="9"/>
      <c r="Q169" s="9"/>
      <c r="R169" s="9"/>
      <c r="S169" s="255"/>
      <c r="T169" s="255"/>
      <c r="U169" s="255"/>
      <c r="V169" s="255"/>
      <c r="W169" s="255"/>
      <c r="X169" s="255"/>
      <c r="Y169" s="255"/>
      <c r="Z169" s="255"/>
    </row>
    <row r="170" spans="1:26" hidden="1" outlineLevel="1">
      <c r="A170" s="9"/>
      <c r="B170" s="9"/>
      <c r="C170" s="541"/>
      <c r="D170" s="91">
        <v>8</v>
      </c>
      <c r="E170" s="262">
        <f ca="1">OFFSET('Actual RAB roll forward'!H$55,0,D170-1)-SUM('Actual RAB roll forward'!H228:OFFSET('Actual RAB roll forward'!H228,0,Input!$Y$7-1))</f>
        <v>0</v>
      </c>
      <c r="F170" s="262">
        <f ca="1">IF(A12stdlife="N/A","n/a",IF(E170=0,0,A12stdlife+D170-Input!$Y$7))</f>
        <v>0</v>
      </c>
      <c r="G170" s="258"/>
      <c r="H170" s="541"/>
      <c r="I170" s="91">
        <v>8</v>
      </c>
      <c r="J170" s="262">
        <f ca="1">OFFSET('Tax value roll forward'!H$51,0,I170-1)-SUM('Tax value roll forward'!H224:OFFSET('Tax value roll forward'!H224,0,Input!$Y$7-1))</f>
        <v>0</v>
      </c>
      <c r="K170" s="262">
        <f ca="1">IF(A12taxstdlife="N/A","n/a",IF(J170=0,0,A12taxstdlife+I170-Input!$Y$7))</f>
        <v>0</v>
      </c>
      <c r="L170" s="115"/>
      <c r="M170" s="9"/>
      <c r="N170" s="9"/>
      <c r="O170" s="9"/>
      <c r="P170" s="9"/>
      <c r="Q170" s="9"/>
      <c r="R170" s="9"/>
      <c r="S170" s="255"/>
      <c r="T170" s="255"/>
      <c r="U170" s="255"/>
      <c r="V170" s="255"/>
      <c r="W170" s="255"/>
      <c r="X170" s="255"/>
      <c r="Y170" s="255"/>
      <c r="Z170" s="255"/>
    </row>
    <row r="171" spans="1:26" hidden="1" outlineLevel="1">
      <c r="A171" s="9"/>
      <c r="B171" s="9"/>
      <c r="C171" s="541"/>
      <c r="D171" s="91">
        <v>9</v>
      </c>
      <c r="E171" s="262">
        <f ca="1">OFFSET('Actual RAB roll forward'!H$55,0,D171-1)-SUM('Actual RAB roll forward'!H229:OFFSET('Actual RAB roll forward'!H229,0,Input!$Y$7-1))</f>
        <v>0</v>
      </c>
      <c r="F171" s="262">
        <f ca="1">IF(A12stdlife="N/A","n/a",IF(E171=0,0,A12stdlife+D171-Input!$Y$7))</f>
        <v>0</v>
      </c>
      <c r="G171" s="258"/>
      <c r="H171" s="541"/>
      <c r="I171" s="91">
        <v>9</v>
      </c>
      <c r="J171" s="262">
        <f ca="1">OFFSET('Tax value roll forward'!H$51,0,I171-1)-SUM('Tax value roll forward'!H225:OFFSET('Tax value roll forward'!H225,0,Input!$Y$7-1))</f>
        <v>0</v>
      </c>
      <c r="K171" s="262">
        <f ca="1">IF(A12taxstdlife="N/A","n/a",IF(J171=0,0,A12taxstdlife+I171-Input!$Y$7))</f>
        <v>0</v>
      </c>
      <c r="L171" s="115"/>
      <c r="M171" s="9"/>
      <c r="N171" s="9"/>
      <c r="O171" s="9"/>
      <c r="P171" s="9"/>
      <c r="Q171" s="9"/>
      <c r="R171" s="9"/>
      <c r="S171" s="255"/>
      <c r="T171" s="255"/>
      <c r="U171" s="255"/>
      <c r="V171" s="255"/>
      <c r="W171" s="255"/>
      <c r="X171" s="255"/>
      <c r="Y171" s="255"/>
      <c r="Z171" s="255"/>
    </row>
    <row r="172" spans="1:26" hidden="1" outlineLevel="1">
      <c r="A172" s="9"/>
      <c r="B172" s="9"/>
      <c r="C172" s="542"/>
      <c r="D172" s="92">
        <v>10</v>
      </c>
      <c r="E172" s="262">
        <f ca="1">OFFSET('Actual RAB roll forward'!H$55,0,D172-1)-SUM('Actual RAB roll forward'!H230:OFFSET('Actual RAB roll forward'!H230,0,Input!$Y$7-1))</f>
        <v>0</v>
      </c>
      <c r="F172" s="262">
        <f ca="1">IF(A12stdlife="N/A","n/a",IF(E172=0,0,A12stdlife+D172-Input!$Y$7))</f>
        <v>0</v>
      </c>
      <c r="G172" s="258"/>
      <c r="H172" s="542"/>
      <c r="I172" s="92">
        <v>10</v>
      </c>
      <c r="J172" s="262">
        <f ca="1">OFFSET('Tax value roll forward'!H$51,0,I172-1)-SUM('Tax value roll forward'!H226:OFFSET('Tax value roll forward'!H226,0,Input!$Y$7-1))</f>
        <v>0</v>
      </c>
      <c r="K172" s="262">
        <f ca="1">IF(A12taxstdlife="N/A","n/a",IF(J172=0,0,A12taxstdlife+I172-Input!$Y$7))</f>
        <v>0</v>
      </c>
      <c r="L172" s="115"/>
      <c r="M172" s="9"/>
      <c r="N172" s="9"/>
      <c r="O172" s="9"/>
      <c r="P172" s="9"/>
      <c r="Q172" s="9"/>
      <c r="R172" s="9"/>
      <c r="S172" s="255"/>
      <c r="T172" s="255"/>
      <c r="U172" s="255"/>
      <c r="V172" s="255"/>
      <c r="W172" s="255"/>
      <c r="X172" s="255"/>
      <c r="Y172" s="255"/>
      <c r="Z172" s="255"/>
    </row>
    <row r="173" spans="1:26" collapsed="1">
      <c r="A173" s="9"/>
      <c r="B173" s="9"/>
      <c r="C173" s="275">
        <f>Asset12</f>
        <v>0</v>
      </c>
      <c r="D173" s="9"/>
      <c r="E173" s="262">
        <f ca="1">SUM(E162:E172)</f>
        <v>0</v>
      </c>
      <c r="F173" s="262">
        <f ca="1">IF(E173=0,0,SUMPRODUCT(E162:E172,F162:F172)/E173)</f>
        <v>0</v>
      </c>
      <c r="G173" s="258"/>
      <c r="H173" s="43"/>
      <c r="I173" s="262"/>
      <c r="J173" s="262">
        <f ca="1">SUM(J162:J172)</f>
        <v>0</v>
      </c>
      <c r="K173" s="262">
        <f ca="1">IF(J173=0,0,SUMPRODUCT(J162:J172,K162:K172)/J173)</f>
        <v>0</v>
      </c>
      <c r="L173" s="115"/>
      <c r="M173" s="9"/>
      <c r="N173" s="9"/>
      <c r="O173" s="9"/>
      <c r="P173" s="9"/>
      <c r="Q173" s="9"/>
      <c r="R173" s="9"/>
      <c r="S173" s="255"/>
      <c r="T173" s="255"/>
      <c r="U173" s="255"/>
      <c r="V173" s="255"/>
      <c r="W173" s="255"/>
      <c r="X173" s="255"/>
      <c r="Y173" s="255"/>
      <c r="Z173" s="255"/>
    </row>
    <row r="174" spans="1:26" hidden="1" outlineLevel="1">
      <c r="A174" s="9"/>
      <c r="B174" s="9"/>
      <c r="C174" s="275"/>
      <c r="D174" s="9"/>
      <c r="E174" s="262"/>
      <c r="F174" s="262"/>
      <c r="G174" s="258"/>
      <c r="H174" s="262"/>
      <c r="I174" s="262"/>
      <c r="J174" s="267"/>
      <c r="K174" s="262"/>
      <c r="L174" s="115"/>
      <c r="M174" s="9"/>
      <c r="N174" s="9"/>
      <c r="O174" s="9"/>
      <c r="P174" s="9"/>
      <c r="Q174" s="9"/>
      <c r="R174" s="9"/>
      <c r="S174" s="255"/>
      <c r="T174" s="255"/>
      <c r="U174" s="255"/>
      <c r="V174" s="255"/>
      <c r="W174" s="255"/>
      <c r="X174" s="255"/>
      <c r="Y174" s="255"/>
      <c r="Z174" s="255"/>
    </row>
    <row r="175" spans="1:26" hidden="1" outlineLevel="1">
      <c r="A175" s="9"/>
      <c r="B175" s="273">
        <f>Asset13</f>
        <v>0</v>
      </c>
      <c r="C175" s="9"/>
      <c r="D175" s="9"/>
      <c r="E175" s="35"/>
      <c r="F175" s="35"/>
      <c r="G175" s="258"/>
      <c r="H175" s="262"/>
      <c r="I175" s="262"/>
      <c r="J175" s="267"/>
      <c r="K175" s="262"/>
      <c r="L175" s="115"/>
      <c r="M175" s="9"/>
      <c r="N175" s="9"/>
      <c r="O175" s="9"/>
      <c r="P175" s="9"/>
      <c r="Q175" s="9"/>
      <c r="R175" s="9"/>
      <c r="S175" s="255"/>
      <c r="T175" s="255"/>
      <c r="U175" s="255"/>
      <c r="V175" s="255"/>
      <c r="W175" s="255"/>
      <c r="X175" s="255"/>
      <c r="Y175" s="255"/>
      <c r="Z175" s="255"/>
    </row>
    <row r="176" spans="1:26" ht="12.75" hidden="1" customHeight="1" outlineLevel="1">
      <c r="A176" s="9"/>
      <c r="B176" s="9"/>
      <c r="C176" s="538" t="s">
        <v>5</v>
      </c>
      <c r="D176" s="539"/>
      <c r="E176" s="262">
        <f ca="1">A13value-SUM('Actual RAB roll forward'!H232:OFFSET('Actual RAB roll forward'!H232,0,Input!$Y$7-1))</f>
        <v>0</v>
      </c>
      <c r="F176" s="262">
        <f>IF(A13remlife="N/A","n/a",A13remlife-Input!$Y$7)</f>
        <v>-5</v>
      </c>
      <c r="G176" s="258"/>
      <c r="H176" s="299" t="s">
        <v>43</v>
      </c>
      <c r="I176" s="300"/>
      <c r="J176" s="262">
        <f ca="1">A13taxvalue-SUM('Tax value roll forward'!H228:OFFSET('Tax value roll forward'!H228,0,Input!$Y$7-1))</f>
        <v>0</v>
      </c>
      <c r="K176" s="262">
        <f>IF(A13taxremlife="N/A","n/a",A13taxremlife-Input!$Y$7)</f>
        <v>-5</v>
      </c>
      <c r="L176" s="115"/>
      <c r="M176" s="9"/>
      <c r="N176" s="9"/>
      <c r="O176" s="9"/>
      <c r="P176" s="9"/>
      <c r="Q176" s="9"/>
      <c r="R176" s="9"/>
      <c r="S176" s="255"/>
      <c r="T176" s="255"/>
      <c r="U176" s="255"/>
      <c r="V176" s="255"/>
      <c r="W176" s="255"/>
      <c r="X176" s="255"/>
      <c r="Y176" s="255"/>
      <c r="Z176" s="255"/>
    </row>
    <row r="177" spans="1:26" hidden="1" outlineLevel="1">
      <c r="A177" s="9"/>
      <c r="B177" s="9"/>
      <c r="C177" s="540" t="s">
        <v>59</v>
      </c>
      <c r="D177" s="91">
        <v>1</v>
      </c>
      <c r="E177" s="262">
        <f ca="1">OFFSET('Actual RAB roll forward'!H$56,0,D177-1)-SUM('Actual RAB roll forward'!H234:OFFSET('Actual RAB roll forward'!H234,0,Input!$Y$7-1))</f>
        <v>0</v>
      </c>
      <c r="F177" s="262">
        <f ca="1">IF(A13stdlife="N/A","n/a",IF(E177=0,0,A13stdlife+D177-Input!$Y$7))</f>
        <v>0</v>
      </c>
      <c r="G177" s="258"/>
      <c r="H177" s="540" t="s">
        <v>59</v>
      </c>
      <c r="I177" s="91">
        <v>1</v>
      </c>
      <c r="J177" s="262">
        <f ca="1">OFFSET('Tax value roll forward'!H$52,0,I177-1)-SUM('Tax value roll forward'!H230:OFFSET('Tax value roll forward'!H230,0,Input!$Y$7-1))</f>
        <v>0</v>
      </c>
      <c r="K177" s="262">
        <f ca="1">IF(A13taxstdlife="N/A","n/a",IF(J177=0,0,A13taxstdlife+I177-Input!$Y$7))</f>
        <v>0</v>
      </c>
      <c r="L177" s="115"/>
      <c r="M177" s="9"/>
      <c r="N177" s="9"/>
      <c r="O177" s="9"/>
      <c r="P177" s="9"/>
      <c r="Q177" s="9"/>
      <c r="R177" s="9"/>
      <c r="S177" s="255"/>
      <c r="T177" s="255"/>
      <c r="U177" s="255"/>
      <c r="V177" s="255"/>
      <c r="W177" s="255"/>
      <c r="X177" s="255"/>
      <c r="Y177" s="255"/>
      <c r="Z177" s="255"/>
    </row>
    <row r="178" spans="1:26" hidden="1" outlineLevel="1">
      <c r="A178" s="9"/>
      <c r="B178" s="9"/>
      <c r="C178" s="541"/>
      <c r="D178" s="91">
        <v>2</v>
      </c>
      <c r="E178" s="262">
        <f ca="1">OFFSET('Actual RAB roll forward'!H$56,0,D178-1)-SUM('Actual RAB roll forward'!H235:OFFSET('Actual RAB roll forward'!H235,0,Input!$Y$7-1))</f>
        <v>0</v>
      </c>
      <c r="F178" s="262">
        <f ca="1">IF(A13stdlife="N/A","n/a",IF(E178=0,0,A13stdlife+D178-Input!$Y$7))</f>
        <v>0</v>
      </c>
      <c r="G178" s="258"/>
      <c r="H178" s="541"/>
      <c r="I178" s="91">
        <v>2</v>
      </c>
      <c r="J178" s="262">
        <f ca="1">OFFSET('Tax value roll forward'!H$52,0,I178-1)-SUM('Tax value roll forward'!H231:OFFSET('Tax value roll forward'!H231,0,Input!$Y$7-1))</f>
        <v>0</v>
      </c>
      <c r="K178" s="262">
        <f ca="1">IF(A13taxstdlife="N/A","n/a",IF(J178=0,0,A13taxstdlife+I178-Input!$Y$7))</f>
        <v>0</v>
      </c>
      <c r="L178" s="115"/>
      <c r="M178" s="9"/>
      <c r="N178" s="9"/>
      <c r="O178" s="9"/>
      <c r="P178" s="9"/>
      <c r="Q178" s="9"/>
      <c r="R178" s="9"/>
      <c r="S178" s="255"/>
      <c r="T178" s="255"/>
      <c r="U178" s="255"/>
      <c r="V178" s="255"/>
      <c r="W178" s="255"/>
      <c r="X178" s="255"/>
      <c r="Y178" s="255"/>
      <c r="Z178" s="255"/>
    </row>
    <row r="179" spans="1:26" hidden="1" outlineLevel="1">
      <c r="A179" s="9"/>
      <c r="B179" s="9"/>
      <c r="C179" s="541"/>
      <c r="D179" s="91">
        <v>3</v>
      </c>
      <c r="E179" s="262">
        <f ca="1">OFFSET('Actual RAB roll forward'!H$56,0,D179-1)-SUM('Actual RAB roll forward'!H236:OFFSET('Actual RAB roll forward'!H236,0,Input!$Y$7-1))</f>
        <v>0</v>
      </c>
      <c r="F179" s="262">
        <f ca="1">IF(A13stdlife="N/A","n/a",IF(E179=0,0,A13stdlife+D179-Input!$Y$7))</f>
        <v>0</v>
      </c>
      <c r="G179" s="258"/>
      <c r="H179" s="541"/>
      <c r="I179" s="91">
        <v>3</v>
      </c>
      <c r="J179" s="262">
        <f ca="1">OFFSET('Tax value roll forward'!H$52,0,I179-1)-SUM('Tax value roll forward'!H232:OFFSET('Tax value roll forward'!H232,0,Input!$Y$7-1))</f>
        <v>0</v>
      </c>
      <c r="K179" s="262">
        <f ca="1">IF(A13taxstdlife="N/A","n/a",IF(J179=0,0,A13taxstdlife+I179-Input!$Y$7))</f>
        <v>0</v>
      </c>
      <c r="L179" s="115"/>
      <c r="M179" s="9"/>
      <c r="N179" s="9"/>
      <c r="O179" s="9"/>
      <c r="P179" s="9"/>
      <c r="Q179" s="9"/>
      <c r="R179" s="9"/>
      <c r="S179" s="255"/>
      <c r="T179" s="255"/>
      <c r="U179" s="255"/>
      <c r="V179" s="255"/>
      <c r="W179" s="255"/>
      <c r="X179" s="255"/>
      <c r="Y179" s="255"/>
      <c r="Z179" s="255"/>
    </row>
    <row r="180" spans="1:26" hidden="1" outlineLevel="1">
      <c r="A180" s="9"/>
      <c r="B180" s="9"/>
      <c r="C180" s="541"/>
      <c r="D180" s="91">
        <v>4</v>
      </c>
      <c r="E180" s="262">
        <f ca="1">OFFSET('Actual RAB roll forward'!H$56,0,D180-1)-SUM('Actual RAB roll forward'!H237:OFFSET('Actual RAB roll forward'!H237,0,Input!$Y$7-1))</f>
        <v>0</v>
      </c>
      <c r="F180" s="262">
        <f ca="1">IF(A13stdlife="N/A","n/a",IF(E180=0,0,A13stdlife+D180-Input!$Y$7))</f>
        <v>0</v>
      </c>
      <c r="G180" s="258"/>
      <c r="H180" s="541"/>
      <c r="I180" s="91">
        <v>4</v>
      </c>
      <c r="J180" s="262">
        <f ca="1">OFFSET('Tax value roll forward'!H$52,0,I180-1)-SUM('Tax value roll forward'!H233:OFFSET('Tax value roll forward'!H233,0,Input!$Y$7-1))</f>
        <v>0</v>
      </c>
      <c r="K180" s="262">
        <f ca="1">IF(A13taxstdlife="N/A","n/a",IF(J180=0,0,A13taxstdlife+I180-Input!$Y$7))</f>
        <v>0</v>
      </c>
      <c r="L180" s="115"/>
      <c r="M180" s="9"/>
      <c r="N180" s="9"/>
      <c r="O180" s="9"/>
      <c r="P180" s="9"/>
      <c r="Q180" s="9"/>
      <c r="R180" s="9"/>
      <c r="S180" s="255"/>
      <c r="T180" s="255"/>
      <c r="U180" s="255"/>
      <c r="V180" s="255"/>
      <c r="W180" s="255"/>
      <c r="X180" s="255"/>
      <c r="Y180" s="255"/>
      <c r="Z180" s="255"/>
    </row>
    <row r="181" spans="1:26" hidden="1" outlineLevel="1">
      <c r="A181" s="9"/>
      <c r="B181" s="9"/>
      <c r="C181" s="541"/>
      <c r="D181" s="91">
        <v>5</v>
      </c>
      <c r="E181" s="262">
        <f ca="1">OFFSET('Actual RAB roll forward'!H$56,0,D181-1)-SUM('Actual RAB roll forward'!H238:OFFSET('Actual RAB roll forward'!H238,0,Input!$Y$7-1))</f>
        <v>0</v>
      </c>
      <c r="F181" s="262">
        <f ca="1">IF(A13stdlife="N/A","n/a",IF(E181=0,0,A13stdlife+D181-Input!$Y$7))</f>
        <v>0</v>
      </c>
      <c r="G181" s="258"/>
      <c r="H181" s="541"/>
      <c r="I181" s="91">
        <v>5</v>
      </c>
      <c r="J181" s="262">
        <f ca="1">OFFSET('Tax value roll forward'!H$52,0,I181-1)-SUM('Tax value roll forward'!H234:OFFSET('Tax value roll forward'!H234,0,Input!$Y$7-1))</f>
        <v>0</v>
      </c>
      <c r="K181" s="262">
        <f ca="1">IF(A13taxstdlife="N/A","n/a",IF(J181=0,0,A13taxstdlife+I181-Input!$Y$7))</f>
        <v>0</v>
      </c>
      <c r="L181" s="115"/>
      <c r="M181" s="9"/>
      <c r="N181" s="9"/>
      <c r="O181" s="9"/>
      <c r="P181" s="9"/>
      <c r="Q181" s="9"/>
      <c r="R181" s="9"/>
      <c r="S181" s="255"/>
      <c r="T181" s="255"/>
      <c r="U181" s="255"/>
      <c r="V181" s="255"/>
      <c r="W181" s="255"/>
      <c r="X181" s="255"/>
      <c r="Y181" s="255"/>
      <c r="Z181" s="255"/>
    </row>
    <row r="182" spans="1:26" hidden="1" outlineLevel="1">
      <c r="A182" s="9"/>
      <c r="B182" s="9"/>
      <c r="C182" s="541"/>
      <c r="D182" s="91">
        <v>6</v>
      </c>
      <c r="E182" s="262">
        <f ca="1">OFFSET('Actual RAB roll forward'!H$56,0,D182-1)-SUM('Actual RAB roll forward'!H239:OFFSET('Actual RAB roll forward'!H239,0,Input!$Y$7-1))</f>
        <v>0</v>
      </c>
      <c r="F182" s="262">
        <f ca="1">IF(A13stdlife="N/A","n/a",IF(E182=0,0,A13stdlife+D182-Input!$Y$7))</f>
        <v>0</v>
      </c>
      <c r="G182" s="258"/>
      <c r="H182" s="541"/>
      <c r="I182" s="91">
        <v>6</v>
      </c>
      <c r="J182" s="262">
        <f ca="1">OFFSET('Tax value roll forward'!H$52,0,I182-1)-SUM('Tax value roll forward'!H235:OFFSET('Tax value roll forward'!H235,0,Input!$Y$7-1))</f>
        <v>0</v>
      </c>
      <c r="K182" s="262">
        <f ca="1">IF(A13taxstdlife="N/A","n/a",IF(J182=0,0,A13taxstdlife+I182-Input!$Y$7))</f>
        <v>0</v>
      </c>
      <c r="L182" s="115"/>
      <c r="M182" s="9"/>
      <c r="N182" s="9"/>
      <c r="O182" s="9"/>
      <c r="P182" s="9"/>
      <c r="Q182" s="9"/>
      <c r="R182" s="9"/>
      <c r="S182" s="255"/>
      <c r="T182" s="255"/>
      <c r="U182" s="255"/>
      <c r="V182" s="255"/>
      <c r="W182" s="255"/>
      <c r="X182" s="255"/>
      <c r="Y182" s="255"/>
      <c r="Z182" s="255"/>
    </row>
    <row r="183" spans="1:26" hidden="1" outlineLevel="1">
      <c r="A183" s="9"/>
      <c r="B183" s="9"/>
      <c r="C183" s="541"/>
      <c r="D183" s="91">
        <v>7</v>
      </c>
      <c r="E183" s="262">
        <f ca="1">OFFSET('Actual RAB roll forward'!H$56,0,D183-1)-SUM('Actual RAB roll forward'!H240:OFFSET('Actual RAB roll forward'!H240,0,Input!$Y$7-1))</f>
        <v>0</v>
      </c>
      <c r="F183" s="262">
        <f ca="1">IF(A13stdlife="N/A","n/a",IF(E183=0,0,A13stdlife+D183-Input!$Y$7))</f>
        <v>0</v>
      </c>
      <c r="G183" s="258"/>
      <c r="H183" s="541"/>
      <c r="I183" s="91">
        <v>7</v>
      </c>
      <c r="J183" s="262">
        <f ca="1">OFFSET('Tax value roll forward'!H$52,0,I183-1)-SUM('Tax value roll forward'!H236:OFFSET('Tax value roll forward'!H236,0,Input!$Y$7-1))</f>
        <v>0</v>
      </c>
      <c r="K183" s="262">
        <f ca="1">IF(A13taxstdlife="N/A","n/a",IF(J183=0,0,A13taxstdlife+I183-Input!$Y$7))</f>
        <v>0</v>
      </c>
      <c r="L183" s="115"/>
      <c r="M183" s="9"/>
      <c r="N183" s="9"/>
      <c r="O183" s="9"/>
      <c r="P183" s="9"/>
      <c r="Q183" s="9"/>
      <c r="R183" s="9"/>
      <c r="S183" s="255"/>
      <c r="T183" s="255"/>
      <c r="U183" s="255"/>
      <c r="V183" s="255"/>
      <c r="W183" s="255"/>
      <c r="X183" s="255"/>
      <c r="Y183" s="255"/>
      <c r="Z183" s="255"/>
    </row>
    <row r="184" spans="1:26" hidden="1" outlineLevel="1">
      <c r="A184" s="9"/>
      <c r="B184" s="9"/>
      <c r="C184" s="541"/>
      <c r="D184" s="91">
        <v>8</v>
      </c>
      <c r="E184" s="262">
        <f ca="1">OFFSET('Actual RAB roll forward'!H$56,0,D184-1)-SUM('Actual RAB roll forward'!H241:OFFSET('Actual RAB roll forward'!H241,0,Input!$Y$7-1))</f>
        <v>0</v>
      </c>
      <c r="F184" s="262">
        <f ca="1">IF(A13stdlife="N/A","n/a",IF(E184=0,0,A13stdlife+D184-Input!$Y$7))</f>
        <v>0</v>
      </c>
      <c r="G184" s="258"/>
      <c r="H184" s="541"/>
      <c r="I184" s="91">
        <v>8</v>
      </c>
      <c r="J184" s="262">
        <f ca="1">OFFSET('Tax value roll forward'!H$52,0,I184-1)-SUM('Tax value roll forward'!H237:OFFSET('Tax value roll forward'!H237,0,Input!$Y$7-1))</f>
        <v>0</v>
      </c>
      <c r="K184" s="262">
        <f ca="1">IF(A13taxstdlife="N/A","n/a",IF(J184=0,0,A13taxstdlife+I184-Input!$Y$7))</f>
        <v>0</v>
      </c>
      <c r="L184" s="115"/>
      <c r="M184" s="9"/>
      <c r="N184" s="9"/>
      <c r="O184" s="9"/>
      <c r="P184" s="9"/>
      <c r="Q184" s="9"/>
      <c r="R184" s="9"/>
      <c r="S184" s="255"/>
      <c r="T184" s="255"/>
      <c r="U184" s="255"/>
      <c r="V184" s="255"/>
      <c r="W184" s="255"/>
      <c r="X184" s="255"/>
      <c r="Y184" s="255"/>
      <c r="Z184" s="255"/>
    </row>
    <row r="185" spans="1:26" hidden="1" outlineLevel="1">
      <c r="A185" s="9"/>
      <c r="B185" s="9"/>
      <c r="C185" s="541"/>
      <c r="D185" s="91">
        <v>9</v>
      </c>
      <c r="E185" s="262">
        <f ca="1">OFFSET('Actual RAB roll forward'!H$56,0,D185-1)-SUM('Actual RAB roll forward'!H242:OFFSET('Actual RAB roll forward'!H242,0,Input!$Y$7-1))</f>
        <v>0</v>
      </c>
      <c r="F185" s="262">
        <f ca="1">IF(A13stdlife="N/A","n/a",IF(E185=0,0,A13stdlife+D185-Input!$Y$7))</f>
        <v>0</v>
      </c>
      <c r="G185" s="258"/>
      <c r="H185" s="541"/>
      <c r="I185" s="91">
        <v>9</v>
      </c>
      <c r="J185" s="262">
        <f ca="1">OFFSET('Tax value roll forward'!H$52,0,I185-1)-SUM('Tax value roll forward'!H238:OFFSET('Tax value roll forward'!H238,0,Input!$Y$7-1))</f>
        <v>0</v>
      </c>
      <c r="K185" s="262">
        <f ca="1">IF(A13taxstdlife="N/A","n/a",IF(J185=0,0,A13taxstdlife+I185-Input!$Y$7))</f>
        <v>0</v>
      </c>
      <c r="L185" s="115"/>
      <c r="M185" s="9"/>
      <c r="N185" s="9"/>
      <c r="O185" s="9"/>
      <c r="P185" s="9"/>
      <c r="Q185" s="9"/>
      <c r="R185" s="9"/>
      <c r="S185" s="255"/>
      <c r="T185" s="255"/>
      <c r="U185" s="255"/>
      <c r="V185" s="255"/>
      <c r="W185" s="255"/>
      <c r="X185" s="255"/>
      <c r="Y185" s="255"/>
      <c r="Z185" s="255"/>
    </row>
    <row r="186" spans="1:26" hidden="1" outlineLevel="1">
      <c r="A186" s="9"/>
      <c r="B186" s="9"/>
      <c r="C186" s="542"/>
      <c r="D186" s="92">
        <v>10</v>
      </c>
      <c r="E186" s="262">
        <f ca="1">OFFSET('Actual RAB roll forward'!H$56,0,D186-1)-SUM('Actual RAB roll forward'!H243:OFFSET('Actual RAB roll forward'!H243,0,Input!$Y$7-1))</f>
        <v>0</v>
      </c>
      <c r="F186" s="262">
        <f ca="1">IF(A13stdlife="N/A","n/a",IF(E186=0,0,A13stdlife+D186-Input!$Y$7))</f>
        <v>0</v>
      </c>
      <c r="G186" s="258"/>
      <c r="H186" s="542"/>
      <c r="I186" s="92">
        <v>10</v>
      </c>
      <c r="J186" s="262">
        <f ca="1">OFFSET('Tax value roll forward'!H$52,0,I186-1)-SUM('Tax value roll forward'!H239:OFFSET('Tax value roll forward'!H239,0,Input!$Y$7-1))</f>
        <v>0</v>
      </c>
      <c r="K186" s="262">
        <f ca="1">IF(A13taxstdlife="N/A","n/a",IF(J186=0,0,A13taxstdlife+I186-Input!$Y$7))</f>
        <v>0</v>
      </c>
      <c r="L186" s="115"/>
      <c r="M186" s="9"/>
      <c r="N186" s="9"/>
      <c r="O186" s="9"/>
      <c r="P186" s="9"/>
      <c r="Q186" s="9"/>
      <c r="R186" s="9"/>
      <c r="S186" s="255"/>
      <c r="T186" s="255"/>
      <c r="U186" s="255"/>
      <c r="V186" s="255"/>
      <c r="W186" s="255"/>
      <c r="X186" s="255"/>
      <c r="Y186" s="255"/>
      <c r="Z186" s="255"/>
    </row>
    <row r="187" spans="1:26" collapsed="1">
      <c r="A187" s="9"/>
      <c r="B187" s="9"/>
      <c r="C187" s="275">
        <f>Asset13</f>
        <v>0</v>
      </c>
      <c r="D187" s="9"/>
      <c r="E187" s="262">
        <f ca="1">SUM(E176:E186)</f>
        <v>0</v>
      </c>
      <c r="F187" s="262">
        <f ca="1">IF(E187=0,0,SUMPRODUCT(E176:E186,F176:F186)/E187)</f>
        <v>0</v>
      </c>
      <c r="G187" s="258"/>
      <c r="H187" s="43"/>
      <c r="I187" s="262"/>
      <c r="J187" s="262">
        <f ca="1">SUM(J176:J186)</f>
        <v>0</v>
      </c>
      <c r="K187" s="262">
        <f ca="1">IF(J187=0,0,SUMPRODUCT(J176:J186,K176:K186)/J187)</f>
        <v>0</v>
      </c>
      <c r="L187" s="115"/>
      <c r="M187" s="9"/>
      <c r="N187" s="9"/>
      <c r="O187" s="9"/>
      <c r="P187" s="9"/>
      <c r="Q187" s="9"/>
      <c r="R187" s="9"/>
      <c r="S187" s="255"/>
      <c r="T187" s="255"/>
      <c r="U187" s="255"/>
      <c r="V187" s="255"/>
      <c r="W187" s="255"/>
      <c r="X187" s="255"/>
      <c r="Y187" s="255"/>
      <c r="Z187" s="255"/>
    </row>
    <row r="188" spans="1:26" hidden="1" outlineLevel="1">
      <c r="A188" s="9"/>
      <c r="B188" s="9"/>
      <c r="C188" s="275"/>
      <c r="D188" s="9"/>
      <c r="E188" s="262"/>
      <c r="F188" s="262"/>
      <c r="G188" s="258"/>
      <c r="H188" s="262"/>
      <c r="I188" s="262"/>
      <c r="J188" s="267"/>
      <c r="K188" s="262"/>
      <c r="L188" s="115"/>
      <c r="M188" s="9"/>
      <c r="N188" s="9"/>
      <c r="O188" s="9"/>
      <c r="P188" s="9"/>
      <c r="Q188" s="9"/>
      <c r="R188" s="9"/>
      <c r="S188" s="255"/>
      <c r="T188" s="255"/>
      <c r="U188" s="255"/>
      <c r="V188" s="255"/>
      <c r="W188" s="255"/>
      <c r="X188" s="255"/>
      <c r="Y188" s="255"/>
      <c r="Z188" s="255"/>
    </row>
    <row r="189" spans="1:26" hidden="1" outlineLevel="1">
      <c r="A189" s="9"/>
      <c r="B189" s="273">
        <f>Asset14</f>
        <v>0</v>
      </c>
      <c r="C189" s="9"/>
      <c r="D189" s="9"/>
      <c r="E189" s="35"/>
      <c r="F189" s="35"/>
      <c r="G189" s="258"/>
      <c r="H189" s="262"/>
      <c r="I189" s="262"/>
      <c r="J189" s="267"/>
      <c r="K189" s="262"/>
      <c r="L189" s="115"/>
      <c r="M189" s="9"/>
      <c r="N189" s="9"/>
      <c r="O189" s="9"/>
      <c r="P189" s="9"/>
      <c r="Q189" s="9"/>
      <c r="R189" s="9"/>
      <c r="S189" s="255"/>
      <c r="T189" s="255"/>
      <c r="U189" s="255"/>
      <c r="V189" s="255"/>
      <c r="W189" s="255"/>
      <c r="X189" s="255"/>
      <c r="Y189" s="255"/>
      <c r="Z189" s="255"/>
    </row>
    <row r="190" spans="1:26" ht="12.75" hidden="1" customHeight="1" outlineLevel="1">
      <c r="A190" s="9"/>
      <c r="B190" s="9"/>
      <c r="C190" s="538" t="s">
        <v>5</v>
      </c>
      <c r="D190" s="539"/>
      <c r="E190" s="262">
        <f ca="1">A14value-SUM('Actual RAB roll forward'!H245:OFFSET('Actual RAB roll forward'!H245,0,Input!$Y$7-1))</f>
        <v>0</v>
      </c>
      <c r="F190" s="262">
        <f>IF(A14remlife="N/A","n/a",A14remlife-Input!$Y$7)</f>
        <v>-5</v>
      </c>
      <c r="G190" s="258"/>
      <c r="H190" s="299" t="s">
        <v>43</v>
      </c>
      <c r="I190" s="300"/>
      <c r="J190" s="262">
        <f ca="1">A14taxvalue-SUM('Tax value roll forward'!H241:OFFSET('Tax value roll forward'!H241,0,Input!$Y$7-1))</f>
        <v>0</v>
      </c>
      <c r="K190" s="262">
        <f>IF(A14taxremlife="N/A","n/a",A14taxremlife-Input!$Y$7)</f>
        <v>-5</v>
      </c>
      <c r="L190" s="115"/>
      <c r="M190" s="9"/>
      <c r="N190" s="9"/>
      <c r="O190" s="9"/>
      <c r="P190" s="9"/>
      <c r="Q190" s="9"/>
      <c r="R190" s="9"/>
      <c r="S190" s="255"/>
      <c r="T190" s="255"/>
      <c r="U190" s="255"/>
      <c r="V190" s="255"/>
      <c r="W190" s="255"/>
      <c r="X190" s="255"/>
      <c r="Y190" s="255"/>
      <c r="Z190" s="255"/>
    </row>
    <row r="191" spans="1:26" hidden="1" outlineLevel="1">
      <c r="A191" s="9"/>
      <c r="B191" s="9"/>
      <c r="C191" s="540" t="s">
        <v>59</v>
      </c>
      <c r="D191" s="91">
        <v>1</v>
      </c>
      <c r="E191" s="262">
        <f ca="1">OFFSET('Actual RAB roll forward'!H$57,0,D191-1)-SUM('Actual RAB roll forward'!H247:OFFSET('Actual RAB roll forward'!H247,0,Input!$Y$7-1))</f>
        <v>0</v>
      </c>
      <c r="F191" s="262">
        <f ca="1">IF(A14stdlife="N/A","n/a",IF(E191=0,0,A14stdlife+D191-Input!$Y$7))</f>
        <v>0</v>
      </c>
      <c r="G191" s="258"/>
      <c r="H191" s="540" t="s">
        <v>59</v>
      </c>
      <c r="I191" s="91">
        <v>1</v>
      </c>
      <c r="J191" s="262">
        <f ca="1">OFFSET('Tax value roll forward'!H$53,0,I191-1)-SUM('Tax value roll forward'!H243:OFFSET('Tax value roll forward'!H243,0,Input!$Y$7-1))</f>
        <v>0</v>
      </c>
      <c r="K191" s="262">
        <f ca="1">IF(A14taxstdlife="N/A","n/a",IF(J191=0,0,A14taxstdlife+I191-Input!$Y$7))</f>
        <v>0</v>
      </c>
      <c r="L191" s="115"/>
      <c r="M191" s="9"/>
      <c r="N191" s="9"/>
      <c r="O191" s="9"/>
      <c r="P191" s="9"/>
      <c r="Q191" s="9"/>
      <c r="R191" s="9"/>
      <c r="S191" s="255"/>
      <c r="T191" s="255"/>
      <c r="U191" s="255"/>
      <c r="V191" s="255"/>
      <c r="W191" s="255"/>
      <c r="X191" s="255"/>
      <c r="Y191" s="255"/>
      <c r="Z191" s="255"/>
    </row>
    <row r="192" spans="1:26" hidden="1" outlineLevel="1">
      <c r="A192" s="9"/>
      <c r="B192" s="9"/>
      <c r="C192" s="541"/>
      <c r="D192" s="91">
        <v>2</v>
      </c>
      <c r="E192" s="262">
        <f ca="1">OFFSET('Actual RAB roll forward'!H$57,0,D192-1)-SUM('Actual RAB roll forward'!H248:OFFSET('Actual RAB roll forward'!H248,0,Input!$Y$7-1))</f>
        <v>0</v>
      </c>
      <c r="F192" s="262">
        <f ca="1">IF(A14stdlife="N/A","n/a",IF(E192=0,0,A14stdlife+D192-Input!$Y$7))</f>
        <v>0</v>
      </c>
      <c r="G192" s="258"/>
      <c r="H192" s="541"/>
      <c r="I192" s="91">
        <v>2</v>
      </c>
      <c r="J192" s="262">
        <f ca="1">OFFSET('Tax value roll forward'!H$53,0,I192-1)-SUM('Tax value roll forward'!H244:OFFSET('Tax value roll forward'!H244,0,Input!$Y$7-1))</f>
        <v>0</v>
      </c>
      <c r="K192" s="262">
        <f ca="1">IF(A14taxstdlife="N/A","n/a",IF(J192=0,0,A14taxstdlife+I192-Input!$Y$7))</f>
        <v>0</v>
      </c>
      <c r="L192" s="115"/>
      <c r="M192" s="9"/>
      <c r="N192" s="9"/>
      <c r="O192" s="9"/>
      <c r="P192" s="9"/>
      <c r="Q192" s="9"/>
      <c r="R192" s="9"/>
      <c r="S192" s="255"/>
      <c r="T192" s="255"/>
      <c r="U192" s="255"/>
      <c r="V192" s="255"/>
      <c r="W192" s="255"/>
      <c r="X192" s="255"/>
      <c r="Y192" s="255"/>
      <c r="Z192" s="255"/>
    </row>
    <row r="193" spans="1:26" hidden="1" outlineLevel="1">
      <c r="A193" s="9"/>
      <c r="B193" s="9"/>
      <c r="C193" s="541"/>
      <c r="D193" s="91">
        <v>3</v>
      </c>
      <c r="E193" s="262">
        <f ca="1">OFFSET('Actual RAB roll forward'!H$57,0,D193-1)-SUM('Actual RAB roll forward'!H249:OFFSET('Actual RAB roll forward'!H249,0,Input!$Y$7-1))</f>
        <v>0</v>
      </c>
      <c r="F193" s="262">
        <f ca="1">IF(A14stdlife="N/A","n/a",IF(E193=0,0,A14stdlife+D193-Input!$Y$7))</f>
        <v>0</v>
      </c>
      <c r="G193" s="258"/>
      <c r="H193" s="541"/>
      <c r="I193" s="91">
        <v>3</v>
      </c>
      <c r="J193" s="262">
        <f ca="1">OFFSET('Tax value roll forward'!H$53,0,I193-1)-SUM('Tax value roll forward'!H245:OFFSET('Tax value roll forward'!H245,0,Input!$Y$7-1))</f>
        <v>0</v>
      </c>
      <c r="K193" s="262">
        <f ca="1">IF(A14taxstdlife="N/A","n/a",IF(J193=0,0,A14taxstdlife+I193-Input!$Y$7))</f>
        <v>0</v>
      </c>
      <c r="L193" s="115"/>
      <c r="M193" s="9"/>
      <c r="N193" s="9"/>
      <c r="O193" s="9"/>
      <c r="P193" s="9"/>
      <c r="Q193" s="9"/>
      <c r="R193" s="9"/>
      <c r="S193" s="255"/>
      <c r="T193" s="255"/>
      <c r="U193" s="255"/>
      <c r="V193" s="255"/>
      <c r="W193" s="255"/>
      <c r="X193" s="255"/>
      <c r="Y193" s="255"/>
      <c r="Z193" s="255"/>
    </row>
    <row r="194" spans="1:26" hidden="1" outlineLevel="1">
      <c r="A194" s="9"/>
      <c r="B194" s="9"/>
      <c r="C194" s="541"/>
      <c r="D194" s="91">
        <v>4</v>
      </c>
      <c r="E194" s="262">
        <f ca="1">OFFSET('Actual RAB roll forward'!H$57,0,D194-1)-SUM('Actual RAB roll forward'!H250:OFFSET('Actual RAB roll forward'!H250,0,Input!$Y$7-1))</f>
        <v>0</v>
      </c>
      <c r="F194" s="262">
        <f ca="1">IF(A14stdlife="N/A","n/a",IF(E194=0,0,A14stdlife+D194-Input!$Y$7))</f>
        <v>0</v>
      </c>
      <c r="G194" s="258"/>
      <c r="H194" s="541"/>
      <c r="I194" s="91">
        <v>4</v>
      </c>
      <c r="J194" s="262">
        <f ca="1">OFFSET('Tax value roll forward'!H$53,0,I194-1)-SUM('Tax value roll forward'!H246:OFFSET('Tax value roll forward'!H246,0,Input!$Y$7-1))</f>
        <v>0</v>
      </c>
      <c r="K194" s="262">
        <f ca="1">IF(A14taxstdlife="N/A","n/a",IF(J194=0,0,A14taxstdlife+I194-Input!$Y$7))</f>
        <v>0</v>
      </c>
      <c r="L194" s="115"/>
      <c r="M194" s="9"/>
      <c r="N194" s="9"/>
      <c r="O194" s="9"/>
      <c r="P194" s="9"/>
      <c r="Q194" s="9"/>
      <c r="R194" s="9"/>
      <c r="S194" s="255"/>
      <c r="T194" s="255"/>
      <c r="U194" s="255"/>
      <c r="V194" s="255"/>
      <c r="W194" s="255"/>
      <c r="X194" s="255"/>
      <c r="Y194" s="255"/>
      <c r="Z194" s="255"/>
    </row>
    <row r="195" spans="1:26" hidden="1" outlineLevel="1">
      <c r="A195" s="9"/>
      <c r="B195" s="9"/>
      <c r="C195" s="541"/>
      <c r="D195" s="91">
        <v>5</v>
      </c>
      <c r="E195" s="262">
        <f ca="1">OFFSET('Actual RAB roll forward'!H$57,0,D195-1)-SUM('Actual RAB roll forward'!H251:OFFSET('Actual RAB roll forward'!H251,0,Input!$Y$7-1))</f>
        <v>0</v>
      </c>
      <c r="F195" s="262">
        <f ca="1">IF(A14stdlife="N/A","n/a",IF(E195=0,0,A14stdlife+D195-Input!$Y$7))</f>
        <v>0</v>
      </c>
      <c r="G195" s="258"/>
      <c r="H195" s="541"/>
      <c r="I195" s="91">
        <v>5</v>
      </c>
      <c r="J195" s="262">
        <f ca="1">OFFSET('Tax value roll forward'!H$53,0,I195-1)-SUM('Tax value roll forward'!H247:OFFSET('Tax value roll forward'!H247,0,Input!$Y$7-1))</f>
        <v>0</v>
      </c>
      <c r="K195" s="262">
        <f ca="1">IF(A14taxstdlife="N/A","n/a",IF(J195=0,0,A14taxstdlife+I195-Input!$Y$7))</f>
        <v>0</v>
      </c>
      <c r="L195" s="115"/>
      <c r="M195" s="9"/>
      <c r="N195" s="9"/>
      <c r="O195" s="9"/>
      <c r="P195" s="9"/>
      <c r="Q195" s="9"/>
      <c r="R195" s="9"/>
      <c r="S195" s="255"/>
      <c r="T195" s="255"/>
      <c r="U195" s="255"/>
      <c r="V195" s="255"/>
      <c r="W195" s="255"/>
      <c r="X195" s="255"/>
      <c r="Y195" s="255"/>
      <c r="Z195" s="255"/>
    </row>
    <row r="196" spans="1:26" hidden="1" outlineLevel="1">
      <c r="A196" s="9"/>
      <c r="B196" s="9"/>
      <c r="C196" s="541"/>
      <c r="D196" s="91">
        <v>6</v>
      </c>
      <c r="E196" s="262">
        <f ca="1">OFFSET('Actual RAB roll forward'!H$57,0,D196-1)-SUM('Actual RAB roll forward'!H252:OFFSET('Actual RAB roll forward'!H252,0,Input!$Y$7-1))</f>
        <v>0</v>
      </c>
      <c r="F196" s="262">
        <f ca="1">IF(A14stdlife="N/A","n/a",IF(E196=0,0,A14stdlife+D196-Input!$Y$7))</f>
        <v>0</v>
      </c>
      <c r="G196" s="258"/>
      <c r="H196" s="541"/>
      <c r="I196" s="91">
        <v>6</v>
      </c>
      <c r="J196" s="262">
        <f ca="1">OFFSET('Tax value roll forward'!H$53,0,I196-1)-SUM('Tax value roll forward'!H248:OFFSET('Tax value roll forward'!H248,0,Input!$Y$7-1))</f>
        <v>0</v>
      </c>
      <c r="K196" s="262">
        <f ca="1">IF(A14taxstdlife="N/A","n/a",IF(J196=0,0,A14taxstdlife+I196-Input!$Y$7))</f>
        <v>0</v>
      </c>
      <c r="L196" s="115"/>
      <c r="M196" s="9"/>
      <c r="N196" s="9"/>
      <c r="O196" s="9"/>
      <c r="P196" s="9"/>
      <c r="Q196" s="9"/>
      <c r="R196" s="9"/>
      <c r="S196" s="255"/>
      <c r="T196" s="255"/>
      <c r="U196" s="255"/>
      <c r="V196" s="255"/>
      <c r="W196" s="255"/>
      <c r="X196" s="255"/>
      <c r="Y196" s="255"/>
      <c r="Z196" s="255"/>
    </row>
    <row r="197" spans="1:26" hidden="1" outlineLevel="1">
      <c r="A197" s="9"/>
      <c r="B197" s="9"/>
      <c r="C197" s="541"/>
      <c r="D197" s="91">
        <v>7</v>
      </c>
      <c r="E197" s="262">
        <f ca="1">OFFSET('Actual RAB roll forward'!H$57,0,D197-1)-SUM('Actual RAB roll forward'!H253:OFFSET('Actual RAB roll forward'!H253,0,Input!$Y$7-1))</f>
        <v>0</v>
      </c>
      <c r="F197" s="262">
        <f ca="1">IF(A14stdlife="N/A","n/a",IF(E197=0,0,A14stdlife+D197-Input!$Y$7))</f>
        <v>0</v>
      </c>
      <c r="G197" s="258"/>
      <c r="H197" s="541"/>
      <c r="I197" s="91">
        <v>7</v>
      </c>
      <c r="J197" s="262">
        <f ca="1">OFFSET('Tax value roll forward'!H$53,0,I197-1)-SUM('Tax value roll forward'!H249:OFFSET('Tax value roll forward'!H249,0,Input!$Y$7-1))</f>
        <v>0</v>
      </c>
      <c r="K197" s="262">
        <f ca="1">IF(A14taxstdlife="N/A","n/a",IF(J197=0,0,A14taxstdlife+I197-Input!$Y$7))</f>
        <v>0</v>
      </c>
      <c r="L197" s="115"/>
      <c r="M197" s="9"/>
      <c r="N197" s="9"/>
      <c r="O197" s="9"/>
      <c r="P197" s="9"/>
      <c r="Q197" s="9"/>
      <c r="R197" s="9"/>
      <c r="S197" s="255"/>
      <c r="T197" s="255"/>
      <c r="U197" s="255"/>
      <c r="V197" s="255"/>
      <c r="W197" s="255"/>
      <c r="X197" s="255"/>
      <c r="Y197" s="255"/>
      <c r="Z197" s="255"/>
    </row>
    <row r="198" spans="1:26" hidden="1" outlineLevel="1">
      <c r="A198" s="9"/>
      <c r="B198" s="9"/>
      <c r="C198" s="541"/>
      <c r="D198" s="91">
        <v>8</v>
      </c>
      <c r="E198" s="262">
        <f ca="1">OFFSET('Actual RAB roll forward'!H$57,0,D198-1)-SUM('Actual RAB roll forward'!H254:OFFSET('Actual RAB roll forward'!H254,0,Input!$Y$7-1))</f>
        <v>0</v>
      </c>
      <c r="F198" s="262">
        <f ca="1">IF(A14stdlife="N/A","n/a",IF(E198=0,0,A14stdlife+D198-Input!$Y$7))</f>
        <v>0</v>
      </c>
      <c r="G198" s="258"/>
      <c r="H198" s="541"/>
      <c r="I198" s="91">
        <v>8</v>
      </c>
      <c r="J198" s="262">
        <f ca="1">OFFSET('Tax value roll forward'!H$53,0,I198-1)-SUM('Tax value roll forward'!H250:OFFSET('Tax value roll forward'!H250,0,Input!$Y$7-1))</f>
        <v>0</v>
      </c>
      <c r="K198" s="262">
        <f ca="1">IF(A14taxstdlife="N/A","n/a",IF(J198=0,0,A14taxstdlife+I198-Input!$Y$7))</f>
        <v>0</v>
      </c>
      <c r="L198" s="115"/>
      <c r="M198" s="9"/>
      <c r="N198" s="9"/>
      <c r="O198" s="9"/>
      <c r="P198" s="9"/>
      <c r="Q198" s="9"/>
      <c r="R198" s="9"/>
      <c r="S198" s="255"/>
      <c r="T198" s="255"/>
      <c r="U198" s="255"/>
      <c r="V198" s="255"/>
      <c r="W198" s="255"/>
      <c r="X198" s="255"/>
      <c r="Y198" s="255"/>
      <c r="Z198" s="255"/>
    </row>
    <row r="199" spans="1:26" hidden="1" outlineLevel="1">
      <c r="A199" s="9"/>
      <c r="B199" s="9"/>
      <c r="C199" s="541"/>
      <c r="D199" s="91">
        <v>9</v>
      </c>
      <c r="E199" s="262">
        <f ca="1">OFFSET('Actual RAB roll forward'!H$57,0,D199-1)-SUM('Actual RAB roll forward'!H255:OFFSET('Actual RAB roll forward'!H255,0,Input!$Y$7-1))</f>
        <v>0</v>
      </c>
      <c r="F199" s="262">
        <f ca="1">IF(A14stdlife="N/A","n/a",IF(E199=0,0,A14stdlife+D199-Input!$Y$7))</f>
        <v>0</v>
      </c>
      <c r="G199" s="258"/>
      <c r="H199" s="541"/>
      <c r="I199" s="91">
        <v>9</v>
      </c>
      <c r="J199" s="262">
        <f ca="1">OFFSET('Tax value roll forward'!H$53,0,I199-1)-SUM('Tax value roll forward'!H251:OFFSET('Tax value roll forward'!H251,0,Input!$Y$7-1))</f>
        <v>0</v>
      </c>
      <c r="K199" s="262">
        <f ca="1">IF(A14taxstdlife="N/A","n/a",IF(J199=0,0,A14taxstdlife+I199-Input!$Y$7))</f>
        <v>0</v>
      </c>
      <c r="L199" s="115"/>
      <c r="M199" s="9"/>
      <c r="N199" s="9"/>
      <c r="O199" s="9"/>
      <c r="P199" s="9"/>
      <c r="Q199" s="9"/>
      <c r="R199" s="9"/>
      <c r="S199" s="255"/>
      <c r="T199" s="255"/>
      <c r="U199" s="255"/>
      <c r="V199" s="255"/>
      <c r="W199" s="255"/>
      <c r="X199" s="255"/>
      <c r="Y199" s="255"/>
      <c r="Z199" s="255"/>
    </row>
    <row r="200" spans="1:26" hidden="1" outlineLevel="1">
      <c r="A200" s="9"/>
      <c r="B200" s="9"/>
      <c r="C200" s="542"/>
      <c r="D200" s="92">
        <v>10</v>
      </c>
      <c r="E200" s="262">
        <f ca="1">OFFSET('Actual RAB roll forward'!H$57,0,D200-1)-SUM('Actual RAB roll forward'!H256:OFFSET('Actual RAB roll forward'!H256,0,Input!$Y$7-1))</f>
        <v>0</v>
      </c>
      <c r="F200" s="262">
        <f ca="1">IF(A14stdlife="N/A","n/a",IF(E200=0,0,A14stdlife+D200-Input!$Y$7))</f>
        <v>0</v>
      </c>
      <c r="G200" s="258"/>
      <c r="H200" s="542"/>
      <c r="I200" s="92">
        <v>10</v>
      </c>
      <c r="J200" s="262">
        <f ca="1">OFFSET('Tax value roll forward'!H$53,0,I200-1)-SUM('Tax value roll forward'!H252:OFFSET('Tax value roll forward'!H252,0,Input!$Y$7-1))</f>
        <v>0</v>
      </c>
      <c r="K200" s="262">
        <f ca="1">IF(A14taxstdlife="N/A","n/a",IF(J200=0,0,A14taxstdlife+I200-Input!$Y$7))</f>
        <v>0</v>
      </c>
      <c r="L200" s="115"/>
      <c r="M200" s="9"/>
      <c r="N200" s="9"/>
      <c r="O200" s="9"/>
      <c r="P200" s="9"/>
      <c r="Q200" s="9"/>
      <c r="R200" s="9"/>
      <c r="S200" s="255"/>
      <c r="T200" s="255"/>
      <c r="U200" s="255"/>
      <c r="V200" s="255"/>
      <c r="W200" s="255"/>
      <c r="X200" s="255"/>
      <c r="Y200" s="255"/>
      <c r="Z200" s="255"/>
    </row>
    <row r="201" spans="1:26" collapsed="1">
      <c r="A201" s="9"/>
      <c r="B201" s="9"/>
      <c r="C201" s="275">
        <f>Asset14</f>
        <v>0</v>
      </c>
      <c r="D201" s="9"/>
      <c r="E201" s="262">
        <f ca="1">SUM(E190:E200)</f>
        <v>0</v>
      </c>
      <c r="F201" s="262">
        <f ca="1">IF(E201=0,0,SUMPRODUCT(E190:E200,F190:F200)/E201)</f>
        <v>0</v>
      </c>
      <c r="G201" s="258"/>
      <c r="H201" s="43"/>
      <c r="I201" s="262"/>
      <c r="J201" s="262">
        <f ca="1">SUM(J190:J200)</f>
        <v>0</v>
      </c>
      <c r="K201" s="262">
        <f ca="1">IF(J201=0,0,SUMPRODUCT(J190:J200,K190:K200)/J201)</f>
        <v>0</v>
      </c>
      <c r="L201" s="115"/>
      <c r="M201" s="9"/>
      <c r="N201" s="9"/>
      <c r="O201" s="9"/>
      <c r="P201" s="9"/>
      <c r="Q201" s="9"/>
      <c r="R201" s="9"/>
      <c r="S201" s="255"/>
      <c r="T201" s="255"/>
      <c r="U201" s="255"/>
      <c r="V201" s="255"/>
      <c r="W201" s="255"/>
      <c r="X201" s="255"/>
      <c r="Y201" s="255"/>
      <c r="Z201" s="255"/>
    </row>
    <row r="202" spans="1:26" hidden="1" outlineLevel="1">
      <c r="A202" s="9"/>
      <c r="B202" s="9"/>
      <c r="C202" s="275"/>
      <c r="D202" s="9"/>
      <c r="E202" s="262"/>
      <c r="F202" s="262"/>
      <c r="G202" s="258"/>
      <c r="H202" s="262"/>
      <c r="I202" s="262"/>
      <c r="J202" s="267"/>
      <c r="K202" s="262"/>
      <c r="L202" s="115"/>
      <c r="M202" s="9"/>
      <c r="N202" s="9"/>
      <c r="O202" s="9"/>
      <c r="P202" s="9"/>
      <c r="Q202" s="9"/>
      <c r="R202" s="9"/>
      <c r="S202" s="255"/>
      <c r="T202" s="255"/>
      <c r="U202" s="255"/>
      <c r="V202" s="255"/>
      <c r="W202" s="255"/>
      <c r="X202" s="255"/>
      <c r="Y202" s="255"/>
      <c r="Z202" s="255"/>
    </row>
    <row r="203" spans="1:26" hidden="1" outlineLevel="1">
      <c r="A203" s="9"/>
      <c r="B203" s="273">
        <f>Asset15</f>
        <v>0</v>
      </c>
      <c r="C203" s="9"/>
      <c r="D203" s="9"/>
      <c r="E203" s="35"/>
      <c r="F203" s="35"/>
      <c r="G203" s="258"/>
      <c r="H203" s="262"/>
      <c r="I203" s="262"/>
      <c r="J203" s="267"/>
      <c r="K203" s="262"/>
      <c r="L203" s="115"/>
      <c r="M203" s="9"/>
      <c r="N203" s="9"/>
      <c r="O203" s="9"/>
      <c r="P203" s="9"/>
      <c r="Q203" s="9"/>
      <c r="R203" s="9"/>
      <c r="S203" s="255"/>
      <c r="T203" s="255"/>
      <c r="U203" s="255"/>
      <c r="V203" s="255"/>
      <c r="W203" s="255"/>
      <c r="X203" s="255"/>
      <c r="Y203" s="255"/>
      <c r="Z203" s="255"/>
    </row>
    <row r="204" spans="1:26" ht="12.75" hidden="1" customHeight="1" outlineLevel="1">
      <c r="A204" s="9"/>
      <c r="B204" s="9"/>
      <c r="C204" s="538" t="s">
        <v>5</v>
      </c>
      <c r="D204" s="539"/>
      <c r="E204" s="262">
        <f ca="1">A15value-SUM('Actual RAB roll forward'!H258:OFFSET('Actual RAB roll forward'!H258,0,Input!$Y$7-1))</f>
        <v>0</v>
      </c>
      <c r="F204" s="262">
        <f>IF(A15remlife="N/A","n/a",A15remlife-Input!$Y$7)</f>
        <v>-5</v>
      </c>
      <c r="G204" s="258"/>
      <c r="H204" s="299" t="s">
        <v>43</v>
      </c>
      <c r="I204" s="300"/>
      <c r="J204" s="262">
        <f ca="1">A15taxvalue-SUM('Tax value roll forward'!H254:OFFSET('Tax value roll forward'!H254,0,Input!$Y$7-1))</f>
        <v>0</v>
      </c>
      <c r="K204" s="262">
        <f>IF(A15taxremlife="N/A","n/a",A15taxremlife-Input!$Y$7)</f>
        <v>-5</v>
      </c>
      <c r="L204" s="115"/>
      <c r="M204" s="9"/>
      <c r="N204" s="9"/>
      <c r="O204" s="9"/>
      <c r="P204" s="9"/>
      <c r="Q204" s="9"/>
      <c r="R204" s="9"/>
      <c r="S204" s="255"/>
      <c r="T204" s="255"/>
      <c r="U204" s="255"/>
      <c r="V204" s="255"/>
      <c r="W204" s="255"/>
      <c r="X204" s="255"/>
      <c r="Y204" s="255"/>
      <c r="Z204" s="255"/>
    </row>
    <row r="205" spans="1:26" hidden="1" outlineLevel="1">
      <c r="A205" s="9"/>
      <c r="B205" s="9"/>
      <c r="C205" s="540" t="s">
        <v>59</v>
      </c>
      <c r="D205" s="91">
        <v>1</v>
      </c>
      <c r="E205" s="262">
        <f ca="1">OFFSET('Actual RAB roll forward'!H$58,0,D205-1)-SUM('Actual RAB roll forward'!H260:OFFSET('Actual RAB roll forward'!H260,0,Input!$Y$7-1))</f>
        <v>0</v>
      </c>
      <c r="F205" s="262">
        <f ca="1">IF(A15stdlife="N/A","n/a",IF(E205=0,0,A15stdlife+D205-Input!$Y$7))</f>
        <v>0</v>
      </c>
      <c r="G205" s="258"/>
      <c r="H205" s="540" t="s">
        <v>59</v>
      </c>
      <c r="I205" s="91">
        <v>1</v>
      </c>
      <c r="J205" s="262">
        <f ca="1">OFFSET('Tax value roll forward'!H$54,0,I205-1)-SUM('Tax value roll forward'!H256:OFFSET('Tax value roll forward'!H256,0,Input!$Y$7-1))</f>
        <v>0</v>
      </c>
      <c r="K205" s="262">
        <f ca="1">IF(A15taxstdlife="N/A","n/a",IF(J205=0,0,A15taxstdlife+I205-Input!$Y$7))</f>
        <v>0</v>
      </c>
      <c r="L205" s="115"/>
      <c r="M205" s="9"/>
      <c r="N205" s="9"/>
      <c r="O205" s="9"/>
      <c r="P205" s="9"/>
      <c r="Q205" s="9"/>
      <c r="R205" s="9"/>
      <c r="S205" s="255"/>
      <c r="T205" s="255"/>
      <c r="U205" s="255"/>
      <c r="V205" s="255"/>
      <c r="W205" s="255"/>
      <c r="X205" s="255"/>
      <c r="Y205" s="255"/>
      <c r="Z205" s="255"/>
    </row>
    <row r="206" spans="1:26" hidden="1" outlineLevel="1">
      <c r="A206" s="9"/>
      <c r="B206" s="9"/>
      <c r="C206" s="541"/>
      <c r="D206" s="91">
        <v>2</v>
      </c>
      <c r="E206" s="262">
        <f ca="1">OFFSET('Actual RAB roll forward'!H$58,0,D206-1)-SUM('Actual RAB roll forward'!H261:OFFSET('Actual RAB roll forward'!H261,0,Input!$Y$7-1))</f>
        <v>0</v>
      </c>
      <c r="F206" s="262">
        <f ca="1">IF(A15stdlife="N/A","n/a",IF(E206=0,0,A15stdlife+D206-Input!$Y$7))</f>
        <v>0</v>
      </c>
      <c r="G206" s="258"/>
      <c r="H206" s="541"/>
      <c r="I206" s="91">
        <v>2</v>
      </c>
      <c r="J206" s="262">
        <f ca="1">OFFSET('Tax value roll forward'!H$54,0,I206-1)-SUM('Tax value roll forward'!H257:OFFSET('Tax value roll forward'!H257,0,Input!$Y$7-1))</f>
        <v>0</v>
      </c>
      <c r="K206" s="262">
        <f ca="1">IF(A15taxstdlife="N/A","n/a",IF(J206=0,0,A15taxstdlife+I206-Input!$Y$7))</f>
        <v>0</v>
      </c>
      <c r="L206" s="115"/>
      <c r="M206" s="9"/>
      <c r="N206" s="9"/>
      <c r="O206" s="9"/>
      <c r="P206" s="9"/>
      <c r="Q206" s="9"/>
      <c r="R206" s="9"/>
      <c r="S206" s="255"/>
      <c r="T206" s="255"/>
      <c r="U206" s="255"/>
      <c r="V206" s="255"/>
      <c r="W206" s="255"/>
      <c r="X206" s="255"/>
      <c r="Y206" s="255"/>
      <c r="Z206" s="255"/>
    </row>
    <row r="207" spans="1:26" hidden="1" outlineLevel="1">
      <c r="A207" s="9"/>
      <c r="B207" s="9"/>
      <c r="C207" s="541"/>
      <c r="D207" s="91">
        <v>3</v>
      </c>
      <c r="E207" s="262">
        <f ca="1">OFFSET('Actual RAB roll forward'!H$58,0,D207-1)-SUM('Actual RAB roll forward'!H262:OFFSET('Actual RAB roll forward'!H262,0,Input!$Y$7-1))</f>
        <v>0</v>
      </c>
      <c r="F207" s="262">
        <f ca="1">IF(A15stdlife="N/A","n/a",IF(E207=0,0,A15stdlife+D207-Input!$Y$7))</f>
        <v>0</v>
      </c>
      <c r="G207" s="258"/>
      <c r="H207" s="541"/>
      <c r="I207" s="91">
        <v>3</v>
      </c>
      <c r="J207" s="262">
        <f ca="1">OFFSET('Tax value roll forward'!H$54,0,I207-1)-SUM('Tax value roll forward'!H258:OFFSET('Tax value roll forward'!H258,0,Input!$Y$7-1))</f>
        <v>0</v>
      </c>
      <c r="K207" s="262">
        <f ca="1">IF(A15taxstdlife="N/A","n/a",IF(J207=0,0,A15taxstdlife+I207-Input!$Y$7))</f>
        <v>0</v>
      </c>
      <c r="L207" s="115"/>
      <c r="M207" s="9"/>
      <c r="N207" s="9"/>
      <c r="O207" s="9"/>
      <c r="P207" s="9"/>
      <c r="Q207" s="9"/>
      <c r="R207" s="9"/>
      <c r="S207" s="255"/>
      <c r="T207" s="255"/>
      <c r="U207" s="255"/>
      <c r="V207" s="255"/>
      <c r="W207" s="255"/>
      <c r="X207" s="255"/>
      <c r="Y207" s="255"/>
      <c r="Z207" s="255"/>
    </row>
    <row r="208" spans="1:26" hidden="1" outlineLevel="1">
      <c r="A208" s="9"/>
      <c r="B208" s="9"/>
      <c r="C208" s="541"/>
      <c r="D208" s="91">
        <v>4</v>
      </c>
      <c r="E208" s="262">
        <f ca="1">OFFSET('Actual RAB roll forward'!H$58,0,D208-1)-SUM('Actual RAB roll forward'!H263:OFFSET('Actual RAB roll forward'!H263,0,Input!$Y$7-1))</f>
        <v>0</v>
      </c>
      <c r="F208" s="262">
        <f ca="1">IF(A15stdlife="N/A","n/a",IF(E208=0,0,A15stdlife+D208-Input!$Y$7))</f>
        <v>0</v>
      </c>
      <c r="G208" s="258"/>
      <c r="H208" s="541"/>
      <c r="I208" s="91">
        <v>4</v>
      </c>
      <c r="J208" s="262">
        <f ca="1">OFFSET('Tax value roll forward'!H$54,0,I208-1)-SUM('Tax value roll forward'!H259:OFFSET('Tax value roll forward'!H259,0,Input!$Y$7-1))</f>
        <v>0</v>
      </c>
      <c r="K208" s="262">
        <f ca="1">IF(A15taxstdlife="N/A","n/a",IF(J208=0,0,A15taxstdlife+I208-Input!$Y$7))</f>
        <v>0</v>
      </c>
      <c r="L208" s="115"/>
      <c r="M208" s="9"/>
      <c r="N208" s="9"/>
      <c r="O208" s="9"/>
      <c r="P208" s="9"/>
      <c r="Q208" s="9"/>
      <c r="R208" s="9"/>
      <c r="S208" s="255"/>
      <c r="T208" s="255"/>
      <c r="U208" s="255"/>
      <c r="V208" s="255"/>
      <c r="W208" s="255"/>
      <c r="X208" s="255"/>
      <c r="Y208" s="255"/>
      <c r="Z208" s="255"/>
    </row>
    <row r="209" spans="1:26" hidden="1" outlineLevel="1">
      <c r="A209" s="9"/>
      <c r="B209" s="9"/>
      <c r="C209" s="541"/>
      <c r="D209" s="91">
        <v>5</v>
      </c>
      <c r="E209" s="262">
        <f ca="1">OFFSET('Actual RAB roll forward'!H$58,0,D209-1)-SUM('Actual RAB roll forward'!H264:OFFSET('Actual RAB roll forward'!H264,0,Input!$Y$7-1))</f>
        <v>0</v>
      </c>
      <c r="F209" s="262">
        <f ca="1">IF(A15stdlife="N/A","n/a",IF(E209=0,0,A15stdlife+D209-Input!$Y$7))</f>
        <v>0</v>
      </c>
      <c r="G209" s="258"/>
      <c r="H209" s="541"/>
      <c r="I209" s="91">
        <v>5</v>
      </c>
      <c r="J209" s="262">
        <f ca="1">OFFSET('Tax value roll forward'!H$54,0,I209-1)-SUM('Tax value roll forward'!H260:OFFSET('Tax value roll forward'!H260,0,Input!$Y$7-1))</f>
        <v>0</v>
      </c>
      <c r="K209" s="262">
        <f ca="1">IF(A15taxstdlife="N/A","n/a",IF(J209=0,0,A15taxstdlife+I209-Input!$Y$7))</f>
        <v>0</v>
      </c>
      <c r="L209" s="115"/>
      <c r="M209" s="9"/>
      <c r="N209" s="9"/>
      <c r="O209" s="9"/>
      <c r="P209" s="9"/>
      <c r="Q209" s="9"/>
      <c r="R209" s="9"/>
      <c r="S209" s="255"/>
      <c r="T209" s="255"/>
      <c r="U209" s="255"/>
      <c r="V209" s="255"/>
      <c r="W209" s="255"/>
      <c r="X209" s="255"/>
      <c r="Y209" s="255"/>
      <c r="Z209" s="255"/>
    </row>
    <row r="210" spans="1:26" hidden="1" outlineLevel="1">
      <c r="A210" s="9"/>
      <c r="B210" s="9"/>
      <c r="C210" s="541"/>
      <c r="D210" s="91">
        <v>6</v>
      </c>
      <c r="E210" s="262">
        <f ca="1">OFFSET('Actual RAB roll forward'!H$58,0,D210-1)-SUM('Actual RAB roll forward'!H265:OFFSET('Actual RAB roll forward'!H265,0,Input!$Y$7-1))</f>
        <v>0</v>
      </c>
      <c r="F210" s="262">
        <f ca="1">IF(A15stdlife="N/A","n/a",IF(E210=0,0,A15stdlife+D210-Input!$Y$7))</f>
        <v>0</v>
      </c>
      <c r="G210" s="258"/>
      <c r="H210" s="541"/>
      <c r="I210" s="91">
        <v>6</v>
      </c>
      <c r="J210" s="262">
        <f ca="1">OFFSET('Tax value roll forward'!H$54,0,I210-1)-SUM('Tax value roll forward'!H261:OFFSET('Tax value roll forward'!H261,0,Input!$Y$7-1))</f>
        <v>0</v>
      </c>
      <c r="K210" s="262">
        <f ca="1">IF(A15taxstdlife="N/A","n/a",IF(J210=0,0,A15taxstdlife+I210-Input!$Y$7))</f>
        <v>0</v>
      </c>
      <c r="L210" s="115"/>
      <c r="M210" s="9"/>
      <c r="N210" s="9"/>
      <c r="O210" s="9"/>
      <c r="P210" s="9"/>
      <c r="Q210" s="9"/>
      <c r="R210" s="9"/>
      <c r="S210" s="255"/>
      <c r="T210" s="255"/>
      <c r="U210" s="255"/>
      <c r="V210" s="255"/>
      <c r="W210" s="255"/>
      <c r="X210" s="255"/>
      <c r="Y210" s="255"/>
      <c r="Z210" s="255"/>
    </row>
    <row r="211" spans="1:26" hidden="1" outlineLevel="1">
      <c r="A211" s="9"/>
      <c r="B211" s="9"/>
      <c r="C211" s="541"/>
      <c r="D211" s="91">
        <v>7</v>
      </c>
      <c r="E211" s="262">
        <f ca="1">OFFSET('Actual RAB roll forward'!H$58,0,D211-1)-SUM('Actual RAB roll forward'!H266:OFFSET('Actual RAB roll forward'!H266,0,Input!$Y$7-1))</f>
        <v>0</v>
      </c>
      <c r="F211" s="262">
        <f ca="1">IF(A15stdlife="N/A","n/a",IF(E211=0,0,A15stdlife+D211-Input!$Y$7))</f>
        <v>0</v>
      </c>
      <c r="G211" s="258"/>
      <c r="H211" s="541"/>
      <c r="I211" s="91">
        <v>7</v>
      </c>
      <c r="J211" s="262">
        <f ca="1">OFFSET('Tax value roll forward'!H$54,0,I211-1)-SUM('Tax value roll forward'!H262:OFFSET('Tax value roll forward'!H262,0,Input!$Y$7-1))</f>
        <v>0</v>
      </c>
      <c r="K211" s="262">
        <f ca="1">IF(A15taxstdlife="N/A","n/a",IF(J211=0,0,A15taxstdlife+I211-Input!$Y$7))</f>
        <v>0</v>
      </c>
      <c r="L211" s="115"/>
      <c r="M211" s="9"/>
      <c r="N211" s="9"/>
      <c r="O211" s="9"/>
      <c r="P211" s="9"/>
      <c r="Q211" s="9"/>
      <c r="R211" s="9"/>
      <c r="S211" s="255"/>
      <c r="T211" s="255"/>
      <c r="U211" s="255"/>
      <c r="V211" s="255"/>
      <c r="W211" s="255"/>
      <c r="X211" s="255"/>
      <c r="Y211" s="255"/>
      <c r="Z211" s="255"/>
    </row>
    <row r="212" spans="1:26" hidden="1" outlineLevel="1">
      <c r="A212" s="9"/>
      <c r="B212" s="9"/>
      <c r="C212" s="541"/>
      <c r="D212" s="91">
        <v>8</v>
      </c>
      <c r="E212" s="262">
        <f ca="1">OFFSET('Actual RAB roll forward'!H$58,0,D212-1)-SUM('Actual RAB roll forward'!H267:OFFSET('Actual RAB roll forward'!H267,0,Input!$Y$7-1))</f>
        <v>0</v>
      </c>
      <c r="F212" s="262">
        <f ca="1">IF(A15stdlife="N/A","n/a",IF(E212=0,0,A15stdlife+D212-Input!$Y$7))</f>
        <v>0</v>
      </c>
      <c r="G212" s="258"/>
      <c r="H212" s="541"/>
      <c r="I212" s="91">
        <v>8</v>
      </c>
      <c r="J212" s="262">
        <f ca="1">OFFSET('Tax value roll forward'!H$54,0,I212-1)-SUM('Tax value roll forward'!H263:OFFSET('Tax value roll forward'!H263,0,Input!$Y$7-1))</f>
        <v>0</v>
      </c>
      <c r="K212" s="262">
        <f ca="1">IF(A15taxstdlife="N/A","n/a",IF(J212=0,0,A15taxstdlife+I212-Input!$Y$7))</f>
        <v>0</v>
      </c>
      <c r="L212" s="115"/>
      <c r="M212" s="9"/>
      <c r="N212" s="9"/>
      <c r="O212" s="9"/>
      <c r="P212" s="9"/>
      <c r="Q212" s="9"/>
      <c r="R212" s="9"/>
      <c r="S212" s="255"/>
      <c r="T212" s="255"/>
      <c r="U212" s="255"/>
      <c r="V212" s="255"/>
      <c r="W212" s="255"/>
      <c r="X212" s="255"/>
      <c r="Y212" s="255"/>
      <c r="Z212" s="255"/>
    </row>
    <row r="213" spans="1:26" hidden="1" outlineLevel="1">
      <c r="A213" s="9"/>
      <c r="B213" s="9"/>
      <c r="C213" s="541"/>
      <c r="D213" s="91">
        <v>9</v>
      </c>
      <c r="E213" s="262">
        <f ca="1">OFFSET('Actual RAB roll forward'!H$58,0,D213-1)-SUM('Actual RAB roll forward'!H268:OFFSET('Actual RAB roll forward'!H268,0,Input!$Y$7-1))</f>
        <v>0</v>
      </c>
      <c r="F213" s="262">
        <f ca="1">IF(A15stdlife="N/A","n/a",IF(E213=0,0,A15stdlife+D213-Input!$Y$7))</f>
        <v>0</v>
      </c>
      <c r="G213" s="258"/>
      <c r="H213" s="541"/>
      <c r="I213" s="91">
        <v>9</v>
      </c>
      <c r="J213" s="262">
        <f ca="1">OFFSET('Tax value roll forward'!H$54,0,I213-1)-SUM('Tax value roll forward'!H264:OFFSET('Tax value roll forward'!H264,0,Input!$Y$7-1))</f>
        <v>0</v>
      </c>
      <c r="K213" s="262">
        <f ca="1">IF(A15taxstdlife="N/A","n/a",IF(J213=0,0,A15taxstdlife+I213-Input!$Y$7))</f>
        <v>0</v>
      </c>
      <c r="L213" s="115"/>
      <c r="M213" s="9"/>
      <c r="N213" s="9"/>
      <c r="O213" s="9"/>
      <c r="P213" s="9"/>
      <c r="Q213" s="9"/>
      <c r="R213" s="9"/>
      <c r="S213" s="255"/>
      <c r="T213" s="255"/>
      <c r="U213" s="255"/>
      <c r="V213" s="255"/>
      <c r="W213" s="255"/>
      <c r="X213" s="255"/>
      <c r="Y213" s="255"/>
      <c r="Z213" s="255"/>
    </row>
    <row r="214" spans="1:26" hidden="1" outlineLevel="1">
      <c r="A214" s="9"/>
      <c r="B214" s="9"/>
      <c r="C214" s="542"/>
      <c r="D214" s="92">
        <v>10</v>
      </c>
      <c r="E214" s="262">
        <f ca="1">OFFSET('Actual RAB roll forward'!H$58,0,D214-1)-SUM('Actual RAB roll forward'!H269:OFFSET('Actual RAB roll forward'!H269,0,Input!$Y$7-1))</f>
        <v>0</v>
      </c>
      <c r="F214" s="262">
        <f ca="1">IF(A15stdlife="N/A","n/a",IF(E214=0,0,A15stdlife+D214-Input!$Y$7))</f>
        <v>0</v>
      </c>
      <c r="G214" s="258"/>
      <c r="H214" s="542"/>
      <c r="I214" s="92">
        <v>10</v>
      </c>
      <c r="J214" s="262">
        <f ca="1">OFFSET('Tax value roll forward'!H$54,0,I214-1)-SUM('Tax value roll forward'!H265:OFFSET('Tax value roll forward'!H265,0,Input!$Y$7-1))</f>
        <v>0</v>
      </c>
      <c r="K214" s="262">
        <f ca="1">IF(A15taxstdlife="N/A","n/a",IF(J214=0,0,A15taxstdlife+I214-Input!$Y$7))</f>
        <v>0</v>
      </c>
      <c r="L214" s="115"/>
      <c r="M214" s="9"/>
      <c r="N214" s="9"/>
      <c r="O214" s="9"/>
      <c r="P214" s="9"/>
      <c r="Q214" s="9"/>
      <c r="R214" s="9"/>
      <c r="S214" s="255"/>
      <c r="T214" s="255"/>
      <c r="U214" s="255"/>
      <c r="V214" s="255"/>
      <c r="W214" s="255"/>
      <c r="X214" s="255"/>
      <c r="Y214" s="255"/>
      <c r="Z214" s="255"/>
    </row>
    <row r="215" spans="1:26" collapsed="1">
      <c r="A215" s="9"/>
      <c r="B215" s="9"/>
      <c r="C215" s="275">
        <f>Asset15</f>
        <v>0</v>
      </c>
      <c r="D215" s="9"/>
      <c r="E215" s="262">
        <f ca="1">SUM(E204:E214)</f>
        <v>0</v>
      </c>
      <c r="F215" s="262">
        <f ca="1">IF(E215=0,0,SUMPRODUCT(E204:E214,F204:F214)/E215)</f>
        <v>0</v>
      </c>
      <c r="G215" s="258"/>
      <c r="H215" s="43"/>
      <c r="I215" s="262"/>
      <c r="J215" s="262">
        <f ca="1">SUM(J204:J214)</f>
        <v>0</v>
      </c>
      <c r="K215" s="262">
        <f ca="1">IF(J215=0,0,SUMPRODUCT(J204:J214,K204:K214)/J215)</f>
        <v>0</v>
      </c>
      <c r="L215" s="115"/>
      <c r="M215" s="9"/>
      <c r="N215" s="9"/>
      <c r="O215" s="9"/>
      <c r="P215" s="9"/>
      <c r="Q215" s="9"/>
      <c r="R215" s="9"/>
      <c r="S215" s="255"/>
      <c r="T215" s="255"/>
      <c r="U215" s="255"/>
      <c r="V215" s="255"/>
      <c r="W215" s="255"/>
      <c r="X215" s="255"/>
      <c r="Y215" s="255"/>
      <c r="Z215" s="255"/>
    </row>
    <row r="216" spans="1:26" hidden="1" outlineLevel="1">
      <c r="A216" s="9"/>
      <c r="B216" s="9"/>
      <c r="C216" s="275"/>
      <c r="D216" s="9"/>
      <c r="E216" s="262"/>
      <c r="F216" s="262"/>
      <c r="G216" s="258"/>
      <c r="H216" s="262"/>
      <c r="I216" s="262"/>
      <c r="J216" s="267"/>
      <c r="K216" s="262"/>
      <c r="L216" s="115"/>
      <c r="M216" s="9"/>
      <c r="N216" s="9"/>
      <c r="O216" s="9"/>
      <c r="P216" s="9"/>
      <c r="Q216" s="9"/>
      <c r="R216" s="9"/>
      <c r="S216" s="255"/>
      <c r="T216" s="255"/>
      <c r="U216" s="255"/>
      <c r="V216" s="255"/>
      <c r="W216" s="255"/>
      <c r="X216" s="255"/>
      <c r="Y216" s="255"/>
      <c r="Z216" s="255"/>
    </row>
    <row r="217" spans="1:26" hidden="1" outlineLevel="1">
      <c r="A217" s="9"/>
      <c r="B217" s="273">
        <f>Asset16</f>
        <v>0</v>
      </c>
      <c r="C217" s="9"/>
      <c r="D217" s="9"/>
      <c r="E217" s="35"/>
      <c r="F217" s="35"/>
      <c r="G217" s="258"/>
      <c r="H217" s="262"/>
      <c r="I217" s="262"/>
      <c r="J217" s="267"/>
      <c r="K217" s="262"/>
      <c r="L217" s="115"/>
      <c r="M217" s="9"/>
      <c r="N217" s="9"/>
      <c r="O217" s="9"/>
      <c r="P217" s="9"/>
      <c r="Q217" s="9"/>
      <c r="R217" s="9"/>
      <c r="S217" s="255"/>
      <c r="T217" s="255"/>
      <c r="U217" s="255"/>
      <c r="V217" s="255"/>
      <c r="W217" s="255"/>
      <c r="X217" s="255"/>
      <c r="Y217" s="255"/>
      <c r="Z217" s="255"/>
    </row>
    <row r="218" spans="1:26" ht="12.75" hidden="1" customHeight="1" outlineLevel="1">
      <c r="A218" s="9"/>
      <c r="B218" s="35"/>
      <c r="C218" s="538" t="s">
        <v>5</v>
      </c>
      <c r="D218" s="539"/>
      <c r="E218" s="262">
        <f ca="1">A16value-SUM('Actual RAB roll forward'!H271:OFFSET('Actual RAB roll forward'!H271,0,Input!$Y$7-1))</f>
        <v>0</v>
      </c>
      <c r="F218" s="262">
        <f>IF(A16remlife="N/A","n/a",A16remlife-Input!$Y$7)</f>
        <v>-5</v>
      </c>
      <c r="G218" s="258"/>
      <c r="H218" s="299" t="s">
        <v>43</v>
      </c>
      <c r="I218" s="300"/>
      <c r="J218" s="262">
        <f ca="1">A16taxvalue-SUM('Tax value roll forward'!H267:OFFSET('Tax value roll forward'!H267,0,Input!$Y$7-1))</f>
        <v>0</v>
      </c>
      <c r="K218" s="262">
        <f>IF(A16taxremlife="N/A","n/a",A16taxremlife-Input!$Y$7)</f>
        <v>-5</v>
      </c>
      <c r="L218" s="115"/>
      <c r="M218" s="9"/>
      <c r="N218" s="9"/>
      <c r="O218" s="9"/>
      <c r="P218" s="9"/>
      <c r="Q218" s="9"/>
      <c r="R218" s="9"/>
      <c r="S218" s="255"/>
      <c r="T218" s="255"/>
      <c r="U218" s="255"/>
      <c r="V218" s="255"/>
      <c r="W218" s="255"/>
      <c r="X218" s="255"/>
      <c r="Y218" s="255"/>
      <c r="Z218" s="255"/>
    </row>
    <row r="219" spans="1:26" hidden="1" outlineLevel="1">
      <c r="A219" s="9"/>
      <c r="B219" s="9"/>
      <c r="C219" s="540" t="s">
        <v>59</v>
      </c>
      <c r="D219" s="91">
        <v>1</v>
      </c>
      <c r="E219" s="262">
        <f ca="1">OFFSET('Actual RAB roll forward'!H$59,0,D219-1)-SUM('Actual RAB roll forward'!H273:OFFSET('Actual RAB roll forward'!H273,0,Input!$Y$7-1))</f>
        <v>0</v>
      </c>
      <c r="F219" s="262">
        <f ca="1">IF(A16stdlife="N/A","n/a",IF(E219=0,0,A16stdlife+D219-Input!$Y$7))</f>
        <v>0</v>
      </c>
      <c r="G219" s="258"/>
      <c r="H219" s="540" t="s">
        <v>59</v>
      </c>
      <c r="I219" s="91">
        <v>1</v>
      </c>
      <c r="J219" s="262">
        <f ca="1">OFFSET('Tax value roll forward'!H$55,0,I219-1)-SUM('Tax value roll forward'!H269:OFFSET('Tax value roll forward'!H269,0,Input!$Y$7-1))</f>
        <v>0</v>
      </c>
      <c r="K219" s="262">
        <f ca="1">IF(A16taxstdlife="N/A","n/a",IF(J219=0,0,A16taxstdlife+I219-Input!$Y$7))</f>
        <v>0</v>
      </c>
      <c r="L219" s="115"/>
      <c r="M219" s="9"/>
      <c r="N219" s="9"/>
      <c r="O219" s="9"/>
      <c r="P219" s="9"/>
      <c r="Q219" s="9"/>
      <c r="R219" s="9"/>
      <c r="S219" s="255"/>
      <c r="T219" s="255"/>
      <c r="U219" s="255"/>
      <c r="V219" s="255"/>
      <c r="W219" s="255"/>
      <c r="X219" s="255"/>
      <c r="Y219" s="255"/>
      <c r="Z219" s="255"/>
    </row>
    <row r="220" spans="1:26" hidden="1" outlineLevel="1">
      <c r="A220" s="9"/>
      <c r="B220" s="9"/>
      <c r="C220" s="541"/>
      <c r="D220" s="91">
        <v>2</v>
      </c>
      <c r="E220" s="262">
        <f ca="1">OFFSET('Actual RAB roll forward'!H$59,0,D220-1)-SUM('Actual RAB roll forward'!H274:OFFSET('Actual RAB roll forward'!H274,0,Input!$Y$7-1))</f>
        <v>0</v>
      </c>
      <c r="F220" s="262">
        <f ca="1">IF(A16stdlife="N/A","n/a",IF(E220=0,0,A16stdlife+D220-Input!$Y$7))</f>
        <v>0</v>
      </c>
      <c r="G220" s="258"/>
      <c r="H220" s="541"/>
      <c r="I220" s="91">
        <v>2</v>
      </c>
      <c r="J220" s="262">
        <f ca="1">OFFSET('Tax value roll forward'!H$55,0,I220-1)-SUM('Tax value roll forward'!H270:OFFSET('Tax value roll forward'!H270,0,Input!$Y$7-1))</f>
        <v>0</v>
      </c>
      <c r="K220" s="262">
        <f ca="1">IF(A16taxstdlife="N/A","n/a",IF(J220=0,0,A16taxstdlife+I220-Input!$Y$7))</f>
        <v>0</v>
      </c>
      <c r="L220" s="115"/>
      <c r="M220" s="9"/>
      <c r="N220" s="9"/>
      <c r="O220" s="9"/>
      <c r="P220" s="9"/>
      <c r="Q220" s="9"/>
      <c r="R220" s="9"/>
      <c r="S220" s="255"/>
      <c r="T220" s="255"/>
      <c r="U220" s="255"/>
      <c r="V220" s="255"/>
      <c r="W220" s="255"/>
      <c r="X220" s="255"/>
      <c r="Y220" s="255"/>
      <c r="Z220" s="255"/>
    </row>
    <row r="221" spans="1:26" hidden="1" outlineLevel="1">
      <c r="A221" s="9"/>
      <c r="B221" s="9"/>
      <c r="C221" s="541"/>
      <c r="D221" s="91">
        <v>3</v>
      </c>
      <c r="E221" s="262">
        <f ca="1">OFFSET('Actual RAB roll forward'!H$59,0,D221-1)-SUM('Actual RAB roll forward'!H275:OFFSET('Actual RAB roll forward'!H275,0,Input!$Y$7-1))</f>
        <v>0</v>
      </c>
      <c r="F221" s="262">
        <f ca="1">IF(A16stdlife="N/A","n/a",IF(E221=0,0,A16stdlife+D221-Input!$Y$7))</f>
        <v>0</v>
      </c>
      <c r="G221" s="258"/>
      <c r="H221" s="541"/>
      <c r="I221" s="91">
        <v>3</v>
      </c>
      <c r="J221" s="262">
        <f ca="1">OFFSET('Tax value roll forward'!H$55,0,I221-1)-SUM('Tax value roll forward'!H271:OFFSET('Tax value roll forward'!H271,0,Input!$Y$7-1))</f>
        <v>0</v>
      </c>
      <c r="K221" s="262">
        <f ca="1">IF(A16taxstdlife="N/A","n/a",IF(J221=0,0,A16taxstdlife+I221-Input!$Y$7))</f>
        <v>0</v>
      </c>
      <c r="L221" s="115"/>
      <c r="M221" s="9"/>
      <c r="N221" s="9"/>
      <c r="O221" s="9"/>
      <c r="P221" s="9"/>
      <c r="Q221" s="9"/>
      <c r="R221" s="9"/>
      <c r="S221" s="255"/>
      <c r="T221" s="255"/>
      <c r="U221" s="255"/>
      <c r="V221" s="255"/>
      <c r="W221" s="255"/>
      <c r="X221" s="255"/>
      <c r="Y221" s="255"/>
      <c r="Z221" s="255"/>
    </row>
    <row r="222" spans="1:26" hidden="1" outlineLevel="1">
      <c r="A222" s="9"/>
      <c r="B222" s="9"/>
      <c r="C222" s="541"/>
      <c r="D222" s="91">
        <v>4</v>
      </c>
      <c r="E222" s="262">
        <f ca="1">OFFSET('Actual RAB roll forward'!H$59,0,D222-1)-SUM('Actual RAB roll forward'!H276:OFFSET('Actual RAB roll forward'!H276,0,Input!$Y$7-1))</f>
        <v>0</v>
      </c>
      <c r="F222" s="262">
        <f ca="1">IF(A16stdlife="N/A","n/a",IF(E222=0,0,A16stdlife+D222-Input!$Y$7))</f>
        <v>0</v>
      </c>
      <c r="G222" s="258"/>
      <c r="H222" s="541"/>
      <c r="I222" s="91">
        <v>4</v>
      </c>
      <c r="J222" s="262">
        <f ca="1">OFFSET('Tax value roll forward'!H$55,0,I222-1)-SUM('Tax value roll forward'!H272:OFFSET('Tax value roll forward'!H272,0,Input!$Y$7-1))</f>
        <v>0</v>
      </c>
      <c r="K222" s="262">
        <f ca="1">IF(A16taxstdlife="N/A","n/a",IF(J222=0,0,A16taxstdlife+I222-Input!$Y$7))</f>
        <v>0</v>
      </c>
      <c r="L222" s="115"/>
      <c r="M222" s="9"/>
      <c r="N222" s="9"/>
      <c r="O222" s="9"/>
      <c r="P222" s="9"/>
      <c r="Q222" s="9"/>
      <c r="R222" s="9"/>
      <c r="S222" s="255"/>
      <c r="T222" s="255"/>
      <c r="U222" s="255"/>
      <c r="V222" s="255"/>
      <c r="W222" s="255"/>
      <c r="X222" s="255"/>
      <c r="Y222" s="255"/>
      <c r="Z222" s="255"/>
    </row>
    <row r="223" spans="1:26" hidden="1" outlineLevel="1">
      <c r="A223" s="9"/>
      <c r="B223" s="9"/>
      <c r="C223" s="541"/>
      <c r="D223" s="91">
        <v>5</v>
      </c>
      <c r="E223" s="262">
        <f ca="1">OFFSET('Actual RAB roll forward'!H$59,0,D223-1)-SUM('Actual RAB roll forward'!H277:OFFSET('Actual RAB roll forward'!H277,0,Input!$Y$7-1))</f>
        <v>0</v>
      </c>
      <c r="F223" s="262">
        <f ca="1">IF(A16stdlife="N/A","n/a",IF(E223=0,0,A16stdlife+D223-Input!$Y$7))</f>
        <v>0</v>
      </c>
      <c r="G223" s="258"/>
      <c r="H223" s="541"/>
      <c r="I223" s="91">
        <v>5</v>
      </c>
      <c r="J223" s="262">
        <f ca="1">OFFSET('Tax value roll forward'!H$55,0,I223-1)-SUM('Tax value roll forward'!H273:OFFSET('Tax value roll forward'!H273,0,Input!$Y$7-1))</f>
        <v>0</v>
      </c>
      <c r="K223" s="262">
        <f ca="1">IF(A16taxstdlife="N/A","n/a",IF(J223=0,0,A16taxstdlife+I223-Input!$Y$7))</f>
        <v>0</v>
      </c>
      <c r="L223" s="115"/>
      <c r="M223" s="9"/>
      <c r="N223" s="9"/>
      <c r="O223" s="9"/>
      <c r="P223" s="9"/>
      <c r="Q223" s="9"/>
      <c r="R223" s="9"/>
      <c r="S223" s="255"/>
      <c r="T223" s="255"/>
      <c r="U223" s="255"/>
      <c r="V223" s="255"/>
      <c r="W223" s="255"/>
      <c r="X223" s="255"/>
      <c r="Y223" s="255"/>
      <c r="Z223" s="255"/>
    </row>
    <row r="224" spans="1:26" hidden="1" outlineLevel="1">
      <c r="A224" s="9"/>
      <c r="B224" s="9"/>
      <c r="C224" s="541"/>
      <c r="D224" s="91">
        <v>6</v>
      </c>
      <c r="E224" s="262">
        <f ca="1">OFFSET('Actual RAB roll forward'!H$59,0,D224-1)-SUM('Actual RAB roll forward'!H278:OFFSET('Actual RAB roll forward'!H278,0,Input!$Y$7-1))</f>
        <v>0</v>
      </c>
      <c r="F224" s="262">
        <f ca="1">IF(A16stdlife="N/A","n/a",IF(E224=0,0,A16stdlife+D224-Input!$Y$7))</f>
        <v>0</v>
      </c>
      <c r="G224" s="258"/>
      <c r="H224" s="541"/>
      <c r="I224" s="91">
        <v>6</v>
      </c>
      <c r="J224" s="262">
        <f ca="1">OFFSET('Tax value roll forward'!H$55,0,I224-1)-SUM('Tax value roll forward'!H274:OFFSET('Tax value roll forward'!H274,0,Input!$Y$7-1))</f>
        <v>0</v>
      </c>
      <c r="K224" s="262">
        <f ca="1">IF(A16taxstdlife="N/A","n/a",IF(J224=0,0,A16taxstdlife+I224-Input!$Y$7))</f>
        <v>0</v>
      </c>
      <c r="L224" s="115"/>
      <c r="M224" s="9"/>
      <c r="N224" s="9"/>
      <c r="O224" s="9"/>
      <c r="P224" s="9"/>
      <c r="Q224" s="9"/>
      <c r="R224" s="9"/>
      <c r="S224" s="255"/>
      <c r="T224" s="255"/>
      <c r="U224" s="255"/>
      <c r="V224" s="255"/>
      <c r="W224" s="255"/>
      <c r="X224" s="255"/>
      <c r="Y224" s="255"/>
      <c r="Z224" s="255"/>
    </row>
    <row r="225" spans="1:26" hidden="1" outlineLevel="1">
      <c r="A225" s="9"/>
      <c r="B225" s="9"/>
      <c r="C225" s="541"/>
      <c r="D225" s="91">
        <v>7</v>
      </c>
      <c r="E225" s="262">
        <f ca="1">OFFSET('Actual RAB roll forward'!H$59,0,D225-1)-SUM('Actual RAB roll forward'!H279:OFFSET('Actual RAB roll forward'!H279,0,Input!$Y$7-1))</f>
        <v>0</v>
      </c>
      <c r="F225" s="262">
        <f ca="1">IF(A16stdlife="N/A","n/a",IF(E225=0,0,A16stdlife+D225-Input!$Y$7))</f>
        <v>0</v>
      </c>
      <c r="G225" s="258"/>
      <c r="H225" s="541"/>
      <c r="I225" s="91">
        <v>7</v>
      </c>
      <c r="J225" s="262">
        <f ca="1">OFFSET('Tax value roll forward'!H$55,0,I225-1)-SUM('Tax value roll forward'!H275:OFFSET('Tax value roll forward'!H275,0,Input!$Y$7-1))</f>
        <v>0</v>
      </c>
      <c r="K225" s="262">
        <f ca="1">IF(A16taxstdlife="N/A","n/a",IF(J225=0,0,A16taxstdlife+I225-Input!$Y$7))</f>
        <v>0</v>
      </c>
      <c r="L225" s="115"/>
      <c r="M225" s="9"/>
      <c r="N225" s="9"/>
      <c r="O225" s="9"/>
      <c r="P225" s="9"/>
      <c r="Q225" s="9"/>
      <c r="R225" s="9"/>
      <c r="S225" s="255"/>
      <c r="T225" s="255"/>
      <c r="U225" s="255"/>
      <c r="V225" s="255"/>
      <c r="W225" s="255"/>
      <c r="X225" s="255"/>
      <c r="Y225" s="255"/>
      <c r="Z225" s="255"/>
    </row>
    <row r="226" spans="1:26" hidden="1" outlineLevel="1">
      <c r="A226" s="9"/>
      <c r="B226" s="9"/>
      <c r="C226" s="541"/>
      <c r="D226" s="91">
        <v>8</v>
      </c>
      <c r="E226" s="262">
        <f ca="1">OFFSET('Actual RAB roll forward'!H$59,0,D226-1)-SUM('Actual RAB roll forward'!H280:OFFSET('Actual RAB roll forward'!H280,0,Input!$Y$7-1))</f>
        <v>0</v>
      </c>
      <c r="F226" s="262">
        <f ca="1">IF(A16stdlife="N/A","n/a",IF(E226=0,0,A16stdlife+D226-Input!$Y$7))</f>
        <v>0</v>
      </c>
      <c r="G226" s="258"/>
      <c r="H226" s="541"/>
      <c r="I226" s="91">
        <v>8</v>
      </c>
      <c r="J226" s="262">
        <f ca="1">OFFSET('Tax value roll forward'!H$55,0,I226-1)-SUM('Tax value roll forward'!H276:OFFSET('Tax value roll forward'!H276,0,Input!$Y$7-1))</f>
        <v>0</v>
      </c>
      <c r="K226" s="262">
        <f ca="1">IF(A16taxstdlife="N/A","n/a",IF(J226=0,0,A16taxstdlife+I226-Input!$Y$7))</f>
        <v>0</v>
      </c>
      <c r="L226" s="115"/>
      <c r="M226" s="9"/>
      <c r="N226" s="9"/>
      <c r="O226" s="9"/>
      <c r="P226" s="9"/>
      <c r="Q226" s="9"/>
      <c r="R226" s="9"/>
      <c r="S226" s="255"/>
      <c r="T226" s="255"/>
      <c r="U226" s="255"/>
      <c r="V226" s="255"/>
      <c r="W226" s="255"/>
      <c r="X226" s="255"/>
      <c r="Y226" s="255"/>
      <c r="Z226" s="255"/>
    </row>
    <row r="227" spans="1:26" hidden="1" outlineLevel="1">
      <c r="A227" s="9"/>
      <c r="B227" s="9"/>
      <c r="C227" s="541"/>
      <c r="D227" s="91">
        <v>9</v>
      </c>
      <c r="E227" s="262">
        <f ca="1">OFFSET('Actual RAB roll forward'!H$59,0,D227-1)-SUM('Actual RAB roll forward'!H281:OFFSET('Actual RAB roll forward'!H281,0,Input!$Y$7-1))</f>
        <v>0</v>
      </c>
      <c r="F227" s="262">
        <f ca="1">IF(A16stdlife="N/A","n/a",IF(E227=0,0,A16stdlife+D227-Input!$Y$7))</f>
        <v>0</v>
      </c>
      <c r="G227" s="258"/>
      <c r="H227" s="541"/>
      <c r="I227" s="91">
        <v>9</v>
      </c>
      <c r="J227" s="262">
        <f ca="1">OFFSET('Tax value roll forward'!H$55,0,I227-1)-SUM('Tax value roll forward'!H277:OFFSET('Tax value roll forward'!H277,0,Input!$Y$7-1))</f>
        <v>0</v>
      </c>
      <c r="K227" s="262">
        <f ca="1">IF(A16taxstdlife="N/A","n/a",IF(J227=0,0,A16taxstdlife+I227-Input!$Y$7))</f>
        <v>0</v>
      </c>
      <c r="L227" s="115"/>
      <c r="M227" s="9"/>
      <c r="N227" s="9"/>
      <c r="O227" s="9"/>
      <c r="P227" s="9"/>
      <c r="Q227" s="9"/>
      <c r="R227" s="9"/>
      <c r="S227" s="255"/>
      <c r="T227" s="255"/>
      <c r="U227" s="255"/>
      <c r="V227" s="255"/>
      <c r="W227" s="255"/>
      <c r="X227" s="255"/>
      <c r="Y227" s="255"/>
      <c r="Z227" s="255"/>
    </row>
    <row r="228" spans="1:26" hidden="1" outlineLevel="1">
      <c r="A228" s="9"/>
      <c r="B228" s="9"/>
      <c r="C228" s="542"/>
      <c r="D228" s="92">
        <v>10</v>
      </c>
      <c r="E228" s="262">
        <f ca="1">OFFSET('Actual RAB roll forward'!H$59,0,D228-1)-SUM('Actual RAB roll forward'!H282:OFFSET('Actual RAB roll forward'!H282,0,Input!$Y$7-1))</f>
        <v>0</v>
      </c>
      <c r="F228" s="262">
        <f ca="1">IF(A16stdlife="N/A","n/a",IF(E228=0,0,A16stdlife+D228-Input!$Y$7))</f>
        <v>0</v>
      </c>
      <c r="G228" s="258"/>
      <c r="H228" s="542"/>
      <c r="I228" s="92">
        <v>10</v>
      </c>
      <c r="J228" s="262">
        <f ca="1">OFFSET('Tax value roll forward'!H$55,0,I228-1)-SUM('Tax value roll forward'!H278:OFFSET('Tax value roll forward'!H278,0,Input!$Y$7-1))</f>
        <v>0</v>
      </c>
      <c r="K228" s="262">
        <f ca="1">IF(A16taxstdlife="N/A","n/a",IF(J228=0,0,A16taxstdlife+I228-Input!$Y$7))</f>
        <v>0</v>
      </c>
      <c r="L228" s="115"/>
      <c r="M228" s="9"/>
      <c r="N228" s="9"/>
      <c r="O228" s="9"/>
      <c r="P228" s="9"/>
      <c r="Q228" s="9"/>
      <c r="R228" s="9"/>
      <c r="S228" s="255"/>
      <c r="T228" s="255"/>
      <c r="U228" s="255"/>
      <c r="V228" s="255"/>
      <c r="W228" s="255"/>
      <c r="X228" s="255"/>
      <c r="Y228" s="255"/>
      <c r="Z228" s="255"/>
    </row>
    <row r="229" spans="1:26" collapsed="1">
      <c r="A229" s="9"/>
      <c r="B229" s="9"/>
      <c r="C229" s="275">
        <f>Asset16</f>
        <v>0</v>
      </c>
      <c r="D229" s="9"/>
      <c r="E229" s="262">
        <f ca="1">SUM(E218:E228)</f>
        <v>0</v>
      </c>
      <c r="F229" s="262">
        <f ca="1">IF(E229=0,0,SUMPRODUCT(E218:E228,F218:F228)/E229)</f>
        <v>0</v>
      </c>
      <c r="G229" s="258"/>
      <c r="H229" s="43"/>
      <c r="I229" s="262"/>
      <c r="J229" s="262">
        <f ca="1">SUM(J218:J228)</f>
        <v>0</v>
      </c>
      <c r="K229" s="262">
        <f ca="1">IF(J229=0,0,SUMPRODUCT(J218:J228,K218:K228)/J229)</f>
        <v>0</v>
      </c>
      <c r="L229" s="115"/>
      <c r="M229" s="9"/>
      <c r="N229" s="9"/>
      <c r="O229" s="9"/>
      <c r="P229" s="9"/>
      <c r="Q229" s="9"/>
      <c r="R229" s="9"/>
      <c r="S229" s="255"/>
      <c r="T229" s="255"/>
      <c r="U229" s="255"/>
      <c r="V229" s="255"/>
      <c r="W229" s="255"/>
      <c r="X229" s="255"/>
      <c r="Y229" s="255"/>
      <c r="Z229" s="255"/>
    </row>
    <row r="230" spans="1:26" hidden="1" outlineLevel="1">
      <c r="A230" s="9"/>
      <c r="B230" s="9"/>
      <c r="C230" s="275"/>
      <c r="D230" s="9"/>
      <c r="E230" s="262"/>
      <c r="F230" s="262"/>
      <c r="G230" s="258"/>
      <c r="H230" s="262"/>
      <c r="I230" s="262"/>
      <c r="J230" s="267"/>
      <c r="K230" s="262"/>
      <c r="L230" s="115"/>
      <c r="M230" s="9"/>
      <c r="N230" s="9"/>
      <c r="O230" s="9"/>
      <c r="P230" s="9"/>
      <c r="Q230" s="9"/>
      <c r="R230" s="9"/>
      <c r="S230" s="255"/>
      <c r="T230" s="255"/>
      <c r="U230" s="255"/>
      <c r="V230" s="255"/>
      <c r="W230" s="255"/>
      <c r="X230" s="255"/>
      <c r="Y230" s="255"/>
      <c r="Z230" s="255"/>
    </row>
    <row r="231" spans="1:26" hidden="1" outlineLevel="1">
      <c r="A231" s="9"/>
      <c r="B231" s="273">
        <f>Asset17</f>
        <v>0</v>
      </c>
      <c r="C231" s="9"/>
      <c r="D231" s="9"/>
      <c r="E231" s="35"/>
      <c r="F231" s="35"/>
      <c r="G231" s="258"/>
      <c r="H231" s="262"/>
      <c r="I231" s="262"/>
      <c r="J231" s="267"/>
      <c r="K231" s="262"/>
      <c r="L231" s="115"/>
      <c r="M231" s="9"/>
      <c r="N231" s="9"/>
      <c r="O231" s="9"/>
      <c r="P231" s="9"/>
      <c r="Q231" s="9"/>
      <c r="R231" s="9"/>
      <c r="S231" s="255"/>
      <c r="T231" s="255"/>
      <c r="U231" s="255"/>
      <c r="V231" s="255"/>
      <c r="W231" s="255"/>
      <c r="X231" s="255"/>
      <c r="Y231" s="255"/>
      <c r="Z231" s="255"/>
    </row>
    <row r="232" spans="1:26" ht="12.75" hidden="1" customHeight="1" outlineLevel="1">
      <c r="A232" s="9"/>
      <c r="B232" s="9"/>
      <c r="C232" s="538" t="s">
        <v>5</v>
      </c>
      <c r="D232" s="539"/>
      <c r="E232" s="262">
        <f ca="1">A17value-SUM('Actual RAB roll forward'!H284:OFFSET('Actual RAB roll forward'!H284,0,Input!$Y$7-1))</f>
        <v>0</v>
      </c>
      <c r="F232" s="262">
        <f>IF(A17remlife="N/A","n/a",A17remlife-Input!$Y$7)</f>
        <v>-5</v>
      </c>
      <c r="G232" s="258"/>
      <c r="H232" s="299" t="s">
        <v>43</v>
      </c>
      <c r="I232" s="300"/>
      <c r="J232" s="262">
        <f ca="1">A17taxvalue-SUM('Tax value roll forward'!H280:OFFSET('Tax value roll forward'!H280,0,Input!$Y$7-1))</f>
        <v>0</v>
      </c>
      <c r="K232" s="262">
        <f>IF(A17taxremlife="N/A","n/a",A17taxremlife-Input!$Y$7)</f>
        <v>-5</v>
      </c>
      <c r="L232" s="115"/>
      <c r="M232" s="9"/>
      <c r="N232" s="9"/>
      <c r="O232" s="9"/>
      <c r="P232" s="9"/>
      <c r="Q232" s="9"/>
      <c r="R232" s="9"/>
      <c r="S232" s="255"/>
      <c r="T232" s="255"/>
      <c r="U232" s="255"/>
      <c r="V232" s="255"/>
      <c r="W232" s="255"/>
      <c r="X232" s="255"/>
      <c r="Y232" s="255"/>
      <c r="Z232" s="255"/>
    </row>
    <row r="233" spans="1:26" hidden="1" outlineLevel="1">
      <c r="A233" s="9"/>
      <c r="B233" s="9"/>
      <c r="C233" s="540" t="s">
        <v>59</v>
      </c>
      <c r="D233" s="91">
        <v>1</v>
      </c>
      <c r="E233" s="262">
        <f ca="1">OFFSET('Actual RAB roll forward'!H$60,0,D233-1)-SUM('Actual RAB roll forward'!H286:OFFSET('Actual RAB roll forward'!H286,0,Input!$Y$7-1))</f>
        <v>0</v>
      </c>
      <c r="F233" s="262">
        <f ca="1">IF(A17stdlife="N/A","n/a",IF(E233=0,0,A17stdlife+D233-Input!$Y$7))</f>
        <v>0</v>
      </c>
      <c r="G233" s="258"/>
      <c r="H233" s="540" t="s">
        <v>59</v>
      </c>
      <c r="I233" s="91">
        <v>1</v>
      </c>
      <c r="J233" s="262">
        <f ca="1">OFFSET('Tax value roll forward'!H$56,0,I233-1)-SUM('Tax value roll forward'!H282:OFFSET('Tax value roll forward'!H282,0,Input!$Y$7-1))</f>
        <v>0</v>
      </c>
      <c r="K233" s="262">
        <f ca="1">IF(A17taxstdlife="N/A","n/a",IF(J233=0,0,A17taxstdlife+I233-Input!$Y$7))</f>
        <v>0</v>
      </c>
      <c r="L233" s="115"/>
      <c r="M233" s="9"/>
      <c r="N233" s="9"/>
      <c r="O233" s="9"/>
      <c r="P233" s="9"/>
      <c r="Q233" s="9"/>
      <c r="R233" s="9"/>
      <c r="S233" s="255"/>
      <c r="T233" s="255"/>
      <c r="U233" s="255"/>
      <c r="V233" s="255"/>
      <c r="W233" s="255"/>
      <c r="X233" s="255"/>
      <c r="Y233" s="255"/>
      <c r="Z233" s="255"/>
    </row>
    <row r="234" spans="1:26" hidden="1" outlineLevel="1">
      <c r="A234" s="9"/>
      <c r="B234" s="9"/>
      <c r="C234" s="541"/>
      <c r="D234" s="91">
        <v>2</v>
      </c>
      <c r="E234" s="262">
        <f ca="1">OFFSET('Actual RAB roll forward'!H$60,0,D234-1)-SUM('Actual RAB roll forward'!H287:OFFSET('Actual RAB roll forward'!H287,0,Input!$Y$7-1))</f>
        <v>0</v>
      </c>
      <c r="F234" s="262">
        <f ca="1">IF(A17stdlife="N/A","n/a",IF(E234=0,0,A17stdlife+D234-Input!$Y$7))</f>
        <v>0</v>
      </c>
      <c r="G234" s="258"/>
      <c r="H234" s="541"/>
      <c r="I234" s="91">
        <v>2</v>
      </c>
      <c r="J234" s="262">
        <f ca="1">OFFSET('Tax value roll forward'!H$56,0,I234-1)-SUM('Tax value roll forward'!H283:OFFSET('Tax value roll forward'!H283,0,Input!$Y$7-1))</f>
        <v>0</v>
      </c>
      <c r="K234" s="262">
        <f ca="1">IF(A17taxstdlife="N/A","n/a",IF(J234=0,0,A17taxstdlife+I234-Input!$Y$7))</f>
        <v>0</v>
      </c>
      <c r="L234" s="115"/>
      <c r="M234" s="9"/>
      <c r="N234" s="9"/>
      <c r="O234" s="9"/>
      <c r="P234" s="9"/>
      <c r="Q234" s="9"/>
      <c r="R234" s="9"/>
      <c r="S234" s="255"/>
      <c r="T234" s="255"/>
      <c r="U234" s="255"/>
      <c r="V234" s="255"/>
      <c r="W234" s="255"/>
      <c r="X234" s="255"/>
      <c r="Y234" s="255"/>
      <c r="Z234" s="255"/>
    </row>
    <row r="235" spans="1:26" hidden="1" outlineLevel="1">
      <c r="A235" s="9"/>
      <c r="B235" s="9"/>
      <c r="C235" s="541"/>
      <c r="D235" s="91">
        <v>3</v>
      </c>
      <c r="E235" s="262">
        <f ca="1">OFFSET('Actual RAB roll forward'!H$60,0,D235-1)-SUM('Actual RAB roll forward'!H288:OFFSET('Actual RAB roll forward'!H288,0,Input!$Y$7-1))</f>
        <v>0</v>
      </c>
      <c r="F235" s="262">
        <f ca="1">IF(A17stdlife="N/A","n/a",IF(E235=0,0,A17stdlife+D235-Input!$Y$7))</f>
        <v>0</v>
      </c>
      <c r="G235" s="258"/>
      <c r="H235" s="541"/>
      <c r="I235" s="91">
        <v>3</v>
      </c>
      <c r="J235" s="262">
        <f ca="1">OFFSET('Tax value roll forward'!H$56,0,I235-1)-SUM('Tax value roll forward'!H284:OFFSET('Tax value roll forward'!H284,0,Input!$Y$7-1))</f>
        <v>0</v>
      </c>
      <c r="K235" s="262">
        <f ca="1">IF(A17taxstdlife="N/A","n/a",IF(J235=0,0,A17taxstdlife+I235-Input!$Y$7))</f>
        <v>0</v>
      </c>
      <c r="L235" s="115"/>
      <c r="M235" s="9"/>
      <c r="N235" s="9"/>
      <c r="O235" s="9"/>
      <c r="P235" s="9"/>
      <c r="Q235" s="9"/>
      <c r="R235" s="9"/>
      <c r="S235" s="255"/>
      <c r="T235" s="255"/>
      <c r="U235" s="255"/>
      <c r="V235" s="255"/>
      <c r="W235" s="255"/>
      <c r="X235" s="255"/>
      <c r="Y235" s="255"/>
      <c r="Z235" s="255"/>
    </row>
    <row r="236" spans="1:26" hidden="1" outlineLevel="1">
      <c r="A236" s="9"/>
      <c r="B236" s="9"/>
      <c r="C236" s="541"/>
      <c r="D236" s="91">
        <v>4</v>
      </c>
      <c r="E236" s="262">
        <f ca="1">OFFSET('Actual RAB roll forward'!H$60,0,D236-1)-SUM('Actual RAB roll forward'!H289:OFFSET('Actual RAB roll forward'!H289,0,Input!$Y$7-1))</f>
        <v>0</v>
      </c>
      <c r="F236" s="262">
        <f ca="1">IF(A17stdlife="N/A","n/a",IF(E236=0,0,A17stdlife+D236-Input!$Y$7))</f>
        <v>0</v>
      </c>
      <c r="G236" s="258"/>
      <c r="H236" s="541"/>
      <c r="I236" s="91">
        <v>4</v>
      </c>
      <c r="J236" s="262">
        <f ca="1">OFFSET('Tax value roll forward'!H$56,0,I236-1)-SUM('Tax value roll forward'!H285:OFFSET('Tax value roll forward'!H285,0,Input!$Y$7-1))</f>
        <v>0</v>
      </c>
      <c r="K236" s="262">
        <f ca="1">IF(A17taxstdlife="N/A","n/a",IF(J236=0,0,A17taxstdlife+I236-Input!$Y$7))</f>
        <v>0</v>
      </c>
      <c r="L236" s="115"/>
      <c r="M236" s="9"/>
      <c r="N236" s="9"/>
      <c r="O236" s="9"/>
      <c r="P236" s="9"/>
      <c r="Q236" s="9"/>
      <c r="R236" s="9"/>
      <c r="S236" s="255"/>
      <c r="T236" s="255"/>
      <c r="U236" s="255"/>
      <c r="V236" s="255"/>
      <c r="W236" s="255"/>
      <c r="X236" s="255"/>
      <c r="Y236" s="255"/>
      <c r="Z236" s="255"/>
    </row>
    <row r="237" spans="1:26" hidden="1" outlineLevel="1">
      <c r="A237" s="9"/>
      <c r="B237" s="9"/>
      <c r="C237" s="541"/>
      <c r="D237" s="91">
        <v>5</v>
      </c>
      <c r="E237" s="262">
        <f ca="1">OFFSET('Actual RAB roll forward'!H$60,0,D237-1)-SUM('Actual RAB roll forward'!H290:OFFSET('Actual RAB roll forward'!H290,0,Input!$Y$7-1))</f>
        <v>0</v>
      </c>
      <c r="F237" s="262">
        <f ca="1">IF(A17stdlife="N/A","n/a",IF(E237=0,0,A17stdlife+D237-Input!$Y$7))</f>
        <v>0</v>
      </c>
      <c r="G237" s="258"/>
      <c r="H237" s="541"/>
      <c r="I237" s="91">
        <v>5</v>
      </c>
      <c r="J237" s="262">
        <f ca="1">OFFSET('Tax value roll forward'!H$56,0,I237-1)-SUM('Tax value roll forward'!H286:OFFSET('Tax value roll forward'!H286,0,Input!$Y$7-1))</f>
        <v>0</v>
      </c>
      <c r="K237" s="262">
        <f ca="1">IF(A17taxstdlife="N/A","n/a",IF(J237=0,0,A17taxstdlife+I237-Input!$Y$7))</f>
        <v>0</v>
      </c>
      <c r="L237" s="115"/>
      <c r="M237" s="9"/>
      <c r="N237" s="9"/>
      <c r="O237" s="9"/>
      <c r="P237" s="9"/>
      <c r="Q237" s="9"/>
      <c r="R237" s="9"/>
      <c r="S237" s="255"/>
      <c r="T237" s="255"/>
      <c r="U237" s="255"/>
      <c r="V237" s="255"/>
      <c r="W237" s="255"/>
      <c r="X237" s="255"/>
      <c r="Y237" s="255"/>
      <c r="Z237" s="255"/>
    </row>
    <row r="238" spans="1:26" hidden="1" outlineLevel="1">
      <c r="A238" s="9"/>
      <c r="B238" s="9"/>
      <c r="C238" s="541"/>
      <c r="D238" s="91">
        <v>6</v>
      </c>
      <c r="E238" s="262">
        <f ca="1">OFFSET('Actual RAB roll forward'!H$60,0,D238-1)-SUM('Actual RAB roll forward'!H291:OFFSET('Actual RAB roll forward'!H291,0,Input!$Y$7-1))</f>
        <v>0</v>
      </c>
      <c r="F238" s="262">
        <f ca="1">IF(A17stdlife="N/A","n/a",IF(E238=0,0,A17stdlife+D238-Input!$Y$7))</f>
        <v>0</v>
      </c>
      <c r="G238" s="258"/>
      <c r="H238" s="541"/>
      <c r="I238" s="91">
        <v>6</v>
      </c>
      <c r="J238" s="262">
        <f ca="1">OFFSET('Tax value roll forward'!H$56,0,I238-1)-SUM('Tax value roll forward'!H287:OFFSET('Tax value roll forward'!H287,0,Input!$Y$7-1))</f>
        <v>0</v>
      </c>
      <c r="K238" s="262">
        <f ca="1">IF(A17taxstdlife="N/A","n/a",IF(J238=0,0,A17taxstdlife+I238-Input!$Y$7))</f>
        <v>0</v>
      </c>
      <c r="L238" s="115"/>
      <c r="M238" s="9"/>
      <c r="N238" s="9"/>
      <c r="O238" s="9"/>
      <c r="P238" s="9"/>
      <c r="Q238" s="9"/>
      <c r="R238" s="9"/>
      <c r="S238" s="255"/>
      <c r="T238" s="255"/>
      <c r="U238" s="255"/>
      <c r="V238" s="255"/>
      <c r="W238" s="255"/>
      <c r="X238" s="255"/>
      <c r="Y238" s="255"/>
      <c r="Z238" s="255"/>
    </row>
    <row r="239" spans="1:26" hidden="1" outlineLevel="1">
      <c r="A239" s="9"/>
      <c r="B239" s="9"/>
      <c r="C239" s="541"/>
      <c r="D239" s="91">
        <v>7</v>
      </c>
      <c r="E239" s="262">
        <f ca="1">OFFSET('Actual RAB roll forward'!H$60,0,D239-1)-SUM('Actual RAB roll forward'!H292:OFFSET('Actual RAB roll forward'!H292,0,Input!$Y$7-1))</f>
        <v>0</v>
      </c>
      <c r="F239" s="262">
        <f ca="1">IF(A17stdlife="N/A","n/a",IF(E239=0,0,A17stdlife+D239-Input!$Y$7))</f>
        <v>0</v>
      </c>
      <c r="G239" s="258"/>
      <c r="H239" s="541"/>
      <c r="I239" s="91">
        <v>7</v>
      </c>
      <c r="J239" s="262">
        <f ca="1">OFFSET('Tax value roll forward'!H$56,0,I239-1)-SUM('Tax value roll forward'!H288:OFFSET('Tax value roll forward'!H288,0,Input!$Y$7-1))</f>
        <v>0</v>
      </c>
      <c r="K239" s="262">
        <f ca="1">IF(A17taxstdlife="N/A","n/a",IF(J239=0,0,A17taxstdlife+I239-Input!$Y$7))</f>
        <v>0</v>
      </c>
      <c r="L239" s="115"/>
      <c r="M239" s="9"/>
      <c r="N239" s="9"/>
      <c r="O239" s="9"/>
      <c r="P239" s="9"/>
      <c r="Q239" s="9"/>
      <c r="R239" s="9"/>
      <c r="S239" s="255"/>
      <c r="T239" s="255"/>
      <c r="U239" s="255"/>
      <c r="V239" s="255"/>
      <c r="W239" s="255"/>
      <c r="X239" s="255"/>
      <c r="Y239" s="255"/>
      <c r="Z239" s="255"/>
    </row>
    <row r="240" spans="1:26" hidden="1" outlineLevel="1">
      <c r="A240" s="9"/>
      <c r="B240" s="9"/>
      <c r="C240" s="541"/>
      <c r="D240" s="91">
        <v>8</v>
      </c>
      <c r="E240" s="262">
        <f ca="1">OFFSET('Actual RAB roll forward'!H$60,0,D240-1)-SUM('Actual RAB roll forward'!H293:OFFSET('Actual RAB roll forward'!H293,0,Input!$Y$7-1))</f>
        <v>0</v>
      </c>
      <c r="F240" s="262">
        <f ca="1">IF(A17stdlife="N/A","n/a",IF(E240=0,0,A17stdlife+D240-Input!$Y$7))</f>
        <v>0</v>
      </c>
      <c r="G240" s="258"/>
      <c r="H240" s="541"/>
      <c r="I240" s="91">
        <v>8</v>
      </c>
      <c r="J240" s="262">
        <f ca="1">OFFSET('Tax value roll forward'!H$56,0,I240-1)-SUM('Tax value roll forward'!H289:OFFSET('Tax value roll forward'!H289,0,Input!$Y$7-1))</f>
        <v>0</v>
      </c>
      <c r="K240" s="262">
        <f ca="1">IF(A17taxstdlife="N/A","n/a",IF(J240=0,0,A17taxstdlife+I240-Input!$Y$7))</f>
        <v>0</v>
      </c>
      <c r="L240" s="115"/>
      <c r="M240" s="9"/>
      <c r="N240" s="9"/>
      <c r="O240" s="9"/>
      <c r="P240" s="9"/>
      <c r="Q240" s="9"/>
      <c r="R240" s="9"/>
      <c r="S240" s="255"/>
      <c r="T240" s="255"/>
      <c r="U240" s="255"/>
      <c r="V240" s="255"/>
      <c r="W240" s="255"/>
      <c r="X240" s="255"/>
      <c r="Y240" s="255"/>
      <c r="Z240" s="255"/>
    </row>
    <row r="241" spans="1:26" hidden="1" outlineLevel="1">
      <c r="A241" s="9"/>
      <c r="B241" s="9"/>
      <c r="C241" s="541"/>
      <c r="D241" s="91">
        <v>9</v>
      </c>
      <c r="E241" s="262">
        <f ca="1">OFFSET('Actual RAB roll forward'!H$60,0,D241-1)-SUM('Actual RAB roll forward'!H294:OFFSET('Actual RAB roll forward'!H294,0,Input!$Y$7-1))</f>
        <v>0</v>
      </c>
      <c r="F241" s="262">
        <f ca="1">IF(A17stdlife="N/A","n/a",IF(E241=0,0,A17stdlife+D241-Input!$Y$7))</f>
        <v>0</v>
      </c>
      <c r="G241" s="258"/>
      <c r="H241" s="541"/>
      <c r="I241" s="91">
        <v>9</v>
      </c>
      <c r="J241" s="262">
        <f ca="1">OFFSET('Tax value roll forward'!H$56,0,I241-1)-SUM('Tax value roll forward'!H290:OFFSET('Tax value roll forward'!H290,0,Input!$Y$7-1))</f>
        <v>0</v>
      </c>
      <c r="K241" s="262">
        <f ca="1">IF(A17taxstdlife="N/A","n/a",IF(J241=0,0,A17taxstdlife+I241-Input!$Y$7))</f>
        <v>0</v>
      </c>
      <c r="L241" s="115"/>
      <c r="M241" s="9"/>
      <c r="N241" s="9"/>
      <c r="O241" s="9"/>
      <c r="P241" s="9"/>
      <c r="Q241" s="9"/>
      <c r="R241" s="9"/>
      <c r="S241" s="255"/>
      <c r="T241" s="255"/>
      <c r="U241" s="255"/>
      <c r="V241" s="255"/>
      <c r="W241" s="255"/>
      <c r="X241" s="255"/>
      <c r="Y241" s="255"/>
      <c r="Z241" s="255"/>
    </row>
    <row r="242" spans="1:26" hidden="1" outlineLevel="1">
      <c r="A242" s="9"/>
      <c r="B242" s="9"/>
      <c r="C242" s="542"/>
      <c r="D242" s="92">
        <v>10</v>
      </c>
      <c r="E242" s="262">
        <f ca="1">OFFSET('Actual RAB roll forward'!H$60,0,D242-1)-SUM('Actual RAB roll forward'!H295:OFFSET('Actual RAB roll forward'!H295,0,Input!$Y$7-1))</f>
        <v>0</v>
      </c>
      <c r="F242" s="262">
        <f ca="1">IF(A17stdlife="N/A","n/a",IF(E242=0,0,A17stdlife+D242-Input!$Y$7))</f>
        <v>0</v>
      </c>
      <c r="G242" s="258"/>
      <c r="H242" s="542"/>
      <c r="I242" s="92">
        <v>10</v>
      </c>
      <c r="J242" s="262">
        <f ca="1">OFFSET('Tax value roll forward'!H$56,0,I242-1)-SUM('Tax value roll forward'!H291:OFFSET('Tax value roll forward'!H291,0,Input!$Y$7-1))</f>
        <v>0</v>
      </c>
      <c r="K242" s="262">
        <f ca="1">IF(A17taxstdlife="N/A","n/a",IF(J242=0,0,A17taxstdlife+I242-Input!$Y$7))</f>
        <v>0</v>
      </c>
      <c r="L242" s="115"/>
      <c r="M242" s="9"/>
      <c r="N242" s="9"/>
      <c r="O242" s="9"/>
      <c r="P242" s="9"/>
      <c r="Q242" s="9"/>
      <c r="R242" s="9"/>
      <c r="S242" s="255"/>
      <c r="T242" s="255"/>
      <c r="U242" s="255"/>
      <c r="V242" s="255"/>
      <c r="W242" s="255"/>
      <c r="X242" s="255"/>
      <c r="Y242" s="255"/>
      <c r="Z242" s="255"/>
    </row>
    <row r="243" spans="1:26" collapsed="1">
      <c r="A243" s="9"/>
      <c r="B243" s="9"/>
      <c r="C243" s="275">
        <f>Asset17</f>
        <v>0</v>
      </c>
      <c r="D243" s="9"/>
      <c r="E243" s="262">
        <f ca="1">SUM(E232:E242)</f>
        <v>0</v>
      </c>
      <c r="F243" s="262">
        <f ca="1">IF(E243=0,0,SUMPRODUCT(E232:E242,F232:F242)/E243)</f>
        <v>0</v>
      </c>
      <c r="G243" s="258"/>
      <c r="H243" s="43"/>
      <c r="I243" s="262"/>
      <c r="J243" s="262">
        <f ca="1">SUM(J232:J242)</f>
        <v>0</v>
      </c>
      <c r="K243" s="262">
        <f ca="1">IF(J243=0,0,SUMPRODUCT(J232:J242,K232:K242)/J243)</f>
        <v>0</v>
      </c>
      <c r="L243" s="115"/>
      <c r="M243" s="9"/>
      <c r="N243" s="9"/>
      <c r="O243" s="9"/>
      <c r="P243" s="9"/>
      <c r="Q243" s="9"/>
      <c r="R243" s="9"/>
      <c r="S243" s="255"/>
      <c r="T243" s="255"/>
      <c r="U243" s="255"/>
      <c r="V243" s="255"/>
      <c r="W243" s="255"/>
      <c r="X243" s="255"/>
      <c r="Y243" s="255"/>
      <c r="Z243" s="255"/>
    </row>
    <row r="244" spans="1:26" hidden="1" outlineLevel="1">
      <c r="A244" s="9"/>
      <c r="B244" s="9"/>
      <c r="C244" s="275"/>
      <c r="D244" s="9"/>
      <c r="E244" s="262"/>
      <c r="F244" s="262"/>
      <c r="G244" s="258"/>
      <c r="H244" s="262"/>
      <c r="I244" s="262"/>
      <c r="J244" s="267"/>
      <c r="K244" s="262"/>
      <c r="L244" s="115"/>
      <c r="M244" s="9"/>
      <c r="N244" s="9"/>
      <c r="O244" s="9"/>
      <c r="P244" s="9"/>
      <c r="Q244" s="9"/>
      <c r="R244" s="9"/>
      <c r="S244" s="255"/>
      <c r="T244" s="255"/>
      <c r="U244" s="255"/>
      <c r="V244" s="255"/>
      <c r="W244" s="255"/>
      <c r="X244" s="255"/>
      <c r="Y244" s="255"/>
      <c r="Z244" s="255"/>
    </row>
    <row r="245" spans="1:26" hidden="1" outlineLevel="1">
      <c r="A245" s="9"/>
      <c r="B245" s="273">
        <f>Asset18</f>
        <v>0</v>
      </c>
      <c r="C245" s="9"/>
      <c r="D245" s="9"/>
      <c r="E245" s="35"/>
      <c r="F245" s="35"/>
      <c r="G245" s="258"/>
      <c r="H245" s="262"/>
      <c r="I245" s="262"/>
      <c r="J245" s="267"/>
      <c r="K245" s="262"/>
      <c r="L245" s="115"/>
      <c r="M245" s="9"/>
      <c r="N245" s="9"/>
      <c r="O245" s="9"/>
      <c r="P245" s="9"/>
      <c r="Q245" s="9"/>
      <c r="R245" s="9"/>
      <c r="S245" s="255"/>
      <c r="T245" s="255"/>
      <c r="U245" s="255"/>
      <c r="V245" s="255"/>
      <c r="W245" s="255"/>
      <c r="X245" s="255"/>
      <c r="Y245" s="255"/>
      <c r="Z245" s="255"/>
    </row>
    <row r="246" spans="1:26" ht="12.75" hidden="1" customHeight="1" outlineLevel="1">
      <c r="A246" s="9"/>
      <c r="B246" s="9"/>
      <c r="C246" s="538" t="s">
        <v>5</v>
      </c>
      <c r="D246" s="539"/>
      <c r="E246" s="262">
        <f ca="1">A18value-SUM('Actual RAB roll forward'!H297:OFFSET('Actual RAB roll forward'!H297,0,Input!$Y$7-1))</f>
        <v>0</v>
      </c>
      <c r="F246" s="262">
        <f>IF(A18remlife="N/A","n/a",A18remlife-Input!$Y$7)</f>
        <v>-5</v>
      </c>
      <c r="G246" s="258"/>
      <c r="H246" s="299" t="s">
        <v>43</v>
      </c>
      <c r="I246" s="300"/>
      <c r="J246" s="262">
        <f ca="1">A18taxvalue-SUM('Tax value roll forward'!H293:OFFSET('Tax value roll forward'!H293,0,Input!$Y$7-1))</f>
        <v>0</v>
      </c>
      <c r="K246" s="262">
        <f>IF(A18taxremlife="N/A","n/a",A18taxremlife-Input!$Y$7)</f>
        <v>-5</v>
      </c>
      <c r="L246" s="115"/>
      <c r="M246" s="9"/>
      <c r="N246" s="9"/>
      <c r="O246" s="9"/>
      <c r="P246" s="9"/>
      <c r="Q246" s="9"/>
      <c r="R246" s="9"/>
      <c r="S246" s="255"/>
      <c r="T246" s="255"/>
      <c r="U246" s="255"/>
      <c r="V246" s="255"/>
      <c r="W246" s="255"/>
      <c r="X246" s="255"/>
      <c r="Y246" s="255"/>
      <c r="Z246" s="255"/>
    </row>
    <row r="247" spans="1:26" hidden="1" outlineLevel="1">
      <c r="A247" s="9"/>
      <c r="B247" s="9"/>
      <c r="C247" s="540" t="s">
        <v>59</v>
      </c>
      <c r="D247" s="91">
        <v>1</v>
      </c>
      <c r="E247" s="262">
        <f ca="1">OFFSET('Actual RAB roll forward'!H$61,0,D247-1)-SUM('Actual RAB roll forward'!H299:OFFSET('Actual RAB roll forward'!H299,0,Input!$Y$7-1))</f>
        <v>0</v>
      </c>
      <c r="F247" s="262">
        <f ca="1">IF(A18stdlife="N/A","n/a",IF(E247=0,0,A18stdlife+D247-Input!$Y$7))</f>
        <v>0</v>
      </c>
      <c r="G247" s="258"/>
      <c r="H247" s="540" t="s">
        <v>59</v>
      </c>
      <c r="I247" s="91">
        <v>1</v>
      </c>
      <c r="J247" s="262">
        <f ca="1">OFFSET('Tax value roll forward'!H$57,0,I247-1)-SUM('Tax value roll forward'!H295:OFFSET('Tax value roll forward'!H295,0,Input!$Y$7-1))</f>
        <v>0</v>
      </c>
      <c r="K247" s="262">
        <f ca="1">IF(A18taxstdlife="N/A","n/a",IF(J247=0,0,A18taxstdlife+I247-Input!$Y$7))</f>
        <v>0</v>
      </c>
      <c r="L247" s="115"/>
      <c r="M247" s="9"/>
      <c r="N247" s="9"/>
      <c r="O247" s="9"/>
      <c r="P247" s="9"/>
      <c r="Q247" s="9"/>
      <c r="R247" s="9"/>
      <c r="S247" s="255"/>
      <c r="T247" s="255"/>
      <c r="U247" s="255"/>
      <c r="V247" s="255"/>
      <c r="W247" s="255"/>
      <c r="X247" s="255"/>
      <c r="Y247" s="255"/>
      <c r="Z247" s="255"/>
    </row>
    <row r="248" spans="1:26" hidden="1" outlineLevel="1">
      <c r="A248" s="9"/>
      <c r="B248" s="9"/>
      <c r="C248" s="541"/>
      <c r="D248" s="91">
        <v>2</v>
      </c>
      <c r="E248" s="262">
        <f ca="1">OFFSET('Actual RAB roll forward'!H$61,0,D248-1)-SUM('Actual RAB roll forward'!H300:OFFSET('Actual RAB roll forward'!H300,0,Input!$Y$7-1))</f>
        <v>0</v>
      </c>
      <c r="F248" s="262">
        <f ca="1">IF(A18stdlife="N/A","n/a",IF(E248=0,0,A18stdlife+D248-Input!$Y$7))</f>
        <v>0</v>
      </c>
      <c r="G248" s="258"/>
      <c r="H248" s="541"/>
      <c r="I248" s="91">
        <v>2</v>
      </c>
      <c r="J248" s="262">
        <f ca="1">OFFSET('Tax value roll forward'!H$57,0,I248-1)-SUM('Tax value roll forward'!H296:OFFSET('Tax value roll forward'!H296,0,Input!$Y$7-1))</f>
        <v>0</v>
      </c>
      <c r="K248" s="262">
        <f ca="1">IF(A18taxstdlife="N/A","n/a",IF(J248=0,0,A18taxstdlife+I248-Input!$Y$7))</f>
        <v>0</v>
      </c>
      <c r="L248" s="115"/>
      <c r="M248" s="9"/>
      <c r="N248" s="9"/>
      <c r="O248" s="9"/>
      <c r="P248" s="9"/>
      <c r="Q248" s="9"/>
      <c r="R248" s="9"/>
      <c r="S248" s="255"/>
      <c r="T248" s="255"/>
      <c r="U248" s="255"/>
      <c r="V248" s="255"/>
      <c r="W248" s="255"/>
      <c r="X248" s="255"/>
      <c r="Y248" s="255"/>
      <c r="Z248" s="255"/>
    </row>
    <row r="249" spans="1:26" hidden="1" outlineLevel="1">
      <c r="A249" s="9"/>
      <c r="B249" s="9"/>
      <c r="C249" s="541"/>
      <c r="D249" s="91">
        <v>3</v>
      </c>
      <c r="E249" s="262">
        <f ca="1">OFFSET('Actual RAB roll forward'!H$61,0,D249-1)-SUM('Actual RAB roll forward'!H301:OFFSET('Actual RAB roll forward'!H301,0,Input!$Y$7-1))</f>
        <v>0</v>
      </c>
      <c r="F249" s="262">
        <f ca="1">IF(A18stdlife="N/A","n/a",IF(E249=0,0,A18stdlife+D249-Input!$Y$7))</f>
        <v>0</v>
      </c>
      <c r="G249" s="258"/>
      <c r="H249" s="541"/>
      <c r="I249" s="91">
        <v>3</v>
      </c>
      <c r="J249" s="262">
        <f ca="1">OFFSET('Tax value roll forward'!H$57,0,I249-1)-SUM('Tax value roll forward'!H297:OFFSET('Tax value roll forward'!H297,0,Input!$Y$7-1))</f>
        <v>0</v>
      </c>
      <c r="K249" s="262">
        <f ca="1">IF(A18taxstdlife="N/A","n/a",IF(J249=0,0,A18taxstdlife+I249-Input!$Y$7))</f>
        <v>0</v>
      </c>
      <c r="L249" s="115"/>
      <c r="M249" s="9"/>
      <c r="N249" s="9"/>
      <c r="O249" s="9"/>
      <c r="P249" s="9"/>
      <c r="Q249" s="9"/>
      <c r="R249" s="9"/>
      <c r="S249" s="255"/>
      <c r="T249" s="255"/>
      <c r="U249" s="255"/>
      <c r="V249" s="255"/>
      <c r="W249" s="255"/>
      <c r="X249" s="255"/>
      <c r="Y249" s="255"/>
      <c r="Z249" s="255"/>
    </row>
    <row r="250" spans="1:26" hidden="1" outlineLevel="1">
      <c r="A250" s="9"/>
      <c r="B250" s="9"/>
      <c r="C250" s="541"/>
      <c r="D250" s="91">
        <v>4</v>
      </c>
      <c r="E250" s="262">
        <f ca="1">OFFSET('Actual RAB roll forward'!H$61,0,D250-1)-SUM('Actual RAB roll forward'!H302:OFFSET('Actual RAB roll forward'!H302,0,Input!$Y$7-1))</f>
        <v>0</v>
      </c>
      <c r="F250" s="262">
        <f ca="1">IF(A18stdlife="N/A","n/a",IF(E250=0,0,A18stdlife+D250-Input!$Y$7))</f>
        <v>0</v>
      </c>
      <c r="G250" s="258"/>
      <c r="H250" s="541"/>
      <c r="I250" s="91">
        <v>4</v>
      </c>
      <c r="J250" s="262">
        <f ca="1">OFFSET('Tax value roll forward'!H$57,0,I250-1)-SUM('Tax value roll forward'!H298:OFFSET('Tax value roll forward'!H298,0,Input!$Y$7-1))</f>
        <v>0</v>
      </c>
      <c r="K250" s="262">
        <f ca="1">IF(A18taxstdlife="N/A","n/a",IF(J250=0,0,A18taxstdlife+I250-Input!$Y$7))</f>
        <v>0</v>
      </c>
      <c r="L250" s="115"/>
      <c r="M250" s="9"/>
      <c r="N250" s="9"/>
      <c r="O250" s="9"/>
      <c r="P250" s="9"/>
      <c r="Q250" s="9"/>
      <c r="R250" s="9"/>
      <c r="S250" s="255"/>
      <c r="T250" s="255"/>
      <c r="U250" s="255"/>
      <c r="V250" s="255"/>
      <c r="W250" s="255"/>
      <c r="X250" s="255"/>
      <c r="Y250" s="255"/>
      <c r="Z250" s="255"/>
    </row>
    <row r="251" spans="1:26" hidden="1" outlineLevel="1">
      <c r="A251" s="9"/>
      <c r="B251" s="9"/>
      <c r="C251" s="541"/>
      <c r="D251" s="91">
        <v>5</v>
      </c>
      <c r="E251" s="262">
        <f ca="1">OFFSET('Actual RAB roll forward'!H$61,0,D251-1)-SUM('Actual RAB roll forward'!H303:OFFSET('Actual RAB roll forward'!H303,0,Input!$Y$7-1))</f>
        <v>0</v>
      </c>
      <c r="F251" s="262">
        <f ca="1">IF(A18stdlife="N/A","n/a",IF(E251=0,0,A18stdlife+D251-Input!$Y$7))</f>
        <v>0</v>
      </c>
      <c r="G251" s="258"/>
      <c r="H251" s="541"/>
      <c r="I251" s="91">
        <v>5</v>
      </c>
      <c r="J251" s="262">
        <f ca="1">OFFSET('Tax value roll forward'!H$57,0,I251-1)-SUM('Tax value roll forward'!H299:OFFSET('Tax value roll forward'!H299,0,Input!$Y$7-1))</f>
        <v>0</v>
      </c>
      <c r="K251" s="262">
        <f ca="1">IF(A18taxstdlife="N/A","n/a",IF(J251=0,0,A18taxstdlife+I251-Input!$Y$7))</f>
        <v>0</v>
      </c>
      <c r="L251" s="115"/>
      <c r="M251" s="9"/>
      <c r="N251" s="9"/>
      <c r="O251" s="9"/>
      <c r="P251" s="9"/>
      <c r="Q251" s="9"/>
      <c r="R251" s="9"/>
      <c r="S251" s="255"/>
      <c r="T251" s="255"/>
      <c r="U251" s="255"/>
      <c r="V251" s="255"/>
      <c r="W251" s="255"/>
      <c r="X251" s="255"/>
      <c r="Y251" s="255"/>
      <c r="Z251" s="255"/>
    </row>
    <row r="252" spans="1:26" hidden="1" outlineLevel="1">
      <c r="A252" s="9"/>
      <c r="B252" s="9"/>
      <c r="C252" s="541"/>
      <c r="D252" s="91">
        <v>6</v>
      </c>
      <c r="E252" s="262">
        <f ca="1">OFFSET('Actual RAB roll forward'!H$61,0,D252-1)-SUM('Actual RAB roll forward'!H304:OFFSET('Actual RAB roll forward'!H304,0,Input!$Y$7-1))</f>
        <v>0</v>
      </c>
      <c r="F252" s="262">
        <f ca="1">IF(A18stdlife="N/A","n/a",IF(E252=0,0,A18stdlife+D252-Input!$Y$7))</f>
        <v>0</v>
      </c>
      <c r="G252" s="258"/>
      <c r="H252" s="541"/>
      <c r="I252" s="91">
        <v>6</v>
      </c>
      <c r="J252" s="262">
        <f ca="1">OFFSET('Tax value roll forward'!H$57,0,I252-1)-SUM('Tax value roll forward'!H300:OFFSET('Tax value roll forward'!H300,0,Input!$Y$7-1))</f>
        <v>0</v>
      </c>
      <c r="K252" s="262">
        <f ca="1">IF(A18taxstdlife="N/A","n/a",IF(J252=0,0,A18taxstdlife+I252-Input!$Y$7))</f>
        <v>0</v>
      </c>
      <c r="L252" s="115"/>
      <c r="M252" s="9"/>
      <c r="N252" s="9"/>
      <c r="O252" s="9"/>
      <c r="P252" s="9"/>
      <c r="Q252" s="9"/>
      <c r="R252" s="9"/>
      <c r="S252" s="255"/>
      <c r="T252" s="255"/>
      <c r="U252" s="255"/>
      <c r="V252" s="255"/>
      <c r="W252" s="255"/>
      <c r="X252" s="255"/>
      <c r="Y252" s="255"/>
      <c r="Z252" s="255"/>
    </row>
    <row r="253" spans="1:26" hidden="1" outlineLevel="1">
      <c r="A253" s="9"/>
      <c r="B253" s="9"/>
      <c r="C253" s="541"/>
      <c r="D253" s="91">
        <v>7</v>
      </c>
      <c r="E253" s="262">
        <f ca="1">OFFSET('Actual RAB roll forward'!H$61,0,D253-1)-SUM('Actual RAB roll forward'!H305:OFFSET('Actual RAB roll forward'!H305,0,Input!$Y$7-1))</f>
        <v>0</v>
      </c>
      <c r="F253" s="262">
        <f ca="1">IF(A18stdlife="N/A","n/a",IF(E253=0,0,A18stdlife+D253-Input!$Y$7))</f>
        <v>0</v>
      </c>
      <c r="G253" s="258"/>
      <c r="H253" s="541"/>
      <c r="I253" s="91">
        <v>7</v>
      </c>
      <c r="J253" s="262">
        <f ca="1">OFFSET('Tax value roll forward'!H$57,0,I253-1)-SUM('Tax value roll forward'!H301:OFFSET('Tax value roll forward'!H301,0,Input!$Y$7-1))</f>
        <v>0</v>
      </c>
      <c r="K253" s="262">
        <f ca="1">IF(A18taxstdlife="N/A","n/a",IF(J253=0,0,A18taxstdlife+I253-Input!$Y$7))</f>
        <v>0</v>
      </c>
      <c r="L253" s="115"/>
      <c r="M253" s="9"/>
      <c r="N253" s="9"/>
      <c r="O253" s="9"/>
      <c r="P253" s="9"/>
      <c r="Q253" s="9"/>
      <c r="R253" s="9"/>
      <c r="S253" s="255"/>
      <c r="T253" s="255"/>
      <c r="U253" s="255"/>
      <c r="V253" s="255"/>
      <c r="W253" s="255"/>
      <c r="X253" s="255"/>
      <c r="Y253" s="255"/>
      <c r="Z253" s="255"/>
    </row>
    <row r="254" spans="1:26" hidden="1" outlineLevel="1">
      <c r="A254" s="9"/>
      <c r="B254" s="9"/>
      <c r="C254" s="541"/>
      <c r="D254" s="91">
        <v>8</v>
      </c>
      <c r="E254" s="262">
        <f ca="1">OFFSET('Actual RAB roll forward'!H$61,0,D254-1)-SUM('Actual RAB roll forward'!H306:OFFSET('Actual RAB roll forward'!H306,0,Input!$Y$7-1))</f>
        <v>0</v>
      </c>
      <c r="F254" s="262">
        <f ca="1">IF(A18stdlife="N/A","n/a",IF(E254=0,0,A18stdlife+D254-Input!$Y$7))</f>
        <v>0</v>
      </c>
      <c r="G254" s="258"/>
      <c r="H254" s="541"/>
      <c r="I254" s="91">
        <v>8</v>
      </c>
      <c r="J254" s="262">
        <f ca="1">OFFSET('Tax value roll forward'!H$57,0,I254-1)-SUM('Tax value roll forward'!H302:OFFSET('Tax value roll forward'!H302,0,Input!$Y$7-1))</f>
        <v>0</v>
      </c>
      <c r="K254" s="262">
        <f ca="1">IF(A18taxstdlife="N/A","n/a",IF(J254=0,0,A18taxstdlife+I254-Input!$Y$7))</f>
        <v>0</v>
      </c>
      <c r="L254" s="115"/>
      <c r="M254" s="9"/>
      <c r="N254" s="9"/>
      <c r="O254" s="9"/>
      <c r="P254" s="9"/>
      <c r="Q254" s="9"/>
      <c r="R254" s="9"/>
      <c r="S254" s="255"/>
      <c r="T254" s="255"/>
      <c r="U254" s="255"/>
      <c r="V254" s="255"/>
      <c r="W254" s="255"/>
      <c r="X254" s="255"/>
      <c r="Y254" s="255"/>
      <c r="Z254" s="255"/>
    </row>
    <row r="255" spans="1:26" hidden="1" outlineLevel="1">
      <c r="A255" s="9"/>
      <c r="B255" s="9"/>
      <c r="C255" s="541"/>
      <c r="D255" s="91">
        <v>9</v>
      </c>
      <c r="E255" s="262">
        <f ca="1">OFFSET('Actual RAB roll forward'!H$61,0,D255-1)-SUM('Actual RAB roll forward'!H307:OFFSET('Actual RAB roll forward'!H307,0,Input!$Y$7-1))</f>
        <v>0</v>
      </c>
      <c r="F255" s="262">
        <f ca="1">IF(A18stdlife="N/A","n/a",IF(E255=0,0,A18stdlife+D255-Input!$Y$7))</f>
        <v>0</v>
      </c>
      <c r="G255" s="258"/>
      <c r="H255" s="541"/>
      <c r="I255" s="91">
        <v>9</v>
      </c>
      <c r="J255" s="262">
        <f ca="1">OFFSET('Tax value roll forward'!H$57,0,I255-1)-SUM('Tax value roll forward'!H303:OFFSET('Tax value roll forward'!H303,0,Input!$Y$7-1))</f>
        <v>0</v>
      </c>
      <c r="K255" s="262">
        <f ca="1">IF(A18taxstdlife="N/A","n/a",IF(J255=0,0,A18taxstdlife+I255-Input!$Y$7))</f>
        <v>0</v>
      </c>
      <c r="L255" s="115"/>
      <c r="M255" s="9"/>
      <c r="N255" s="9"/>
      <c r="O255" s="9"/>
      <c r="P255" s="9"/>
      <c r="Q255" s="9"/>
      <c r="R255" s="9"/>
      <c r="S255" s="255"/>
      <c r="T255" s="255"/>
      <c r="U255" s="255"/>
      <c r="V255" s="255"/>
      <c r="W255" s="255"/>
      <c r="X255" s="255"/>
      <c r="Y255" s="255"/>
      <c r="Z255" s="255"/>
    </row>
    <row r="256" spans="1:26" hidden="1" outlineLevel="1">
      <c r="A256" s="9"/>
      <c r="B256" s="9"/>
      <c r="C256" s="542"/>
      <c r="D256" s="92">
        <v>10</v>
      </c>
      <c r="E256" s="262">
        <f ca="1">OFFSET('Actual RAB roll forward'!H$61,0,D256-1)-SUM('Actual RAB roll forward'!H308:OFFSET('Actual RAB roll forward'!H308,0,Input!$Y$7-1))</f>
        <v>0</v>
      </c>
      <c r="F256" s="262">
        <f ca="1">IF(A18stdlife="N/A","n/a",IF(E256=0,0,A18stdlife+D256-Input!$Y$7))</f>
        <v>0</v>
      </c>
      <c r="G256" s="258"/>
      <c r="H256" s="542"/>
      <c r="I256" s="92">
        <v>10</v>
      </c>
      <c r="J256" s="262">
        <f ca="1">OFFSET('Tax value roll forward'!H$57,0,I256-1)-SUM('Tax value roll forward'!H304:OFFSET('Tax value roll forward'!H304,0,Input!$Y$7-1))</f>
        <v>0</v>
      </c>
      <c r="K256" s="262">
        <f ca="1">IF(A18taxstdlife="N/A","n/a",IF(J256=0,0,A18taxstdlife+I256-Input!$Y$7))</f>
        <v>0</v>
      </c>
      <c r="L256" s="115"/>
      <c r="M256" s="9"/>
      <c r="N256" s="9"/>
      <c r="O256" s="9"/>
      <c r="P256" s="9"/>
      <c r="Q256" s="9"/>
      <c r="R256" s="9"/>
      <c r="S256" s="255"/>
      <c r="T256" s="255"/>
      <c r="U256" s="255"/>
      <c r="V256" s="255"/>
      <c r="W256" s="255"/>
      <c r="X256" s="255"/>
      <c r="Y256" s="255"/>
      <c r="Z256" s="255"/>
    </row>
    <row r="257" spans="1:26" collapsed="1">
      <c r="A257" s="9"/>
      <c r="B257" s="9"/>
      <c r="C257" s="275">
        <f>Asset18</f>
        <v>0</v>
      </c>
      <c r="D257" s="9"/>
      <c r="E257" s="262">
        <f ca="1">SUM(E246:E256)</f>
        <v>0</v>
      </c>
      <c r="F257" s="262">
        <f ca="1">IF(E257=0,0,SUMPRODUCT(E246:E256,F246:F256)/E257)</f>
        <v>0</v>
      </c>
      <c r="G257" s="258"/>
      <c r="H257" s="43"/>
      <c r="I257" s="262"/>
      <c r="J257" s="262">
        <f ca="1">SUM(J246:J256)</f>
        <v>0</v>
      </c>
      <c r="K257" s="262">
        <f ca="1">IF(J257=0,0,SUMPRODUCT(J246:J256,K246:K256)/J257)</f>
        <v>0</v>
      </c>
      <c r="L257" s="115"/>
      <c r="M257" s="9"/>
      <c r="N257" s="9"/>
      <c r="O257" s="9"/>
      <c r="P257" s="9"/>
      <c r="Q257" s="9"/>
      <c r="R257" s="9"/>
      <c r="S257" s="255"/>
      <c r="T257" s="255"/>
      <c r="U257" s="255"/>
      <c r="V257" s="255"/>
      <c r="W257" s="255"/>
      <c r="X257" s="255"/>
      <c r="Y257" s="255"/>
      <c r="Z257" s="255"/>
    </row>
    <row r="258" spans="1:26" hidden="1" outlineLevel="1">
      <c r="A258" s="9"/>
      <c r="B258" s="9"/>
      <c r="C258" s="275"/>
      <c r="D258" s="9"/>
      <c r="E258" s="262"/>
      <c r="F258" s="262"/>
      <c r="G258" s="258"/>
      <c r="H258" s="262"/>
      <c r="I258" s="262"/>
      <c r="J258" s="267"/>
      <c r="K258" s="262"/>
      <c r="L258" s="115"/>
      <c r="M258" s="9"/>
      <c r="N258" s="9"/>
      <c r="O258" s="9"/>
      <c r="P258" s="9"/>
      <c r="Q258" s="9"/>
      <c r="R258" s="9"/>
      <c r="S258" s="255"/>
      <c r="T258" s="255"/>
      <c r="U258" s="255"/>
      <c r="V258" s="255"/>
      <c r="W258" s="255"/>
      <c r="X258" s="255"/>
      <c r="Y258" s="255"/>
      <c r="Z258" s="255"/>
    </row>
    <row r="259" spans="1:26" hidden="1" outlineLevel="1">
      <c r="A259" s="9"/>
      <c r="B259" s="273">
        <f>Asset19</f>
        <v>0</v>
      </c>
      <c r="C259" s="9"/>
      <c r="D259" s="9"/>
      <c r="E259" s="35"/>
      <c r="F259" s="35"/>
      <c r="G259" s="258"/>
      <c r="H259" s="262"/>
      <c r="I259" s="262"/>
      <c r="J259" s="267"/>
      <c r="K259" s="262"/>
      <c r="L259" s="115"/>
      <c r="M259" s="9"/>
      <c r="N259" s="9"/>
      <c r="O259" s="9"/>
      <c r="P259" s="9"/>
      <c r="Q259" s="9"/>
      <c r="R259" s="9"/>
      <c r="S259" s="255"/>
      <c r="T259" s="255"/>
      <c r="U259" s="255"/>
      <c r="V259" s="255"/>
      <c r="W259" s="255"/>
      <c r="X259" s="255"/>
      <c r="Y259" s="255"/>
      <c r="Z259" s="255"/>
    </row>
    <row r="260" spans="1:26" ht="12.75" hidden="1" customHeight="1" outlineLevel="1">
      <c r="A260" s="9"/>
      <c r="B260" s="9"/>
      <c r="C260" s="538" t="s">
        <v>5</v>
      </c>
      <c r="D260" s="539"/>
      <c r="E260" s="262">
        <f ca="1">A19value-SUM('Actual RAB roll forward'!H310:OFFSET('Actual RAB roll forward'!H310,0,Input!$Y$7-1))</f>
        <v>0</v>
      </c>
      <c r="F260" s="262">
        <f>IF(A19remlife="N/A","n/a",A19remlife-Input!$Y$7)</f>
        <v>-5</v>
      </c>
      <c r="G260" s="258"/>
      <c r="H260" s="299" t="s">
        <v>43</v>
      </c>
      <c r="I260" s="300"/>
      <c r="J260" s="262">
        <f ca="1">A19taxvalue-SUM('Tax value roll forward'!H306:OFFSET('Tax value roll forward'!H306,0,Input!$Y$7-1))</f>
        <v>0</v>
      </c>
      <c r="K260" s="262">
        <f>IF(A19taxremlife="N/A","n/a",A19taxremlife-Input!$Y$7)</f>
        <v>-5</v>
      </c>
      <c r="L260" s="115"/>
      <c r="M260" s="9"/>
      <c r="N260" s="9"/>
      <c r="O260" s="9"/>
      <c r="P260" s="9"/>
      <c r="Q260" s="9"/>
      <c r="R260" s="9"/>
      <c r="S260" s="255"/>
      <c r="T260" s="255"/>
      <c r="U260" s="255"/>
      <c r="V260" s="255"/>
      <c r="W260" s="255"/>
      <c r="X260" s="255"/>
      <c r="Y260" s="255"/>
      <c r="Z260" s="255"/>
    </row>
    <row r="261" spans="1:26" hidden="1" outlineLevel="1">
      <c r="A261" s="9"/>
      <c r="B261" s="9"/>
      <c r="C261" s="540" t="s">
        <v>59</v>
      </c>
      <c r="D261" s="91">
        <v>1</v>
      </c>
      <c r="E261" s="262">
        <f ca="1">OFFSET('Actual RAB roll forward'!H$62,0,D261-1)-SUM('Actual RAB roll forward'!H312:OFFSET('Actual RAB roll forward'!H312,0,Input!$Y$7-1))</f>
        <v>0</v>
      </c>
      <c r="F261" s="262">
        <f ca="1">IF(A19stdlife="N/A","n/a",IF(E261=0,0,A19stdlife+D261-Input!$Y$7))</f>
        <v>0</v>
      </c>
      <c r="G261" s="258"/>
      <c r="H261" s="540" t="s">
        <v>59</v>
      </c>
      <c r="I261" s="91">
        <v>1</v>
      </c>
      <c r="J261" s="262">
        <f ca="1">OFFSET('Tax value roll forward'!H$58,0,I261-1)-SUM('Tax value roll forward'!H308:OFFSET('Tax value roll forward'!H308,0,Input!$Y$7-1))</f>
        <v>0</v>
      </c>
      <c r="K261" s="262">
        <f ca="1">IF(A19taxstdlife="N/A","n/a",IF(J261=0,0,A19taxstdlife+I261-Input!$Y$7))</f>
        <v>0</v>
      </c>
      <c r="L261" s="115"/>
      <c r="M261" s="9"/>
      <c r="N261" s="9"/>
      <c r="O261" s="9"/>
      <c r="P261" s="9"/>
      <c r="Q261" s="9"/>
      <c r="R261" s="9"/>
      <c r="S261" s="255"/>
      <c r="T261" s="255"/>
      <c r="U261" s="255"/>
      <c r="V261" s="255"/>
      <c r="W261" s="255"/>
      <c r="X261" s="255"/>
      <c r="Y261" s="255"/>
      <c r="Z261" s="255"/>
    </row>
    <row r="262" spans="1:26" hidden="1" outlineLevel="1">
      <c r="A262" s="9"/>
      <c r="B262" s="9"/>
      <c r="C262" s="541"/>
      <c r="D262" s="91">
        <v>2</v>
      </c>
      <c r="E262" s="262">
        <f ca="1">OFFSET('Actual RAB roll forward'!H$62,0,D262-1)-SUM('Actual RAB roll forward'!H313:OFFSET('Actual RAB roll forward'!H313,0,Input!$Y$7-1))</f>
        <v>0</v>
      </c>
      <c r="F262" s="262">
        <f ca="1">IF(A19stdlife="N/A","n/a",IF(E262=0,0,A19stdlife+D262-Input!$Y$7))</f>
        <v>0</v>
      </c>
      <c r="G262" s="258"/>
      <c r="H262" s="541"/>
      <c r="I262" s="91">
        <v>2</v>
      </c>
      <c r="J262" s="262">
        <f ca="1">OFFSET('Tax value roll forward'!H$58,0,I262-1)-SUM('Tax value roll forward'!H309:OFFSET('Tax value roll forward'!H309,0,Input!$Y$7-1))</f>
        <v>0</v>
      </c>
      <c r="K262" s="262">
        <f ca="1">IF(A19taxstdlife="N/A","n/a",IF(J262=0,0,A19taxstdlife+I262-Input!$Y$7))</f>
        <v>0</v>
      </c>
      <c r="L262" s="115"/>
      <c r="M262" s="9"/>
      <c r="N262" s="9"/>
      <c r="O262" s="9"/>
      <c r="P262" s="9"/>
      <c r="Q262" s="9"/>
      <c r="R262" s="9"/>
      <c r="S262" s="255"/>
      <c r="T262" s="255"/>
      <c r="U262" s="255"/>
      <c r="V262" s="255"/>
      <c r="W262" s="255"/>
      <c r="X262" s="255"/>
      <c r="Y262" s="255"/>
      <c r="Z262" s="255"/>
    </row>
    <row r="263" spans="1:26" hidden="1" outlineLevel="1">
      <c r="A263" s="9"/>
      <c r="B263" s="9"/>
      <c r="C263" s="541"/>
      <c r="D263" s="91">
        <v>3</v>
      </c>
      <c r="E263" s="262">
        <f ca="1">OFFSET('Actual RAB roll forward'!H$62,0,D263-1)-SUM('Actual RAB roll forward'!H314:OFFSET('Actual RAB roll forward'!H314,0,Input!$Y$7-1))</f>
        <v>0</v>
      </c>
      <c r="F263" s="262">
        <f ca="1">IF(A19stdlife="N/A","n/a",IF(E263=0,0,A19stdlife+D263-Input!$Y$7))</f>
        <v>0</v>
      </c>
      <c r="G263" s="258"/>
      <c r="H263" s="541"/>
      <c r="I263" s="91">
        <v>3</v>
      </c>
      <c r="J263" s="262">
        <f ca="1">OFFSET('Tax value roll forward'!H$58,0,I263-1)-SUM('Tax value roll forward'!H310:OFFSET('Tax value roll forward'!H310,0,Input!$Y$7-1))</f>
        <v>0</v>
      </c>
      <c r="K263" s="262">
        <f ca="1">IF(A19taxstdlife="N/A","n/a",IF(J263=0,0,A19taxstdlife+I263-Input!$Y$7))</f>
        <v>0</v>
      </c>
      <c r="L263" s="115"/>
      <c r="M263" s="9"/>
      <c r="N263" s="9"/>
      <c r="O263" s="9"/>
      <c r="P263" s="9"/>
      <c r="Q263" s="9"/>
      <c r="R263" s="9"/>
      <c r="S263" s="255"/>
      <c r="T263" s="255"/>
      <c r="U263" s="255"/>
      <c r="V263" s="255"/>
      <c r="W263" s="255"/>
      <c r="X263" s="255"/>
      <c r="Y263" s="255"/>
      <c r="Z263" s="255"/>
    </row>
    <row r="264" spans="1:26" hidden="1" outlineLevel="1">
      <c r="A264" s="9"/>
      <c r="B264" s="9"/>
      <c r="C264" s="541"/>
      <c r="D264" s="91">
        <v>4</v>
      </c>
      <c r="E264" s="262">
        <f ca="1">OFFSET('Actual RAB roll forward'!H$62,0,D264-1)-SUM('Actual RAB roll forward'!H315:OFFSET('Actual RAB roll forward'!H315,0,Input!$Y$7-1))</f>
        <v>0</v>
      </c>
      <c r="F264" s="262">
        <f ca="1">IF(A19stdlife="N/A","n/a",IF(E264=0,0,A19stdlife+D264-Input!$Y$7))</f>
        <v>0</v>
      </c>
      <c r="G264" s="258"/>
      <c r="H264" s="541"/>
      <c r="I264" s="91">
        <v>4</v>
      </c>
      <c r="J264" s="262">
        <f ca="1">OFFSET('Tax value roll forward'!H$58,0,I264-1)-SUM('Tax value roll forward'!H311:OFFSET('Tax value roll forward'!H311,0,Input!$Y$7-1))</f>
        <v>0</v>
      </c>
      <c r="K264" s="262">
        <f ca="1">IF(A19taxstdlife="N/A","n/a",IF(J264=0,0,A19taxstdlife+I264-Input!$Y$7))</f>
        <v>0</v>
      </c>
      <c r="L264" s="115"/>
      <c r="M264" s="9"/>
      <c r="N264" s="9"/>
      <c r="O264" s="9"/>
      <c r="P264" s="9"/>
      <c r="Q264" s="9"/>
      <c r="R264" s="9"/>
      <c r="S264" s="255"/>
      <c r="T264" s="255"/>
      <c r="U264" s="255"/>
      <c r="V264" s="255"/>
      <c r="W264" s="255"/>
      <c r="X264" s="255"/>
      <c r="Y264" s="255"/>
      <c r="Z264" s="255"/>
    </row>
    <row r="265" spans="1:26" hidden="1" outlineLevel="1">
      <c r="A265" s="9"/>
      <c r="B265" s="9"/>
      <c r="C265" s="541"/>
      <c r="D265" s="91">
        <v>5</v>
      </c>
      <c r="E265" s="262">
        <f ca="1">OFFSET('Actual RAB roll forward'!H$62,0,D265-1)-SUM('Actual RAB roll forward'!H316:OFFSET('Actual RAB roll forward'!H316,0,Input!$Y$7-1))</f>
        <v>0</v>
      </c>
      <c r="F265" s="262">
        <f ca="1">IF(A19stdlife="N/A","n/a",IF(E265=0,0,A19stdlife+D265-Input!$Y$7))</f>
        <v>0</v>
      </c>
      <c r="G265" s="258"/>
      <c r="H265" s="541"/>
      <c r="I265" s="91">
        <v>5</v>
      </c>
      <c r="J265" s="262">
        <f ca="1">OFFSET('Tax value roll forward'!H$58,0,I265-1)-SUM('Tax value roll forward'!H312:OFFSET('Tax value roll forward'!H312,0,Input!$Y$7-1))</f>
        <v>0</v>
      </c>
      <c r="K265" s="262">
        <f ca="1">IF(A19taxstdlife="N/A","n/a",IF(J265=0,0,A19taxstdlife+I265-Input!$Y$7))</f>
        <v>0</v>
      </c>
      <c r="L265" s="115"/>
      <c r="M265" s="9"/>
      <c r="N265" s="9"/>
      <c r="O265" s="9"/>
      <c r="P265" s="9"/>
      <c r="Q265" s="9"/>
      <c r="R265" s="9"/>
      <c r="S265" s="255"/>
      <c r="T265" s="255"/>
      <c r="U265" s="255"/>
      <c r="V265" s="255"/>
      <c r="W265" s="255"/>
      <c r="X265" s="255"/>
      <c r="Y265" s="255"/>
      <c r="Z265" s="255"/>
    </row>
    <row r="266" spans="1:26" hidden="1" outlineLevel="1">
      <c r="A266" s="9"/>
      <c r="B266" s="9"/>
      <c r="C266" s="541"/>
      <c r="D266" s="91">
        <v>6</v>
      </c>
      <c r="E266" s="262">
        <f ca="1">OFFSET('Actual RAB roll forward'!H$62,0,D266-1)-SUM('Actual RAB roll forward'!H317:OFFSET('Actual RAB roll forward'!H317,0,Input!$Y$7-1))</f>
        <v>0</v>
      </c>
      <c r="F266" s="262">
        <f ca="1">IF(A19stdlife="N/A","n/a",IF(E266=0,0,A19stdlife+D266-Input!$Y$7))</f>
        <v>0</v>
      </c>
      <c r="G266" s="258"/>
      <c r="H266" s="541"/>
      <c r="I266" s="91">
        <v>6</v>
      </c>
      <c r="J266" s="262">
        <f ca="1">OFFSET('Tax value roll forward'!H$58,0,I266-1)-SUM('Tax value roll forward'!H313:OFFSET('Tax value roll forward'!H313,0,Input!$Y$7-1))</f>
        <v>0</v>
      </c>
      <c r="K266" s="262">
        <f ca="1">IF(A19taxstdlife="N/A","n/a",IF(J266=0,0,A19taxstdlife+I266-Input!$Y$7))</f>
        <v>0</v>
      </c>
      <c r="L266" s="115"/>
      <c r="M266" s="9"/>
      <c r="N266" s="9"/>
      <c r="O266" s="9"/>
      <c r="P266" s="9"/>
      <c r="Q266" s="9"/>
      <c r="R266" s="9"/>
      <c r="S266" s="255"/>
      <c r="T266" s="255"/>
      <c r="U266" s="255"/>
      <c r="V266" s="255"/>
      <c r="W266" s="255"/>
      <c r="X266" s="255"/>
      <c r="Y266" s="255"/>
      <c r="Z266" s="255"/>
    </row>
    <row r="267" spans="1:26" hidden="1" outlineLevel="1">
      <c r="A267" s="9"/>
      <c r="B267" s="9"/>
      <c r="C267" s="541"/>
      <c r="D267" s="91">
        <v>7</v>
      </c>
      <c r="E267" s="262">
        <f ca="1">OFFSET('Actual RAB roll forward'!H$62,0,D267-1)-SUM('Actual RAB roll forward'!H318:OFFSET('Actual RAB roll forward'!H318,0,Input!$Y$7-1))</f>
        <v>0</v>
      </c>
      <c r="F267" s="262">
        <f ca="1">IF(A19stdlife="N/A","n/a",IF(E267=0,0,A19stdlife+D267-Input!$Y$7))</f>
        <v>0</v>
      </c>
      <c r="G267" s="258"/>
      <c r="H267" s="541"/>
      <c r="I267" s="91">
        <v>7</v>
      </c>
      <c r="J267" s="262">
        <f ca="1">OFFSET('Tax value roll forward'!H$58,0,I267-1)-SUM('Tax value roll forward'!H314:OFFSET('Tax value roll forward'!H314,0,Input!$Y$7-1))</f>
        <v>0</v>
      </c>
      <c r="K267" s="262">
        <f ca="1">IF(A19taxstdlife="N/A","n/a",IF(J267=0,0,A19taxstdlife+I267-Input!$Y$7))</f>
        <v>0</v>
      </c>
      <c r="L267" s="115"/>
      <c r="M267" s="9"/>
      <c r="N267" s="9"/>
      <c r="O267" s="9"/>
      <c r="P267" s="9"/>
      <c r="Q267" s="9"/>
      <c r="R267" s="9"/>
      <c r="S267" s="255"/>
      <c r="T267" s="255"/>
      <c r="U267" s="255"/>
      <c r="V267" s="255"/>
      <c r="W267" s="255"/>
      <c r="X267" s="255"/>
      <c r="Y267" s="255"/>
      <c r="Z267" s="255"/>
    </row>
    <row r="268" spans="1:26" hidden="1" outlineLevel="1">
      <c r="A268" s="9"/>
      <c r="B268" s="9"/>
      <c r="C268" s="541"/>
      <c r="D268" s="91">
        <v>8</v>
      </c>
      <c r="E268" s="262">
        <f ca="1">OFFSET('Actual RAB roll forward'!H$62,0,D268-1)-SUM('Actual RAB roll forward'!H319:OFFSET('Actual RAB roll forward'!H319,0,Input!$Y$7-1))</f>
        <v>0</v>
      </c>
      <c r="F268" s="262">
        <f ca="1">IF(A19stdlife="N/A","n/a",IF(E268=0,0,A19stdlife+D268-Input!$Y$7))</f>
        <v>0</v>
      </c>
      <c r="G268" s="258"/>
      <c r="H268" s="541"/>
      <c r="I268" s="91">
        <v>8</v>
      </c>
      <c r="J268" s="262">
        <f ca="1">OFFSET('Tax value roll forward'!H$58,0,I268-1)-SUM('Tax value roll forward'!H315:OFFSET('Tax value roll forward'!H315,0,Input!$Y$7-1))</f>
        <v>0</v>
      </c>
      <c r="K268" s="262">
        <f ca="1">IF(A19taxstdlife="N/A","n/a",IF(J268=0,0,A19taxstdlife+I268-Input!$Y$7))</f>
        <v>0</v>
      </c>
      <c r="L268" s="115"/>
      <c r="M268" s="9"/>
      <c r="N268" s="9"/>
      <c r="O268" s="9"/>
      <c r="P268" s="9"/>
      <c r="Q268" s="9"/>
      <c r="R268" s="9"/>
      <c r="S268" s="255"/>
      <c r="T268" s="255"/>
      <c r="U268" s="255"/>
      <c r="V268" s="255"/>
      <c r="W268" s="255"/>
      <c r="X268" s="255"/>
      <c r="Y268" s="255"/>
      <c r="Z268" s="255"/>
    </row>
    <row r="269" spans="1:26" hidden="1" outlineLevel="1">
      <c r="A269" s="9"/>
      <c r="B269" s="9"/>
      <c r="C269" s="541"/>
      <c r="D269" s="91">
        <v>9</v>
      </c>
      <c r="E269" s="262">
        <f ca="1">OFFSET('Actual RAB roll forward'!H$62,0,D269-1)-SUM('Actual RAB roll forward'!H320:OFFSET('Actual RAB roll forward'!H320,0,Input!$Y$7-1))</f>
        <v>0</v>
      </c>
      <c r="F269" s="262">
        <f ca="1">IF(A19stdlife="N/A","n/a",IF(E269=0,0,A19stdlife+D269-Input!$Y$7))</f>
        <v>0</v>
      </c>
      <c r="G269" s="258"/>
      <c r="H269" s="541"/>
      <c r="I269" s="91">
        <v>9</v>
      </c>
      <c r="J269" s="262">
        <f ca="1">OFFSET('Tax value roll forward'!H$58,0,I269-1)-SUM('Tax value roll forward'!H316:OFFSET('Tax value roll forward'!H316,0,Input!$Y$7-1))</f>
        <v>0</v>
      </c>
      <c r="K269" s="262">
        <f ca="1">IF(A19taxstdlife="N/A","n/a",IF(J269=0,0,A19taxstdlife+I269-Input!$Y$7))</f>
        <v>0</v>
      </c>
      <c r="L269" s="115"/>
      <c r="M269" s="9"/>
      <c r="N269" s="9"/>
      <c r="O269" s="9"/>
      <c r="P269" s="9"/>
      <c r="Q269" s="9"/>
      <c r="R269" s="9"/>
      <c r="S269" s="255"/>
      <c r="T269" s="255"/>
      <c r="U269" s="255"/>
      <c r="V269" s="255"/>
      <c r="W269" s="255"/>
      <c r="X269" s="255"/>
      <c r="Y269" s="255"/>
      <c r="Z269" s="255"/>
    </row>
    <row r="270" spans="1:26" hidden="1" outlineLevel="1">
      <c r="A270" s="9"/>
      <c r="B270" s="9"/>
      <c r="C270" s="542"/>
      <c r="D270" s="92">
        <v>10</v>
      </c>
      <c r="E270" s="262">
        <f ca="1">OFFSET('Actual RAB roll forward'!H$62,0,D270-1)-SUM('Actual RAB roll forward'!H321:OFFSET('Actual RAB roll forward'!H321,0,Input!$Y$7-1))</f>
        <v>0</v>
      </c>
      <c r="F270" s="262">
        <f ca="1">IF(A19stdlife="N/A","n/a",IF(E270=0,0,A19stdlife+D270-Input!$Y$7))</f>
        <v>0</v>
      </c>
      <c r="G270" s="258"/>
      <c r="H270" s="542"/>
      <c r="I270" s="92">
        <v>10</v>
      </c>
      <c r="J270" s="262">
        <f ca="1">OFFSET('Tax value roll forward'!H$58,0,I270-1)-SUM('Tax value roll forward'!H317:OFFSET('Tax value roll forward'!H317,0,Input!$Y$7-1))</f>
        <v>0</v>
      </c>
      <c r="K270" s="262">
        <f ca="1">IF(A19taxstdlife="N/A","n/a",IF(J270=0,0,A19taxstdlife+I270-Input!$Y$7))</f>
        <v>0</v>
      </c>
      <c r="L270" s="115"/>
      <c r="M270" s="9"/>
      <c r="N270" s="9"/>
      <c r="O270" s="9"/>
      <c r="P270" s="9"/>
      <c r="Q270" s="9"/>
      <c r="R270" s="9"/>
      <c r="S270" s="255"/>
      <c r="T270" s="255"/>
      <c r="U270" s="255"/>
      <c r="V270" s="255"/>
      <c r="W270" s="255"/>
      <c r="X270" s="255"/>
      <c r="Y270" s="255"/>
      <c r="Z270" s="255"/>
    </row>
    <row r="271" spans="1:26" collapsed="1">
      <c r="A271" s="9"/>
      <c r="B271" s="9"/>
      <c r="C271" s="275">
        <f>Asset19</f>
        <v>0</v>
      </c>
      <c r="D271" s="9"/>
      <c r="E271" s="262">
        <f ca="1">SUM(E260:E270)</f>
        <v>0</v>
      </c>
      <c r="F271" s="262">
        <f ca="1">IF(E271=0,0,SUMPRODUCT(E260:E270,F260:F270)/E271)</f>
        <v>0</v>
      </c>
      <c r="G271" s="258"/>
      <c r="H271" s="43"/>
      <c r="I271" s="262"/>
      <c r="J271" s="262">
        <f ca="1">SUM(J260:J270)</f>
        <v>0</v>
      </c>
      <c r="K271" s="262">
        <f ca="1">IF(J271=0,0,SUMPRODUCT(J260:J270,K260:K270)/J271)</f>
        <v>0</v>
      </c>
      <c r="L271" s="115"/>
      <c r="M271" s="9"/>
      <c r="N271" s="9"/>
      <c r="O271" s="9"/>
      <c r="P271" s="9"/>
      <c r="Q271" s="9"/>
      <c r="R271" s="9"/>
      <c r="S271" s="255"/>
      <c r="T271" s="255"/>
      <c r="U271" s="255"/>
      <c r="V271" s="255"/>
      <c r="W271" s="255"/>
      <c r="X271" s="255"/>
      <c r="Y271" s="255"/>
      <c r="Z271" s="255"/>
    </row>
    <row r="272" spans="1:26" hidden="1" outlineLevel="1">
      <c r="A272" s="9"/>
      <c r="B272" s="9"/>
      <c r="C272" s="275"/>
      <c r="D272" s="9"/>
      <c r="E272" s="262"/>
      <c r="F272" s="262"/>
      <c r="G272" s="258"/>
      <c r="H272" s="262"/>
      <c r="I272" s="262"/>
      <c r="J272" s="267"/>
      <c r="K272" s="262"/>
      <c r="L272" s="115"/>
      <c r="M272" s="9"/>
      <c r="N272" s="9"/>
      <c r="O272" s="9"/>
      <c r="P272" s="9"/>
      <c r="Q272" s="9"/>
      <c r="R272" s="9"/>
      <c r="S272" s="255"/>
      <c r="T272" s="255"/>
      <c r="U272" s="255"/>
      <c r="V272" s="255"/>
      <c r="W272" s="255"/>
      <c r="X272" s="255"/>
      <c r="Y272" s="255"/>
      <c r="Z272" s="255"/>
    </row>
    <row r="273" spans="1:26" hidden="1" outlineLevel="1">
      <c r="A273" s="9"/>
      <c r="B273" s="273">
        <f>Asset20</f>
        <v>0</v>
      </c>
      <c r="C273" s="9"/>
      <c r="D273" s="9"/>
      <c r="E273" s="35"/>
      <c r="F273" s="35"/>
      <c r="G273" s="258"/>
      <c r="H273" s="262"/>
      <c r="I273" s="262"/>
      <c r="J273" s="267"/>
      <c r="K273" s="262"/>
      <c r="L273" s="115"/>
      <c r="M273" s="9"/>
      <c r="N273" s="9"/>
      <c r="O273" s="9"/>
      <c r="P273" s="9"/>
      <c r="Q273" s="9"/>
      <c r="R273" s="9"/>
      <c r="S273" s="255"/>
      <c r="T273" s="255"/>
      <c r="U273" s="255"/>
      <c r="V273" s="255"/>
      <c r="W273" s="255"/>
      <c r="X273" s="255"/>
      <c r="Y273" s="255"/>
      <c r="Z273" s="255"/>
    </row>
    <row r="274" spans="1:26" ht="12.75" hidden="1" customHeight="1" outlineLevel="1">
      <c r="A274" s="9"/>
      <c r="B274" s="9"/>
      <c r="C274" s="538" t="s">
        <v>5</v>
      </c>
      <c r="D274" s="539"/>
      <c r="E274" s="262">
        <f ca="1">A20value-SUM('Actual RAB roll forward'!H323:OFFSET('Actual RAB roll forward'!H323,0,Input!$Y$7-1))</f>
        <v>0</v>
      </c>
      <c r="F274" s="262">
        <f>IF(A20remlife="N/A","n/a",A20remlife-Input!$Y$7)</f>
        <v>-5</v>
      </c>
      <c r="G274" s="258"/>
      <c r="H274" s="299" t="s">
        <v>43</v>
      </c>
      <c r="I274" s="300"/>
      <c r="J274" s="262">
        <f ca="1">A20taxvalue-SUM('Tax value roll forward'!H319:OFFSET('Tax value roll forward'!H319,0,Input!$Y$7-1))</f>
        <v>0</v>
      </c>
      <c r="K274" s="262">
        <f>IF(A20taxremlife="N/A","n/a",A20taxremlife-Input!$Y$7)</f>
        <v>-5</v>
      </c>
      <c r="L274" s="115"/>
      <c r="M274" s="9"/>
      <c r="N274" s="9"/>
      <c r="O274" s="9"/>
      <c r="P274" s="9"/>
      <c r="Q274" s="9"/>
      <c r="R274" s="9"/>
      <c r="S274" s="255"/>
      <c r="T274" s="255"/>
      <c r="U274" s="255"/>
      <c r="V274" s="255"/>
      <c r="W274" s="255"/>
      <c r="X274" s="255"/>
      <c r="Y274" s="255"/>
      <c r="Z274" s="255"/>
    </row>
    <row r="275" spans="1:26" hidden="1" outlineLevel="1">
      <c r="A275" s="9"/>
      <c r="B275" s="9"/>
      <c r="C275" s="540" t="s">
        <v>59</v>
      </c>
      <c r="D275" s="91">
        <v>1</v>
      </c>
      <c r="E275" s="262">
        <f ca="1">OFFSET('Actual RAB roll forward'!H$63,0,D275-1)-SUM('Actual RAB roll forward'!H325:OFFSET('Actual RAB roll forward'!H325,0,Input!$Y$7-1))</f>
        <v>0</v>
      </c>
      <c r="F275" s="262">
        <f ca="1">IF(A20stdlife="N/A","n/a",IF(E275=0,0,A20stdlife+D275-Input!$Y$7))</f>
        <v>0</v>
      </c>
      <c r="G275" s="258"/>
      <c r="H275" s="540" t="s">
        <v>59</v>
      </c>
      <c r="I275" s="91">
        <v>1</v>
      </c>
      <c r="J275" s="262">
        <f ca="1">OFFSET('Tax value roll forward'!H$59,0,I275-1)-SUM('Tax value roll forward'!H321:OFFSET('Tax value roll forward'!H321,0,Input!$Y$7-1))</f>
        <v>0</v>
      </c>
      <c r="K275" s="262">
        <f ca="1">IF(A20taxstdlife="N/A","n/a",IF(J275=0,0,A20taxstdlife+I275-Input!$Y$7))</f>
        <v>0</v>
      </c>
      <c r="L275" s="115"/>
      <c r="M275" s="9"/>
      <c r="N275" s="9"/>
      <c r="O275" s="9"/>
      <c r="P275" s="9"/>
      <c r="Q275" s="9"/>
      <c r="R275" s="9"/>
      <c r="S275" s="255"/>
      <c r="T275" s="255"/>
      <c r="U275" s="255"/>
      <c r="V275" s="255"/>
      <c r="W275" s="255"/>
      <c r="X275" s="255"/>
      <c r="Y275" s="255"/>
      <c r="Z275" s="255"/>
    </row>
    <row r="276" spans="1:26" hidden="1" outlineLevel="1">
      <c r="A276" s="9"/>
      <c r="B276" s="9"/>
      <c r="C276" s="541"/>
      <c r="D276" s="91">
        <v>2</v>
      </c>
      <c r="E276" s="262">
        <f ca="1">OFFSET('Actual RAB roll forward'!H$63,0,D276-1)-SUM('Actual RAB roll forward'!H326:OFFSET('Actual RAB roll forward'!H326,0,Input!$Y$7-1))</f>
        <v>0</v>
      </c>
      <c r="F276" s="262">
        <f ca="1">IF(A20stdlife="N/A","n/a",IF(E276=0,0,A20stdlife+D276-Input!$Y$7))</f>
        <v>0</v>
      </c>
      <c r="G276" s="258"/>
      <c r="H276" s="541"/>
      <c r="I276" s="91">
        <v>2</v>
      </c>
      <c r="J276" s="262">
        <f ca="1">OFFSET('Tax value roll forward'!H$59,0,I276-1)-SUM('Tax value roll forward'!H322:OFFSET('Tax value roll forward'!H322,0,Input!$Y$7-1))</f>
        <v>0</v>
      </c>
      <c r="K276" s="262">
        <f ca="1">IF(A20taxstdlife="N/A","n/a",IF(J276=0,0,A20taxstdlife+I276-Input!$Y$7))</f>
        <v>0</v>
      </c>
      <c r="L276" s="115"/>
      <c r="M276" s="9"/>
      <c r="N276" s="9"/>
      <c r="O276" s="9"/>
      <c r="P276" s="9"/>
      <c r="Q276" s="9"/>
      <c r="R276" s="9"/>
      <c r="S276" s="255"/>
      <c r="T276" s="255"/>
      <c r="U276" s="255"/>
      <c r="V276" s="255"/>
      <c r="W276" s="255"/>
      <c r="X276" s="255"/>
      <c r="Y276" s="255"/>
      <c r="Z276" s="255"/>
    </row>
    <row r="277" spans="1:26" hidden="1" outlineLevel="1">
      <c r="A277" s="9"/>
      <c r="B277" s="9"/>
      <c r="C277" s="541"/>
      <c r="D277" s="91">
        <v>3</v>
      </c>
      <c r="E277" s="262">
        <f ca="1">OFFSET('Actual RAB roll forward'!H$63,0,D277-1)-SUM('Actual RAB roll forward'!H327:OFFSET('Actual RAB roll forward'!H327,0,Input!$Y$7-1))</f>
        <v>0</v>
      </c>
      <c r="F277" s="262">
        <f ca="1">IF(A20stdlife="N/A","n/a",IF(E277=0,0,A20stdlife+D277-Input!$Y$7))</f>
        <v>0</v>
      </c>
      <c r="G277" s="258"/>
      <c r="H277" s="541"/>
      <c r="I277" s="91">
        <v>3</v>
      </c>
      <c r="J277" s="262">
        <f ca="1">OFFSET('Tax value roll forward'!H$59,0,I277-1)-SUM('Tax value roll forward'!H323:OFFSET('Tax value roll forward'!H323,0,Input!$Y$7-1))</f>
        <v>0</v>
      </c>
      <c r="K277" s="262">
        <f ca="1">IF(A20taxstdlife="N/A","n/a",IF(J277=0,0,A20taxstdlife+I277-Input!$Y$7))</f>
        <v>0</v>
      </c>
      <c r="L277" s="115"/>
      <c r="M277" s="9"/>
      <c r="N277" s="9"/>
      <c r="O277" s="9"/>
      <c r="P277" s="9"/>
      <c r="Q277" s="9"/>
      <c r="R277" s="9"/>
      <c r="S277" s="255"/>
      <c r="T277" s="255"/>
      <c r="U277" s="255"/>
      <c r="V277" s="255"/>
      <c r="W277" s="255"/>
      <c r="X277" s="255"/>
      <c r="Y277" s="255"/>
      <c r="Z277" s="255"/>
    </row>
    <row r="278" spans="1:26" hidden="1" outlineLevel="1">
      <c r="A278" s="9"/>
      <c r="B278" s="9"/>
      <c r="C278" s="541"/>
      <c r="D278" s="91">
        <v>4</v>
      </c>
      <c r="E278" s="262">
        <f ca="1">OFFSET('Actual RAB roll forward'!H$63,0,D278-1)-SUM('Actual RAB roll forward'!H328:OFFSET('Actual RAB roll forward'!H328,0,Input!$Y$7-1))</f>
        <v>0</v>
      </c>
      <c r="F278" s="262">
        <f ca="1">IF(A20stdlife="N/A","n/a",IF(E278=0,0,A20stdlife+D278-Input!$Y$7))</f>
        <v>0</v>
      </c>
      <c r="G278" s="258"/>
      <c r="H278" s="541"/>
      <c r="I278" s="91">
        <v>4</v>
      </c>
      <c r="J278" s="262">
        <f ca="1">OFFSET('Tax value roll forward'!H$59,0,I278-1)-SUM('Tax value roll forward'!H324:OFFSET('Tax value roll forward'!H324,0,Input!$Y$7-1))</f>
        <v>0</v>
      </c>
      <c r="K278" s="262">
        <f ca="1">IF(A20taxstdlife="N/A","n/a",IF(J278=0,0,A20taxstdlife+I278-Input!$Y$7))</f>
        <v>0</v>
      </c>
      <c r="L278" s="115"/>
      <c r="M278" s="9"/>
      <c r="N278" s="9"/>
      <c r="O278" s="9"/>
      <c r="P278" s="9"/>
      <c r="Q278" s="9"/>
      <c r="R278" s="9"/>
      <c r="S278" s="255"/>
      <c r="T278" s="255"/>
      <c r="U278" s="255"/>
      <c r="V278" s="255"/>
      <c r="W278" s="255"/>
      <c r="X278" s="255"/>
      <c r="Y278" s="255"/>
      <c r="Z278" s="255"/>
    </row>
    <row r="279" spans="1:26" hidden="1" outlineLevel="1">
      <c r="A279" s="9"/>
      <c r="B279" s="9"/>
      <c r="C279" s="541"/>
      <c r="D279" s="91">
        <v>5</v>
      </c>
      <c r="E279" s="262">
        <f ca="1">OFFSET('Actual RAB roll forward'!H$63,0,D279-1)-SUM('Actual RAB roll forward'!H329:OFFSET('Actual RAB roll forward'!H329,0,Input!$Y$7-1))</f>
        <v>0</v>
      </c>
      <c r="F279" s="262">
        <f ca="1">IF(A20stdlife="N/A","n/a",IF(E279=0,0,A20stdlife+D279-Input!$Y$7))</f>
        <v>0</v>
      </c>
      <c r="G279" s="258"/>
      <c r="H279" s="541"/>
      <c r="I279" s="91">
        <v>5</v>
      </c>
      <c r="J279" s="262">
        <f ca="1">OFFSET('Tax value roll forward'!H$59,0,I279-1)-SUM('Tax value roll forward'!H325:OFFSET('Tax value roll forward'!H325,0,Input!$Y$7-1))</f>
        <v>0</v>
      </c>
      <c r="K279" s="262">
        <f ca="1">IF(A20taxstdlife="N/A","n/a",IF(J279=0,0,A20taxstdlife+I279-Input!$Y$7))</f>
        <v>0</v>
      </c>
      <c r="L279" s="115"/>
      <c r="M279" s="9"/>
      <c r="N279" s="9"/>
      <c r="O279" s="9"/>
      <c r="P279" s="9"/>
      <c r="Q279" s="9"/>
      <c r="R279" s="9"/>
      <c r="S279" s="255"/>
      <c r="T279" s="255"/>
      <c r="U279" s="255"/>
      <c r="V279" s="255"/>
      <c r="W279" s="255"/>
      <c r="X279" s="255"/>
      <c r="Y279" s="255"/>
      <c r="Z279" s="255"/>
    </row>
    <row r="280" spans="1:26" hidden="1" outlineLevel="1">
      <c r="A280" s="9"/>
      <c r="B280" s="9"/>
      <c r="C280" s="541"/>
      <c r="D280" s="91">
        <v>6</v>
      </c>
      <c r="E280" s="262">
        <f ca="1">OFFSET('Actual RAB roll forward'!H$63,0,D280-1)-SUM('Actual RAB roll forward'!H330:OFFSET('Actual RAB roll forward'!H330,0,Input!$Y$7-1))</f>
        <v>0</v>
      </c>
      <c r="F280" s="262">
        <f ca="1">IF(A20stdlife="N/A","n/a",IF(E280=0,0,A20stdlife+D280-Input!$Y$7))</f>
        <v>0</v>
      </c>
      <c r="G280" s="258"/>
      <c r="H280" s="541"/>
      <c r="I280" s="91">
        <v>6</v>
      </c>
      <c r="J280" s="262">
        <f ca="1">OFFSET('Tax value roll forward'!H$59,0,I280-1)-SUM('Tax value roll forward'!H326:OFFSET('Tax value roll forward'!H326,0,Input!$Y$7-1))</f>
        <v>0</v>
      </c>
      <c r="K280" s="262">
        <f ca="1">IF(A20taxstdlife="N/A","n/a",IF(J280=0,0,A20taxstdlife+I280-Input!$Y$7))</f>
        <v>0</v>
      </c>
      <c r="L280" s="115"/>
      <c r="M280" s="9"/>
      <c r="N280" s="9"/>
      <c r="O280" s="9"/>
      <c r="P280" s="9"/>
      <c r="Q280" s="9"/>
      <c r="R280" s="9"/>
      <c r="S280" s="255"/>
      <c r="T280" s="255"/>
      <c r="U280" s="255"/>
      <c r="V280" s="255"/>
      <c r="W280" s="255"/>
      <c r="X280" s="255"/>
      <c r="Y280" s="255"/>
      <c r="Z280" s="255"/>
    </row>
    <row r="281" spans="1:26" hidden="1" outlineLevel="1">
      <c r="A281" s="9"/>
      <c r="B281" s="9"/>
      <c r="C281" s="541"/>
      <c r="D281" s="91">
        <v>7</v>
      </c>
      <c r="E281" s="262">
        <f ca="1">OFFSET('Actual RAB roll forward'!H$63,0,D281-1)-SUM('Actual RAB roll forward'!H331:OFFSET('Actual RAB roll forward'!H331,0,Input!$Y$7-1))</f>
        <v>0</v>
      </c>
      <c r="F281" s="262">
        <f ca="1">IF(A20stdlife="N/A","n/a",IF(E281=0,0,A20stdlife+D281-Input!$Y$7))</f>
        <v>0</v>
      </c>
      <c r="G281" s="258"/>
      <c r="H281" s="541"/>
      <c r="I281" s="91">
        <v>7</v>
      </c>
      <c r="J281" s="262">
        <f ca="1">OFFSET('Tax value roll forward'!H$59,0,I281-1)-SUM('Tax value roll forward'!H327:OFFSET('Tax value roll forward'!H327,0,Input!$Y$7-1))</f>
        <v>0</v>
      </c>
      <c r="K281" s="262">
        <f ca="1">IF(A20taxstdlife="N/A","n/a",IF(J281=0,0,A20taxstdlife+I281-Input!$Y$7))</f>
        <v>0</v>
      </c>
      <c r="L281" s="115"/>
      <c r="M281" s="9"/>
      <c r="N281" s="9"/>
      <c r="O281" s="9"/>
      <c r="P281" s="9"/>
      <c r="Q281" s="9"/>
      <c r="R281" s="9"/>
      <c r="S281" s="255"/>
      <c r="T281" s="255"/>
      <c r="U281" s="255"/>
      <c r="V281" s="255"/>
      <c r="W281" s="255"/>
      <c r="X281" s="255"/>
      <c r="Y281" s="255"/>
      <c r="Z281" s="255"/>
    </row>
    <row r="282" spans="1:26" hidden="1" outlineLevel="1">
      <c r="A282" s="9"/>
      <c r="B282" s="9"/>
      <c r="C282" s="541"/>
      <c r="D282" s="91">
        <v>8</v>
      </c>
      <c r="E282" s="262">
        <f ca="1">OFFSET('Actual RAB roll forward'!H$63,0,D282-1)-SUM('Actual RAB roll forward'!H332:OFFSET('Actual RAB roll forward'!H332,0,Input!$Y$7-1))</f>
        <v>0</v>
      </c>
      <c r="F282" s="262">
        <f ca="1">IF(A20stdlife="N/A","n/a",IF(E282=0,0,A20stdlife+D282-Input!$Y$7))</f>
        <v>0</v>
      </c>
      <c r="G282" s="258"/>
      <c r="H282" s="541"/>
      <c r="I282" s="91">
        <v>8</v>
      </c>
      <c r="J282" s="262">
        <f ca="1">OFFSET('Tax value roll forward'!H$59,0,I282-1)-SUM('Tax value roll forward'!H328:OFFSET('Tax value roll forward'!H328,0,Input!$Y$7-1))</f>
        <v>0</v>
      </c>
      <c r="K282" s="262">
        <f ca="1">IF(A20taxstdlife="N/A","n/a",IF(J282=0,0,A20taxstdlife+I282-Input!$Y$7))</f>
        <v>0</v>
      </c>
      <c r="L282" s="115"/>
      <c r="M282" s="9"/>
      <c r="N282" s="9"/>
      <c r="O282" s="9"/>
      <c r="P282" s="9"/>
      <c r="Q282" s="9"/>
      <c r="R282" s="9"/>
      <c r="S282" s="255"/>
      <c r="T282" s="255"/>
      <c r="U282" s="255"/>
      <c r="V282" s="255"/>
      <c r="W282" s="255"/>
      <c r="X282" s="255"/>
      <c r="Y282" s="255"/>
      <c r="Z282" s="255"/>
    </row>
    <row r="283" spans="1:26" hidden="1" outlineLevel="1">
      <c r="A283" s="9"/>
      <c r="B283" s="9"/>
      <c r="C283" s="541"/>
      <c r="D283" s="91">
        <v>9</v>
      </c>
      <c r="E283" s="262">
        <f ca="1">OFFSET('Actual RAB roll forward'!H$63,0,D283-1)-SUM('Actual RAB roll forward'!H333:OFFSET('Actual RAB roll forward'!H333,0,Input!$Y$7-1))</f>
        <v>0</v>
      </c>
      <c r="F283" s="262">
        <f ca="1">IF(A20stdlife="N/A","n/a",IF(E283=0,0,A20stdlife+D283-Input!$Y$7))</f>
        <v>0</v>
      </c>
      <c r="G283" s="258"/>
      <c r="H283" s="541"/>
      <c r="I283" s="91">
        <v>9</v>
      </c>
      <c r="J283" s="262">
        <f ca="1">OFFSET('Tax value roll forward'!H$59,0,I283-1)-SUM('Tax value roll forward'!H329:OFFSET('Tax value roll forward'!H329,0,Input!$Y$7-1))</f>
        <v>0</v>
      </c>
      <c r="K283" s="262">
        <f ca="1">IF(A20taxstdlife="N/A","n/a",IF(J283=0,0,A20taxstdlife+I283-Input!$Y$7))</f>
        <v>0</v>
      </c>
      <c r="L283" s="115"/>
      <c r="M283" s="9"/>
      <c r="N283" s="9"/>
      <c r="O283" s="9"/>
      <c r="P283" s="9"/>
      <c r="Q283" s="9"/>
      <c r="R283" s="9"/>
      <c r="S283" s="255"/>
      <c r="T283" s="255"/>
      <c r="U283" s="255"/>
      <c r="V283" s="255"/>
      <c r="W283" s="255"/>
      <c r="X283" s="255"/>
      <c r="Y283" s="255"/>
      <c r="Z283" s="255"/>
    </row>
    <row r="284" spans="1:26" hidden="1" outlineLevel="1">
      <c r="A284" s="9"/>
      <c r="B284" s="9"/>
      <c r="C284" s="542"/>
      <c r="D284" s="92">
        <v>10</v>
      </c>
      <c r="E284" s="262">
        <f ca="1">OFFSET('Actual RAB roll forward'!H$63,0,D284-1)-SUM('Actual RAB roll forward'!H334:OFFSET('Actual RAB roll forward'!H334,0,Input!$Y$7-1))</f>
        <v>0</v>
      </c>
      <c r="F284" s="262">
        <f ca="1">IF(A20stdlife="N/A","n/a",IF(E284=0,0,A20stdlife+D284-Input!$Y$7))</f>
        <v>0</v>
      </c>
      <c r="G284" s="258"/>
      <c r="H284" s="542"/>
      <c r="I284" s="92">
        <v>10</v>
      </c>
      <c r="J284" s="262">
        <f ca="1">OFFSET('Tax value roll forward'!H$59,0,I284-1)-SUM('Tax value roll forward'!H330:OFFSET('Tax value roll forward'!H330,0,Input!$Y$7-1))</f>
        <v>0</v>
      </c>
      <c r="K284" s="262">
        <f ca="1">IF(A20taxstdlife="N/A","n/a",IF(J284=0,0,A20taxstdlife+I284-Input!$Y$7))</f>
        <v>0</v>
      </c>
      <c r="L284" s="115"/>
      <c r="M284" s="9"/>
      <c r="N284" s="9"/>
      <c r="O284" s="9"/>
      <c r="P284" s="9"/>
      <c r="Q284" s="9"/>
      <c r="R284" s="9"/>
      <c r="S284" s="255"/>
      <c r="T284" s="255"/>
      <c r="U284" s="255"/>
      <c r="V284" s="255"/>
      <c r="W284" s="255"/>
      <c r="X284" s="255"/>
      <c r="Y284" s="255"/>
      <c r="Z284" s="255"/>
    </row>
    <row r="285" spans="1:26" collapsed="1">
      <c r="A285" s="9"/>
      <c r="C285" s="275">
        <f>Asset20</f>
        <v>0</v>
      </c>
      <c r="D285" s="9"/>
      <c r="E285" s="262">
        <f ca="1">SUM(E274:E284)</f>
        <v>0</v>
      </c>
      <c r="F285" s="262">
        <f ca="1">IF(E285=0,0,SUMPRODUCT(E274:E284,F274:F284)/E285)</f>
        <v>0</v>
      </c>
      <c r="G285" s="258"/>
      <c r="H285" s="43"/>
      <c r="I285" s="262"/>
      <c r="J285" s="262">
        <f ca="1">SUM(J274:J284)</f>
        <v>0</v>
      </c>
      <c r="K285" s="262">
        <f ca="1">IF(J285=0,0,SUMPRODUCT(J274:J284,K274:K284)/J285)</f>
        <v>0</v>
      </c>
      <c r="L285" s="115"/>
      <c r="M285" s="9"/>
      <c r="N285" s="9"/>
      <c r="O285" s="9"/>
      <c r="P285" s="9"/>
      <c r="Q285" s="9"/>
      <c r="R285" s="9"/>
      <c r="S285" s="255"/>
      <c r="T285" s="255"/>
      <c r="U285" s="255"/>
      <c r="V285" s="255"/>
      <c r="W285" s="255"/>
      <c r="X285" s="255"/>
      <c r="Y285" s="255"/>
      <c r="Z285" s="255"/>
    </row>
    <row r="286" spans="1:26" hidden="1" outlineLevel="1">
      <c r="A286" s="9"/>
      <c r="B286" s="273"/>
      <c r="C286" s="9"/>
      <c r="D286" s="9"/>
      <c r="E286" s="35"/>
      <c r="F286" s="35"/>
      <c r="G286" s="258"/>
      <c r="H286" s="262"/>
      <c r="I286" s="262"/>
      <c r="J286" s="267"/>
      <c r="K286" s="262"/>
      <c r="L286" s="115"/>
      <c r="M286" s="9"/>
      <c r="N286" s="9"/>
      <c r="O286" s="9"/>
      <c r="P286" s="9"/>
      <c r="Q286" s="9"/>
      <c r="R286" s="9"/>
      <c r="S286" s="255"/>
      <c r="T286" s="255"/>
      <c r="U286" s="255"/>
      <c r="V286" s="255"/>
      <c r="W286" s="255"/>
      <c r="X286" s="255"/>
      <c r="Y286" s="255"/>
      <c r="Z286" s="255"/>
    </row>
    <row r="287" spans="1:26" hidden="1" outlineLevel="1">
      <c r="A287" s="9"/>
      <c r="B287" s="273">
        <f>Asset21</f>
        <v>0</v>
      </c>
      <c r="C287" s="9"/>
      <c r="D287" s="9"/>
      <c r="E287" s="35"/>
      <c r="F287" s="35"/>
      <c r="G287" s="258"/>
      <c r="H287" s="262"/>
      <c r="I287" s="262"/>
      <c r="J287" s="267"/>
      <c r="K287" s="262"/>
      <c r="L287" s="115"/>
      <c r="M287" s="9"/>
      <c r="N287" s="9"/>
      <c r="O287" s="9"/>
      <c r="P287" s="9"/>
      <c r="Q287" s="9"/>
      <c r="R287" s="9"/>
      <c r="S287" s="255"/>
      <c r="T287" s="255"/>
      <c r="U287" s="255"/>
      <c r="V287" s="255"/>
      <c r="W287" s="255"/>
      <c r="X287" s="255"/>
      <c r="Y287" s="255"/>
      <c r="Z287" s="255"/>
    </row>
    <row r="288" spans="1:26" ht="12.75" hidden="1" customHeight="1" outlineLevel="1">
      <c r="A288" s="9"/>
      <c r="B288" s="9"/>
      <c r="C288" s="538" t="s">
        <v>5</v>
      </c>
      <c r="D288" s="539"/>
      <c r="E288" s="262">
        <f ca="1">A21value-SUM('Actual RAB roll forward'!H336:OFFSET('Actual RAB roll forward'!H336,0,Input!$Y$7-1))</f>
        <v>0</v>
      </c>
      <c r="F288" s="262">
        <f>IF(A21remlife="N/A","n/a",A21remlife-Input!$Y$7)</f>
        <v>-5</v>
      </c>
      <c r="G288" s="258"/>
      <c r="H288" s="299" t="s">
        <v>43</v>
      </c>
      <c r="I288" s="300"/>
      <c r="J288" s="262">
        <f ca="1">A21taxvalue-SUM('Tax value roll forward'!H332:OFFSET('Tax value roll forward'!H332,0,Input!$Y$7-1))</f>
        <v>0</v>
      </c>
      <c r="K288" s="262">
        <f>IF(A21taxremlife="N/A","n/a",A21taxremlife-Input!$Y$7)</f>
        <v>-5</v>
      </c>
      <c r="L288" s="115"/>
      <c r="M288" s="9"/>
      <c r="N288" s="9"/>
      <c r="O288" s="9"/>
      <c r="P288" s="9"/>
      <c r="Q288" s="9"/>
      <c r="R288" s="9"/>
      <c r="S288" s="255"/>
      <c r="T288" s="255"/>
      <c r="U288" s="255"/>
      <c r="V288" s="255"/>
      <c r="W288" s="255"/>
      <c r="X288" s="255"/>
      <c r="Y288" s="255"/>
      <c r="Z288" s="255"/>
    </row>
    <row r="289" spans="1:26" hidden="1" outlineLevel="1">
      <c r="A289" s="9"/>
      <c r="B289" s="9"/>
      <c r="C289" s="540" t="s">
        <v>59</v>
      </c>
      <c r="D289" s="91">
        <v>1</v>
      </c>
      <c r="E289" s="262">
        <f ca="1">OFFSET('Actual RAB roll forward'!H$64,0,D289-1)-SUM('Actual RAB roll forward'!H338:OFFSET('Actual RAB roll forward'!H338,0,Input!$Y$7-1))</f>
        <v>0</v>
      </c>
      <c r="F289" s="262">
        <f ca="1">IF(A21stdlife="N/A","n/a",IF(E289=0,0,A21stdlife+D289-Input!$Y$7))</f>
        <v>0</v>
      </c>
      <c r="G289" s="258"/>
      <c r="H289" s="540" t="s">
        <v>59</v>
      </c>
      <c r="I289" s="91">
        <v>1</v>
      </c>
      <c r="J289" s="262">
        <f ca="1">OFFSET('Tax value roll forward'!H$60,0,I289-1)-SUM('Tax value roll forward'!H334:OFFSET('Tax value roll forward'!H334,0,Input!$Y$7-1))</f>
        <v>0</v>
      </c>
      <c r="K289" s="262">
        <f ca="1">IF(A21taxstdlife="N/A","n/a",IF(J289=0,0,A21taxstdlife+I289-Input!$Y$7))</f>
        <v>0</v>
      </c>
      <c r="L289" s="115"/>
      <c r="M289" s="9"/>
      <c r="N289" s="9"/>
      <c r="O289" s="9"/>
      <c r="P289" s="9"/>
      <c r="Q289" s="9"/>
      <c r="R289" s="9"/>
      <c r="S289" s="255"/>
      <c r="T289" s="255"/>
      <c r="U289" s="255"/>
      <c r="V289" s="255"/>
      <c r="W289" s="255"/>
      <c r="X289" s="255"/>
      <c r="Y289" s="255"/>
      <c r="Z289" s="255"/>
    </row>
    <row r="290" spans="1:26" hidden="1" outlineLevel="1">
      <c r="A290" s="9"/>
      <c r="B290" s="9"/>
      <c r="C290" s="541"/>
      <c r="D290" s="91">
        <v>2</v>
      </c>
      <c r="E290" s="262">
        <f ca="1">OFFSET('Actual RAB roll forward'!H$64,0,D290-1)-SUM('Actual RAB roll forward'!H339:OFFSET('Actual RAB roll forward'!H339,0,Input!$Y$7-1))</f>
        <v>0</v>
      </c>
      <c r="F290" s="262">
        <f ca="1">IF(A21stdlife="N/A","n/a",IF(E290=0,0,A21stdlife+D290-Input!$Y$7))</f>
        <v>0</v>
      </c>
      <c r="G290" s="258"/>
      <c r="H290" s="541"/>
      <c r="I290" s="91">
        <v>2</v>
      </c>
      <c r="J290" s="262">
        <f ca="1">OFFSET('Tax value roll forward'!H$60,0,I290-1)-SUM('Tax value roll forward'!H335:OFFSET('Tax value roll forward'!H335,0,Input!$Y$7-1))</f>
        <v>0</v>
      </c>
      <c r="K290" s="262">
        <f ca="1">IF(A21taxstdlife="N/A","n/a",IF(J290=0,0,A21taxstdlife+I290-Input!$Y$7))</f>
        <v>0</v>
      </c>
      <c r="L290" s="115"/>
      <c r="M290" s="9"/>
      <c r="N290" s="9"/>
      <c r="O290" s="9"/>
      <c r="P290" s="9"/>
      <c r="Q290" s="9"/>
      <c r="R290" s="9"/>
      <c r="S290" s="255"/>
      <c r="T290" s="255"/>
      <c r="U290" s="255"/>
      <c r="V290" s="255"/>
      <c r="W290" s="255"/>
      <c r="X290" s="255"/>
      <c r="Y290" s="255"/>
      <c r="Z290" s="255"/>
    </row>
    <row r="291" spans="1:26" hidden="1" outlineLevel="1">
      <c r="A291" s="9"/>
      <c r="B291" s="9"/>
      <c r="C291" s="541"/>
      <c r="D291" s="91">
        <v>3</v>
      </c>
      <c r="E291" s="262">
        <f ca="1">OFFSET('Actual RAB roll forward'!H$64,0,D291-1)-SUM('Actual RAB roll forward'!H340:OFFSET('Actual RAB roll forward'!H340,0,Input!$Y$7-1))</f>
        <v>0</v>
      </c>
      <c r="F291" s="262">
        <f ca="1">IF(A21stdlife="N/A","n/a",IF(E291=0,0,A21stdlife+D291-Input!$Y$7))</f>
        <v>0</v>
      </c>
      <c r="G291" s="258"/>
      <c r="H291" s="541"/>
      <c r="I291" s="91">
        <v>3</v>
      </c>
      <c r="J291" s="262">
        <f ca="1">OFFSET('Tax value roll forward'!H$60,0,I291-1)-SUM('Tax value roll forward'!H336:OFFSET('Tax value roll forward'!H336,0,Input!$Y$7-1))</f>
        <v>0</v>
      </c>
      <c r="K291" s="262">
        <f ca="1">IF(A21taxstdlife="N/A","n/a",IF(J291=0,0,A21taxstdlife+I291-Input!$Y$7))</f>
        <v>0</v>
      </c>
      <c r="L291" s="115"/>
      <c r="M291" s="9"/>
      <c r="N291" s="9"/>
      <c r="O291" s="9"/>
      <c r="P291" s="9"/>
      <c r="Q291" s="9"/>
      <c r="R291" s="9"/>
      <c r="S291" s="255"/>
      <c r="T291" s="255"/>
      <c r="U291" s="255"/>
      <c r="V291" s="255"/>
      <c r="W291" s="255"/>
      <c r="X291" s="255"/>
      <c r="Y291" s="255"/>
      <c r="Z291" s="255"/>
    </row>
    <row r="292" spans="1:26" hidden="1" outlineLevel="1">
      <c r="A292" s="9"/>
      <c r="B292" s="9"/>
      <c r="C292" s="541"/>
      <c r="D292" s="91">
        <v>4</v>
      </c>
      <c r="E292" s="262">
        <f ca="1">OFFSET('Actual RAB roll forward'!H$64,0,D292-1)-SUM('Actual RAB roll forward'!H341:OFFSET('Actual RAB roll forward'!H341,0,Input!$Y$7-1))</f>
        <v>0</v>
      </c>
      <c r="F292" s="262">
        <f ca="1">IF(A21stdlife="N/A","n/a",IF(E292=0,0,A21stdlife+D292-Input!$Y$7))</f>
        <v>0</v>
      </c>
      <c r="G292" s="258"/>
      <c r="H292" s="541"/>
      <c r="I292" s="91">
        <v>4</v>
      </c>
      <c r="J292" s="262">
        <f ca="1">OFFSET('Tax value roll forward'!H$60,0,I292-1)-SUM('Tax value roll forward'!H337:OFFSET('Tax value roll forward'!H337,0,Input!$Y$7-1))</f>
        <v>0</v>
      </c>
      <c r="K292" s="262">
        <f ca="1">IF(A21taxstdlife="N/A","n/a",IF(J292=0,0,A21taxstdlife+I292-Input!$Y$7))</f>
        <v>0</v>
      </c>
      <c r="L292" s="115"/>
      <c r="M292" s="9"/>
      <c r="N292" s="9"/>
      <c r="O292" s="9"/>
      <c r="P292" s="9"/>
      <c r="Q292" s="9"/>
      <c r="R292" s="9"/>
      <c r="S292" s="255"/>
      <c r="T292" s="255"/>
      <c r="U292" s="255"/>
      <c r="V292" s="255"/>
      <c r="W292" s="255"/>
      <c r="X292" s="255"/>
      <c r="Y292" s="255"/>
      <c r="Z292" s="255"/>
    </row>
    <row r="293" spans="1:26" hidden="1" outlineLevel="1">
      <c r="A293" s="9"/>
      <c r="B293" s="9"/>
      <c r="C293" s="541"/>
      <c r="D293" s="91">
        <v>5</v>
      </c>
      <c r="E293" s="262">
        <f ca="1">OFFSET('Actual RAB roll forward'!H$64,0,D293-1)-SUM('Actual RAB roll forward'!H342:OFFSET('Actual RAB roll forward'!H342,0,Input!$Y$7-1))</f>
        <v>0</v>
      </c>
      <c r="F293" s="262">
        <f ca="1">IF(A21stdlife="N/A","n/a",IF(E293=0,0,A21stdlife+D293-Input!$Y$7))</f>
        <v>0</v>
      </c>
      <c r="G293" s="258"/>
      <c r="H293" s="541"/>
      <c r="I293" s="91">
        <v>5</v>
      </c>
      <c r="J293" s="262">
        <f ca="1">OFFSET('Tax value roll forward'!H$60,0,I293-1)-SUM('Tax value roll forward'!H338:OFFSET('Tax value roll forward'!H338,0,Input!$Y$7-1))</f>
        <v>0</v>
      </c>
      <c r="K293" s="262">
        <f ca="1">IF(A21taxstdlife="N/A","n/a",IF(J293=0,0,A21taxstdlife+I293-Input!$Y$7))</f>
        <v>0</v>
      </c>
      <c r="L293" s="115"/>
      <c r="M293" s="9"/>
      <c r="N293" s="9"/>
      <c r="O293" s="9"/>
      <c r="P293" s="9"/>
      <c r="Q293" s="9"/>
      <c r="R293" s="9"/>
      <c r="S293" s="255"/>
      <c r="T293" s="255"/>
      <c r="U293" s="255"/>
      <c r="V293" s="255"/>
      <c r="W293" s="255"/>
      <c r="X293" s="255"/>
      <c r="Y293" s="255"/>
      <c r="Z293" s="255"/>
    </row>
    <row r="294" spans="1:26" hidden="1" outlineLevel="1">
      <c r="A294" s="9"/>
      <c r="B294" s="9"/>
      <c r="C294" s="541"/>
      <c r="D294" s="91">
        <v>6</v>
      </c>
      <c r="E294" s="262">
        <f ca="1">OFFSET('Actual RAB roll forward'!H$64,0,D294-1)-SUM('Actual RAB roll forward'!H343:OFFSET('Actual RAB roll forward'!H343,0,Input!$Y$7-1))</f>
        <v>0</v>
      </c>
      <c r="F294" s="262">
        <f ca="1">IF(A21stdlife="N/A","n/a",IF(E294=0,0,A21stdlife+D294-Input!$Y$7))</f>
        <v>0</v>
      </c>
      <c r="G294" s="258"/>
      <c r="H294" s="541"/>
      <c r="I294" s="91">
        <v>6</v>
      </c>
      <c r="J294" s="262">
        <f ca="1">OFFSET('Tax value roll forward'!H$60,0,I294-1)-SUM('Tax value roll forward'!H339:OFFSET('Tax value roll forward'!H339,0,Input!$Y$7-1))</f>
        <v>0</v>
      </c>
      <c r="K294" s="262">
        <f ca="1">IF(A21taxstdlife="N/A","n/a",IF(J294=0,0,A21taxstdlife+I294-Input!$Y$7))</f>
        <v>0</v>
      </c>
      <c r="L294" s="115"/>
      <c r="M294" s="9"/>
      <c r="N294" s="9"/>
      <c r="O294" s="9"/>
      <c r="P294" s="9"/>
      <c r="Q294" s="9"/>
      <c r="R294" s="9"/>
      <c r="S294" s="255"/>
      <c r="T294" s="255"/>
      <c r="U294" s="255"/>
      <c r="V294" s="255"/>
      <c r="W294" s="255"/>
      <c r="X294" s="255"/>
      <c r="Y294" s="255"/>
      <c r="Z294" s="255"/>
    </row>
    <row r="295" spans="1:26" hidden="1" outlineLevel="1">
      <c r="A295" s="9"/>
      <c r="B295" s="9"/>
      <c r="C295" s="541"/>
      <c r="D295" s="91">
        <v>7</v>
      </c>
      <c r="E295" s="262">
        <f ca="1">OFFSET('Actual RAB roll forward'!H$64,0,D295-1)-SUM('Actual RAB roll forward'!H344:OFFSET('Actual RAB roll forward'!H344,0,Input!$Y$7-1))</f>
        <v>0</v>
      </c>
      <c r="F295" s="262">
        <f ca="1">IF(A21stdlife="N/A","n/a",IF(E295=0,0,A21stdlife+D295-Input!$Y$7))</f>
        <v>0</v>
      </c>
      <c r="G295" s="258"/>
      <c r="H295" s="541"/>
      <c r="I295" s="91">
        <v>7</v>
      </c>
      <c r="J295" s="262">
        <f ca="1">OFFSET('Tax value roll forward'!H$60,0,I295-1)-SUM('Tax value roll forward'!H340:OFFSET('Tax value roll forward'!H340,0,Input!$Y$7-1))</f>
        <v>0</v>
      </c>
      <c r="K295" s="262">
        <f ca="1">IF(A21taxstdlife="N/A","n/a",IF(J295=0,0,A21taxstdlife+I295-Input!$Y$7))</f>
        <v>0</v>
      </c>
      <c r="L295" s="115"/>
      <c r="M295" s="9"/>
      <c r="N295" s="9"/>
      <c r="O295" s="9"/>
      <c r="P295" s="9"/>
      <c r="Q295" s="9"/>
      <c r="R295" s="9"/>
      <c r="S295" s="255"/>
      <c r="T295" s="255"/>
      <c r="U295" s="255"/>
      <c r="V295" s="255"/>
      <c r="W295" s="255"/>
      <c r="X295" s="255"/>
      <c r="Y295" s="255"/>
      <c r="Z295" s="255"/>
    </row>
    <row r="296" spans="1:26" hidden="1" outlineLevel="1">
      <c r="A296" s="9"/>
      <c r="B296" s="9"/>
      <c r="C296" s="541"/>
      <c r="D296" s="91">
        <v>8</v>
      </c>
      <c r="E296" s="262">
        <f ca="1">OFFSET('Actual RAB roll forward'!H$64,0,D296-1)-SUM('Actual RAB roll forward'!H345:OFFSET('Actual RAB roll forward'!H345,0,Input!$Y$7-1))</f>
        <v>0</v>
      </c>
      <c r="F296" s="262">
        <f ca="1">IF(A21stdlife="N/A","n/a",IF(E296=0,0,A21stdlife+D296-Input!$Y$7))</f>
        <v>0</v>
      </c>
      <c r="G296" s="258"/>
      <c r="H296" s="541"/>
      <c r="I296" s="91">
        <v>8</v>
      </c>
      <c r="J296" s="262">
        <f ca="1">OFFSET('Tax value roll forward'!H$60,0,I296-1)-SUM('Tax value roll forward'!H341:OFFSET('Tax value roll forward'!H341,0,Input!$Y$7-1))</f>
        <v>0</v>
      </c>
      <c r="K296" s="262">
        <f ca="1">IF(A21taxstdlife="N/A","n/a",IF(J296=0,0,A21taxstdlife+I296-Input!$Y$7))</f>
        <v>0</v>
      </c>
      <c r="L296" s="115"/>
      <c r="M296" s="9"/>
      <c r="N296" s="9"/>
      <c r="O296" s="9"/>
      <c r="P296" s="9"/>
      <c r="Q296" s="9"/>
      <c r="R296" s="9"/>
      <c r="S296" s="255"/>
      <c r="T296" s="255"/>
      <c r="U296" s="255"/>
      <c r="V296" s="255"/>
      <c r="W296" s="255"/>
      <c r="X296" s="255"/>
      <c r="Y296" s="255"/>
      <c r="Z296" s="255"/>
    </row>
    <row r="297" spans="1:26" hidden="1" outlineLevel="1">
      <c r="A297" s="9"/>
      <c r="B297" s="9"/>
      <c r="C297" s="541"/>
      <c r="D297" s="91">
        <v>9</v>
      </c>
      <c r="E297" s="262">
        <f ca="1">OFFSET('Actual RAB roll forward'!H$64,0,D297-1)-SUM('Actual RAB roll forward'!H346:OFFSET('Actual RAB roll forward'!H346,0,Input!$Y$7-1))</f>
        <v>0</v>
      </c>
      <c r="F297" s="262">
        <f ca="1">IF(A21stdlife="N/A","n/a",IF(E297=0,0,A21stdlife+D297-Input!$Y$7))</f>
        <v>0</v>
      </c>
      <c r="G297" s="258"/>
      <c r="H297" s="541"/>
      <c r="I297" s="91">
        <v>9</v>
      </c>
      <c r="J297" s="262">
        <f ca="1">OFFSET('Tax value roll forward'!H$60,0,I297-1)-SUM('Tax value roll forward'!H342:OFFSET('Tax value roll forward'!H342,0,Input!$Y$7-1))</f>
        <v>0</v>
      </c>
      <c r="K297" s="262">
        <f ca="1">IF(A21taxstdlife="N/A","n/a",IF(J297=0,0,A21taxstdlife+I297-Input!$Y$7))</f>
        <v>0</v>
      </c>
      <c r="L297" s="115"/>
      <c r="M297" s="9"/>
      <c r="N297" s="9"/>
      <c r="O297" s="9"/>
      <c r="P297" s="9"/>
      <c r="Q297" s="9"/>
      <c r="R297" s="9"/>
      <c r="S297" s="255"/>
      <c r="T297" s="255"/>
      <c r="U297" s="255"/>
      <c r="V297" s="255"/>
      <c r="W297" s="255"/>
      <c r="X297" s="255"/>
      <c r="Y297" s="255"/>
      <c r="Z297" s="255"/>
    </row>
    <row r="298" spans="1:26" hidden="1" outlineLevel="1">
      <c r="A298" s="9"/>
      <c r="B298" s="9"/>
      <c r="C298" s="542"/>
      <c r="D298" s="92">
        <v>10</v>
      </c>
      <c r="E298" s="262">
        <f ca="1">OFFSET('Actual RAB roll forward'!H$64,0,D298-1)-SUM('Actual RAB roll forward'!H347:OFFSET('Actual RAB roll forward'!H347,0,Input!$Y$7-1))</f>
        <v>0</v>
      </c>
      <c r="F298" s="262">
        <f ca="1">IF(A21stdlife="N/A","n/a",IF(E298=0,0,A21stdlife+D298-Input!$Y$7))</f>
        <v>0</v>
      </c>
      <c r="G298" s="258"/>
      <c r="H298" s="542"/>
      <c r="I298" s="92">
        <v>10</v>
      </c>
      <c r="J298" s="262">
        <f ca="1">OFFSET('Tax value roll forward'!H$60,0,I298-1)-SUM('Tax value roll forward'!H343:OFFSET('Tax value roll forward'!H343,0,Input!$Y$7-1))</f>
        <v>0</v>
      </c>
      <c r="K298" s="262">
        <f ca="1">IF(A21taxstdlife="N/A","n/a",IF(J298=0,0,A21taxstdlife+I298-Input!$Y$7))</f>
        <v>0</v>
      </c>
      <c r="L298" s="115"/>
      <c r="M298" s="9"/>
      <c r="N298" s="9"/>
      <c r="O298" s="9"/>
      <c r="P298" s="9"/>
      <c r="Q298" s="9"/>
      <c r="R298" s="9"/>
      <c r="S298" s="255"/>
      <c r="T298" s="255"/>
      <c r="U298" s="255"/>
      <c r="V298" s="255"/>
      <c r="W298" s="255"/>
      <c r="X298" s="255"/>
      <c r="Y298" s="255"/>
      <c r="Z298" s="255"/>
    </row>
    <row r="299" spans="1:26" collapsed="1">
      <c r="A299" s="9"/>
      <c r="B299" s="9"/>
      <c r="C299" s="275">
        <f>Asset21</f>
        <v>0</v>
      </c>
      <c r="D299" s="9"/>
      <c r="E299" s="262">
        <f ca="1">SUM(E288:E298)</f>
        <v>0</v>
      </c>
      <c r="F299" s="262">
        <f ca="1">IF(E299=0,0,SUMPRODUCT(E288:E298,F288:F298)/E299)</f>
        <v>0</v>
      </c>
      <c r="G299" s="258"/>
      <c r="H299" s="43"/>
      <c r="I299" s="262"/>
      <c r="J299" s="262">
        <f ca="1">SUM(J288:J298)</f>
        <v>0</v>
      </c>
      <c r="K299" s="262">
        <f ca="1">IF(J299=0,0,SUMPRODUCT(J288:J298,K288:K298)/J299)</f>
        <v>0</v>
      </c>
      <c r="L299" s="115"/>
      <c r="M299" s="9"/>
      <c r="N299" s="9"/>
      <c r="O299" s="9"/>
      <c r="P299" s="9"/>
      <c r="Q299" s="9"/>
      <c r="R299" s="9"/>
      <c r="S299" s="255"/>
      <c r="T299" s="255"/>
      <c r="U299" s="255"/>
      <c r="V299" s="255"/>
      <c r="W299" s="255"/>
      <c r="X299" s="255"/>
      <c r="Y299" s="255"/>
      <c r="Z299" s="255"/>
    </row>
    <row r="300" spans="1:26" hidden="1" outlineLevel="1">
      <c r="A300" s="9"/>
      <c r="B300" s="273"/>
      <c r="C300" s="9"/>
      <c r="D300" s="9"/>
      <c r="E300" s="35"/>
      <c r="F300" s="35"/>
      <c r="G300" s="258"/>
      <c r="H300" s="262"/>
      <c r="I300" s="262"/>
      <c r="J300" s="267"/>
      <c r="K300" s="262"/>
      <c r="L300" s="115"/>
      <c r="M300" s="9"/>
      <c r="N300" s="9"/>
      <c r="O300" s="9"/>
      <c r="P300" s="9"/>
      <c r="Q300" s="9"/>
      <c r="R300" s="9"/>
      <c r="S300" s="255"/>
      <c r="T300" s="255"/>
      <c r="U300" s="255"/>
      <c r="V300" s="255"/>
      <c r="W300" s="255"/>
      <c r="X300" s="255"/>
      <c r="Y300" s="255"/>
      <c r="Z300" s="255"/>
    </row>
    <row r="301" spans="1:26" hidden="1" outlineLevel="1">
      <c r="A301" s="9"/>
      <c r="B301" s="273">
        <f>Asset22</f>
        <v>0</v>
      </c>
      <c r="C301" s="9"/>
      <c r="D301" s="9"/>
      <c r="E301" s="35"/>
      <c r="F301" s="35"/>
      <c r="G301" s="258"/>
      <c r="H301" s="262"/>
      <c r="I301" s="262"/>
      <c r="J301" s="267"/>
      <c r="K301" s="262"/>
      <c r="L301" s="115"/>
      <c r="M301" s="9"/>
      <c r="N301" s="9"/>
      <c r="O301" s="9"/>
      <c r="P301" s="9"/>
      <c r="Q301" s="9"/>
      <c r="R301" s="9"/>
      <c r="S301" s="255"/>
      <c r="T301" s="255"/>
      <c r="U301" s="255"/>
      <c r="V301" s="255"/>
      <c r="W301" s="255"/>
      <c r="X301" s="255"/>
      <c r="Y301" s="255"/>
      <c r="Z301" s="255"/>
    </row>
    <row r="302" spans="1:26" ht="12.75" hidden="1" customHeight="1" outlineLevel="1">
      <c r="A302" s="9"/>
      <c r="B302" s="9"/>
      <c r="C302" s="538" t="s">
        <v>5</v>
      </c>
      <c r="D302" s="539"/>
      <c r="E302" s="262">
        <f ca="1">A22value-SUM('Actual RAB roll forward'!H349:OFFSET('Actual RAB roll forward'!H349,0,Input!$Y$7-1))</f>
        <v>0</v>
      </c>
      <c r="F302" s="262">
        <f>IF(A22remlife="N/A","n/a",A22remlife-Input!$Y$7)</f>
        <v>-5</v>
      </c>
      <c r="G302" s="258"/>
      <c r="H302" s="299" t="s">
        <v>43</v>
      </c>
      <c r="I302" s="300"/>
      <c r="J302" s="262">
        <f ca="1">A22taxvalue-SUM('Tax value roll forward'!H345:OFFSET('Tax value roll forward'!H345,0,Input!$Y$7-1))</f>
        <v>0</v>
      </c>
      <c r="K302" s="262">
        <f>IF(A22taxremlife="N/A","n/a",A22taxremlife-Input!$Y$7)</f>
        <v>-5</v>
      </c>
      <c r="L302" s="115"/>
      <c r="M302" s="9"/>
      <c r="N302" s="9"/>
      <c r="O302" s="9"/>
      <c r="P302" s="9"/>
      <c r="Q302" s="9"/>
      <c r="R302" s="9"/>
      <c r="S302" s="255"/>
      <c r="T302" s="255"/>
      <c r="U302" s="255"/>
      <c r="V302" s="255"/>
      <c r="W302" s="255"/>
      <c r="X302" s="255"/>
      <c r="Y302" s="255"/>
      <c r="Z302" s="255"/>
    </row>
    <row r="303" spans="1:26" hidden="1" outlineLevel="1">
      <c r="A303" s="9"/>
      <c r="B303" s="9"/>
      <c r="C303" s="540" t="s">
        <v>59</v>
      </c>
      <c r="D303" s="91">
        <v>1</v>
      </c>
      <c r="E303" s="262">
        <f ca="1">OFFSET('Actual RAB roll forward'!H$65,0,D303-1)-SUM('Actual RAB roll forward'!H351:OFFSET('Actual RAB roll forward'!H351,0,Input!$Y$7-1))</f>
        <v>0</v>
      </c>
      <c r="F303" s="262">
        <f ca="1">IF(A22stdlife="N/A","n/a",IF(E303=0,0,A22stdlife+D303-Input!$Y$7))</f>
        <v>0</v>
      </c>
      <c r="G303" s="258"/>
      <c r="H303" s="540" t="s">
        <v>59</v>
      </c>
      <c r="I303" s="91">
        <v>1</v>
      </c>
      <c r="J303" s="262">
        <f ca="1">OFFSET('Tax value roll forward'!H$61,0,I303-1)-SUM('Tax value roll forward'!H347:OFFSET('Tax value roll forward'!H347,0,Input!$Y$7-1))</f>
        <v>0</v>
      </c>
      <c r="K303" s="262">
        <f ca="1">IF(A22taxstdlife="N/A","n/a",IF(J303=0,0,A22taxstdlife+I303-Input!$Y$7))</f>
        <v>0</v>
      </c>
      <c r="L303" s="115"/>
      <c r="M303" s="9"/>
      <c r="N303" s="9"/>
      <c r="O303" s="9"/>
      <c r="P303" s="9"/>
      <c r="Q303" s="9"/>
      <c r="R303" s="9"/>
      <c r="S303" s="255"/>
      <c r="T303" s="255"/>
      <c r="U303" s="255"/>
      <c r="V303" s="255"/>
      <c r="W303" s="255"/>
      <c r="X303" s="255"/>
      <c r="Y303" s="255"/>
      <c r="Z303" s="255"/>
    </row>
    <row r="304" spans="1:26" hidden="1" outlineLevel="1">
      <c r="A304" s="9"/>
      <c r="B304" s="9"/>
      <c r="C304" s="541"/>
      <c r="D304" s="91">
        <v>2</v>
      </c>
      <c r="E304" s="262">
        <f ca="1">OFFSET('Actual RAB roll forward'!H$65,0,D304-1)-SUM('Actual RAB roll forward'!H352:OFFSET('Actual RAB roll forward'!H352,0,Input!$Y$7-1))</f>
        <v>0</v>
      </c>
      <c r="F304" s="262">
        <f ca="1">IF(A22stdlife="N/A","n/a",IF(E304=0,0,A22stdlife+D304-Input!$Y$7))</f>
        <v>0</v>
      </c>
      <c r="G304" s="258"/>
      <c r="H304" s="541"/>
      <c r="I304" s="91">
        <v>2</v>
      </c>
      <c r="J304" s="262">
        <f ca="1">OFFSET('Tax value roll forward'!H$61,0,I304-1)-SUM('Tax value roll forward'!H348:OFFSET('Tax value roll forward'!H348,0,Input!$Y$7-1))</f>
        <v>0</v>
      </c>
      <c r="K304" s="262">
        <f ca="1">IF(A22taxstdlife="N/A","n/a",IF(J304=0,0,A22taxstdlife+I304-Input!$Y$7))</f>
        <v>0</v>
      </c>
      <c r="L304" s="115"/>
      <c r="M304" s="9"/>
      <c r="N304" s="9"/>
      <c r="O304" s="9"/>
      <c r="P304" s="9"/>
      <c r="Q304" s="9"/>
      <c r="R304" s="9"/>
      <c r="S304" s="255"/>
      <c r="T304" s="255"/>
      <c r="U304" s="255"/>
      <c r="V304" s="255"/>
      <c r="W304" s="255"/>
      <c r="X304" s="255"/>
      <c r="Y304" s="255"/>
      <c r="Z304" s="255"/>
    </row>
    <row r="305" spans="1:26" hidden="1" outlineLevel="1">
      <c r="A305" s="9"/>
      <c r="B305" s="9"/>
      <c r="C305" s="541"/>
      <c r="D305" s="91">
        <v>3</v>
      </c>
      <c r="E305" s="262">
        <f ca="1">OFFSET('Actual RAB roll forward'!H$65,0,D305-1)-SUM('Actual RAB roll forward'!H353:OFFSET('Actual RAB roll forward'!H353,0,Input!$Y$7-1))</f>
        <v>0</v>
      </c>
      <c r="F305" s="262">
        <f ca="1">IF(A22stdlife="N/A","n/a",IF(E305=0,0,A22stdlife+D305-Input!$Y$7))</f>
        <v>0</v>
      </c>
      <c r="G305" s="258"/>
      <c r="H305" s="541"/>
      <c r="I305" s="91">
        <v>3</v>
      </c>
      <c r="J305" s="262">
        <f ca="1">OFFSET('Tax value roll forward'!H$61,0,I305-1)-SUM('Tax value roll forward'!H349:OFFSET('Tax value roll forward'!H349,0,Input!$Y$7-1))</f>
        <v>0</v>
      </c>
      <c r="K305" s="262">
        <f ca="1">IF(A22taxstdlife="N/A","n/a",IF(J305=0,0,A22taxstdlife+I305-Input!$Y$7))</f>
        <v>0</v>
      </c>
      <c r="L305" s="115"/>
      <c r="M305" s="9"/>
      <c r="N305" s="9"/>
      <c r="O305" s="9"/>
      <c r="P305" s="9"/>
      <c r="Q305" s="9"/>
      <c r="R305" s="9"/>
      <c r="S305" s="255"/>
      <c r="T305" s="255"/>
      <c r="U305" s="255"/>
      <c r="V305" s="255"/>
      <c r="W305" s="255"/>
      <c r="X305" s="255"/>
      <c r="Y305" s="255"/>
      <c r="Z305" s="255"/>
    </row>
    <row r="306" spans="1:26" hidden="1" outlineLevel="1">
      <c r="A306" s="9"/>
      <c r="B306" s="9"/>
      <c r="C306" s="541"/>
      <c r="D306" s="91">
        <v>4</v>
      </c>
      <c r="E306" s="262">
        <f ca="1">OFFSET('Actual RAB roll forward'!H$65,0,D306-1)-SUM('Actual RAB roll forward'!H354:OFFSET('Actual RAB roll forward'!H354,0,Input!$Y$7-1))</f>
        <v>0</v>
      </c>
      <c r="F306" s="262">
        <f ca="1">IF(A22stdlife="N/A","n/a",IF(E306=0,0,A22stdlife+D306-Input!$Y$7))</f>
        <v>0</v>
      </c>
      <c r="G306" s="258"/>
      <c r="H306" s="541"/>
      <c r="I306" s="91">
        <v>4</v>
      </c>
      <c r="J306" s="262">
        <f ca="1">OFFSET('Tax value roll forward'!H$61,0,I306-1)-SUM('Tax value roll forward'!H350:OFFSET('Tax value roll forward'!H350,0,Input!$Y$7-1))</f>
        <v>0</v>
      </c>
      <c r="K306" s="262">
        <f ca="1">IF(A22taxstdlife="N/A","n/a",IF(J306=0,0,A22taxstdlife+I306-Input!$Y$7))</f>
        <v>0</v>
      </c>
      <c r="L306" s="115"/>
      <c r="M306" s="9"/>
      <c r="N306" s="9"/>
      <c r="O306" s="9"/>
      <c r="P306" s="9"/>
      <c r="Q306" s="9"/>
      <c r="R306" s="9"/>
      <c r="S306" s="255"/>
      <c r="T306" s="255"/>
      <c r="U306" s="255"/>
      <c r="V306" s="255"/>
      <c r="W306" s="255"/>
      <c r="X306" s="255"/>
      <c r="Y306" s="255"/>
      <c r="Z306" s="255"/>
    </row>
    <row r="307" spans="1:26" hidden="1" outlineLevel="1">
      <c r="A307" s="9"/>
      <c r="B307" s="9"/>
      <c r="C307" s="541"/>
      <c r="D307" s="91">
        <v>5</v>
      </c>
      <c r="E307" s="262">
        <f ca="1">OFFSET('Actual RAB roll forward'!H$65,0,D307-1)-SUM('Actual RAB roll forward'!H355:OFFSET('Actual RAB roll forward'!H355,0,Input!$Y$7-1))</f>
        <v>0</v>
      </c>
      <c r="F307" s="262">
        <f ca="1">IF(A22stdlife="N/A","n/a",IF(E307=0,0,A22stdlife+D307-Input!$Y$7))</f>
        <v>0</v>
      </c>
      <c r="G307" s="258"/>
      <c r="H307" s="541"/>
      <c r="I307" s="91">
        <v>5</v>
      </c>
      <c r="J307" s="262">
        <f ca="1">OFFSET('Tax value roll forward'!H$61,0,I307-1)-SUM('Tax value roll forward'!H351:OFFSET('Tax value roll forward'!H351,0,Input!$Y$7-1))</f>
        <v>0</v>
      </c>
      <c r="K307" s="262">
        <f ca="1">IF(A22taxstdlife="N/A","n/a",IF(J307=0,0,A22taxstdlife+I307-Input!$Y$7))</f>
        <v>0</v>
      </c>
      <c r="L307" s="115"/>
      <c r="M307" s="9"/>
      <c r="N307" s="9"/>
      <c r="O307" s="9"/>
      <c r="P307" s="9"/>
      <c r="Q307" s="9"/>
      <c r="R307" s="9"/>
      <c r="S307" s="255"/>
      <c r="T307" s="255"/>
      <c r="U307" s="255"/>
      <c r="V307" s="255"/>
      <c r="W307" s="255"/>
      <c r="X307" s="255"/>
      <c r="Y307" s="255"/>
      <c r="Z307" s="255"/>
    </row>
    <row r="308" spans="1:26" hidden="1" outlineLevel="1">
      <c r="A308" s="9"/>
      <c r="B308" s="9"/>
      <c r="C308" s="541"/>
      <c r="D308" s="91">
        <v>6</v>
      </c>
      <c r="E308" s="262">
        <f ca="1">OFFSET('Actual RAB roll forward'!H$65,0,D308-1)-SUM('Actual RAB roll forward'!H356:OFFSET('Actual RAB roll forward'!H356,0,Input!$Y$7-1))</f>
        <v>0</v>
      </c>
      <c r="F308" s="262">
        <f ca="1">IF(A22stdlife="N/A","n/a",IF(E308=0,0,A22stdlife+D308-Input!$Y$7))</f>
        <v>0</v>
      </c>
      <c r="G308" s="258"/>
      <c r="H308" s="541"/>
      <c r="I308" s="91">
        <v>6</v>
      </c>
      <c r="J308" s="262">
        <f ca="1">OFFSET('Tax value roll forward'!H$61,0,I308-1)-SUM('Tax value roll forward'!H352:OFFSET('Tax value roll forward'!H352,0,Input!$Y$7-1))</f>
        <v>0</v>
      </c>
      <c r="K308" s="262">
        <f ca="1">IF(A22taxstdlife="N/A","n/a",IF(J308=0,0,A22taxstdlife+I308-Input!$Y$7))</f>
        <v>0</v>
      </c>
      <c r="L308" s="115"/>
      <c r="M308" s="9"/>
      <c r="N308" s="9"/>
      <c r="O308" s="9"/>
      <c r="P308" s="9"/>
      <c r="Q308" s="9"/>
      <c r="R308" s="9"/>
      <c r="S308" s="255"/>
      <c r="T308" s="255"/>
      <c r="U308" s="255"/>
      <c r="V308" s="255"/>
      <c r="W308" s="255"/>
      <c r="X308" s="255"/>
      <c r="Y308" s="255"/>
      <c r="Z308" s="255"/>
    </row>
    <row r="309" spans="1:26" hidden="1" outlineLevel="1">
      <c r="A309" s="9"/>
      <c r="B309" s="9"/>
      <c r="C309" s="541"/>
      <c r="D309" s="91">
        <v>7</v>
      </c>
      <c r="E309" s="262">
        <f ca="1">OFFSET('Actual RAB roll forward'!H$65,0,D309-1)-SUM('Actual RAB roll forward'!H357:OFFSET('Actual RAB roll forward'!H357,0,Input!$Y$7-1))</f>
        <v>0</v>
      </c>
      <c r="F309" s="262">
        <f ca="1">IF(A22stdlife="N/A","n/a",IF(E309=0,0,A22stdlife+D309-Input!$Y$7))</f>
        <v>0</v>
      </c>
      <c r="G309" s="258"/>
      <c r="H309" s="541"/>
      <c r="I309" s="91">
        <v>7</v>
      </c>
      <c r="J309" s="262">
        <f ca="1">OFFSET('Tax value roll forward'!H$61,0,I309-1)-SUM('Tax value roll forward'!H353:OFFSET('Tax value roll forward'!H353,0,Input!$Y$7-1))</f>
        <v>0</v>
      </c>
      <c r="K309" s="262">
        <f ca="1">IF(A22taxstdlife="N/A","n/a",IF(J309=0,0,A22taxstdlife+I309-Input!$Y$7))</f>
        <v>0</v>
      </c>
      <c r="L309" s="115"/>
      <c r="M309" s="9"/>
      <c r="N309" s="9"/>
      <c r="O309" s="9"/>
      <c r="P309" s="9"/>
      <c r="Q309" s="9"/>
      <c r="R309" s="9"/>
      <c r="S309" s="255"/>
      <c r="T309" s="255"/>
      <c r="U309" s="255"/>
      <c r="V309" s="255"/>
      <c r="W309" s="255"/>
      <c r="X309" s="255"/>
      <c r="Y309" s="255"/>
      <c r="Z309" s="255"/>
    </row>
    <row r="310" spans="1:26" hidden="1" outlineLevel="1">
      <c r="A310" s="9"/>
      <c r="B310" s="9"/>
      <c r="C310" s="541"/>
      <c r="D310" s="91">
        <v>8</v>
      </c>
      <c r="E310" s="262">
        <f ca="1">OFFSET('Actual RAB roll forward'!H$65,0,D310-1)-SUM('Actual RAB roll forward'!H358:OFFSET('Actual RAB roll forward'!H358,0,Input!$Y$7-1))</f>
        <v>0</v>
      </c>
      <c r="F310" s="262">
        <f ca="1">IF(A22stdlife="N/A","n/a",IF(E310=0,0,A22stdlife+D310-Input!$Y$7))</f>
        <v>0</v>
      </c>
      <c r="G310" s="258"/>
      <c r="H310" s="541"/>
      <c r="I310" s="91">
        <v>8</v>
      </c>
      <c r="J310" s="262">
        <f ca="1">OFFSET('Tax value roll forward'!H$61,0,I310-1)-SUM('Tax value roll forward'!H354:OFFSET('Tax value roll forward'!H354,0,Input!$Y$7-1))</f>
        <v>0</v>
      </c>
      <c r="K310" s="262">
        <f ca="1">IF(A22taxstdlife="N/A","n/a",IF(J310=0,0,A22taxstdlife+I310-Input!$Y$7))</f>
        <v>0</v>
      </c>
      <c r="L310" s="115"/>
      <c r="M310" s="9"/>
      <c r="N310" s="9"/>
      <c r="O310" s="9"/>
      <c r="P310" s="9"/>
      <c r="Q310" s="9"/>
      <c r="R310" s="9"/>
      <c r="S310" s="255"/>
      <c r="T310" s="255"/>
      <c r="U310" s="255"/>
      <c r="V310" s="255"/>
      <c r="W310" s="255"/>
      <c r="X310" s="255"/>
      <c r="Y310" s="255"/>
      <c r="Z310" s="255"/>
    </row>
    <row r="311" spans="1:26" hidden="1" outlineLevel="1">
      <c r="A311" s="9"/>
      <c r="B311" s="9"/>
      <c r="C311" s="541"/>
      <c r="D311" s="91">
        <v>9</v>
      </c>
      <c r="E311" s="262">
        <f ca="1">OFFSET('Actual RAB roll forward'!H$65,0,D311-1)-SUM('Actual RAB roll forward'!H359:OFFSET('Actual RAB roll forward'!H359,0,Input!$Y$7-1))</f>
        <v>0</v>
      </c>
      <c r="F311" s="262">
        <f ca="1">IF(A22stdlife="N/A","n/a",IF(E311=0,0,A22stdlife+D311-Input!$Y$7))</f>
        <v>0</v>
      </c>
      <c r="G311" s="258"/>
      <c r="H311" s="541"/>
      <c r="I311" s="91">
        <v>9</v>
      </c>
      <c r="J311" s="262">
        <f ca="1">OFFSET('Tax value roll forward'!H$61,0,I311-1)-SUM('Tax value roll forward'!H355:OFFSET('Tax value roll forward'!H355,0,Input!$Y$7-1))</f>
        <v>0</v>
      </c>
      <c r="K311" s="262">
        <f ca="1">IF(A22taxstdlife="N/A","n/a",IF(J311=0,0,A22taxstdlife+I311-Input!$Y$7))</f>
        <v>0</v>
      </c>
      <c r="L311" s="115"/>
      <c r="M311" s="9"/>
      <c r="N311" s="9"/>
      <c r="O311" s="9"/>
      <c r="P311" s="9"/>
      <c r="Q311" s="9"/>
      <c r="R311" s="9"/>
      <c r="S311" s="255"/>
      <c r="T311" s="255"/>
      <c r="U311" s="255"/>
      <c r="V311" s="255"/>
      <c r="W311" s="255"/>
      <c r="X311" s="255"/>
      <c r="Y311" s="255"/>
      <c r="Z311" s="255"/>
    </row>
    <row r="312" spans="1:26" hidden="1" outlineLevel="1">
      <c r="A312" s="9"/>
      <c r="B312" s="9"/>
      <c r="C312" s="542"/>
      <c r="D312" s="92">
        <v>10</v>
      </c>
      <c r="E312" s="262">
        <f ca="1">OFFSET('Actual RAB roll forward'!H$65,0,D312-1)-SUM('Actual RAB roll forward'!H360:OFFSET('Actual RAB roll forward'!H360,0,Input!$Y$7-1))</f>
        <v>0</v>
      </c>
      <c r="F312" s="262">
        <f ca="1">IF(A22stdlife="N/A","n/a",IF(E312=0,0,A22stdlife+D312-Input!$Y$7))</f>
        <v>0</v>
      </c>
      <c r="G312" s="258"/>
      <c r="H312" s="542"/>
      <c r="I312" s="92">
        <v>10</v>
      </c>
      <c r="J312" s="262">
        <f ca="1">OFFSET('Tax value roll forward'!H$61,0,I312-1)-SUM('Tax value roll forward'!H356:OFFSET('Tax value roll forward'!H356,0,Input!$Y$7-1))</f>
        <v>0</v>
      </c>
      <c r="K312" s="262">
        <f ca="1">IF(A22taxstdlife="N/A","n/a",IF(J312=0,0,A22taxstdlife+I312-Input!$Y$7))</f>
        <v>0</v>
      </c>
      <c r="L312" s="115"/>
      <c r="M312" s="9"/>
      <c r="N312" s="9"/>
      <c r="O312" s="9"/>
      <c r="P312" s="9"/>
      <c r="Q312" s="9"/>
      <c r="R312" s="9"/>
      <c r="S312" s="255"/>
      <c r="T312" s="255"/>
      <c r="U312" s="255"/>
      <c r="V312" s="255"/>
      <c r="W312" s="255"/>
      <c r="X312" s="255"/>
      <c r="Y312" s="255"/>
      <c r="Z312" s="255"/>
    </row>
    <row r="313" spans="1:26" collapsed="1">
      <c r="A313" s="9"/>
      <c r="B313" s="9"/>
      <c r="C313" s="275">
        <f>Asset22</f>
        <v>0</v>
      </c>
      <c r="D313" s="9"/>
      <c r="E313" s="262">
        <f ca="1">SUM(E302:E312)</f>
        <v>0</v>
      </c>
      <c r="F313" s="262">
        <f ca="1">IF(E313=0,0,SUMPRODUCT(E302:E312,F302:F312)/E313)</f>
        <v>0</v>
      </c>
      <c r="G313" s="258"/>
      <c r="H313" s="43"/>
      <c r="I313" s="262"/>
      <c r="J313" s="262">
        <f ca="1">SUM(J302:J312)</f>
        <v>0</v>
      </c>
      <c r="K313" s="262">
        <f ca="1">IF(J313=0,0,SUMPRODUCT(J302:J312,K302:K312)/J313)</f>
        <v>0</v>
      </c>
      <c r="L313" s="115"/>
      <c r="M313" s="9"/>
      <c r="N313" s="9"/>
      <c r="O313" s="9"/>
      <c r="P313" s="9"/>
      <c r="Q313" s="9"/>
      <c r="R313" s="9"/>
      <c r="S313" s="255"/>
      <c r="T313" s="255"/>
      <c r="U313" s="255"/>
      <c r="V313" s="255"/>
      <c r="W313" s="255"/>
      <c r="X313" s="255"/>
      <c r="Y313" s="255"/>
      <c r="Z313" s="255"/>
    </row>
    <row r="314" spans="1:26" hidden="1" outlineLevel="1">
      <c r="A314" s="9"/>
      <c r="B314" s="273"/>
      <c r="C314" s="9"/>
      <c r="D314" s="9"/>
      <c r="E314" s="35"/>
      <c r="F314" s="35"/>
      <c r="G314" s="258"/>
      <c r="H314" s="262"/>
      <c r="I314" s="262"/>
      <c r="J314" s="267"/>
      <c r="K314" s="262"/>
      <c r="L314" s="115"/>
      <c r="M314" s="9"/>
      <c r="N314" s="9"/>
      <c r="O314" s="9"/>
      <c r="P314" s="9"/>
      <c r="Q314" s="9"/>
      <c r="R314" s="9"/>
      <c r="S314" s="255"/>
      <c r="T314" s="255"/>
      <c r="U314" s="255"/>
      <c r="V314" s="255"/>
      <c r="W314" s="255"/>
      <c r="X314" s="255"/>
      <c r="Y314" s="255"/>
      <c r="Z314" s="255"/>
    </row>
    <row r="315" spans="1:26" hidden="1" outlineLevel="1">
      <c r="A315" s="9"/>
      <c r="B315" s="273">
        <f>Asset23</f>
        <v>0</v>
      </c>
      <c r="C315" s="9"/>
      <c r="D315" s="9"/>
      <c r="E315" s="35"/>
      <c r="F315" s="35"/>
      <c r="G315" s="258"/>
      <c r="H315" s="262"/>
      <c r="I315" s="262"/>
      <c r="J315" s="267"/>
      <c r="K315" s="262"/>
      <c r="L315" s="115"/>
      <c r="M315" s="9"/>
      <c r="N315" s="9"/>
      <c r="O315" s="9"/>
      <c r="P315" s="9"/>
      <c r="Q315" s="9"/>
      <c r="R315" s="9"/>
      <c r="S315" s="255"/>
      <c r="T315" s="255"/>
      <c r="U315" s="255"/>
      <c r="V315" s="255"/>
      <c r="W315" s="255"/>
      <c r="X315" s="255"/>
      <c r="Y315" s="255"/>
      <c r="Z315" s="255"/>
    </row>
    <row r="316" spans="1:26" ht="12.75" hidden="1" customHeight="1" outlineLevel="1">
      <c r="A316" s="9"/>
      <c r="B316" s="9"/>
      <c r="C316" s="538" t="s">
        <v>5</v>
      </c>
      <c r="D316" s="539"/>
      <c r="E316" s="262">
        <f ca="1">A23value-SUM('Actual RAB roll forward'!H362:OFFSET('Actual RAB roll forward'!H362,0,Input!$Y$7-1))</f>
        <v>0</v>
      </c>
      <c r="F316" s="262">
        <f>IF(A23remlife="N/A","n/a",A23remlife-Input!$Y$7)</f>
        <v>-5</v>
      </c>
      <c r="G316" s="258"/>
      <c r="H316" s="299" t="s">
        <v>43</v>
      </c>
      <c r="I316" s="300"/>
      <c r="J316" s="262">
        <f ca="1">A23taxvalue-SUM('Tax value roll forward'!H358:OFFSET('Tax value roll forward'!H358,0,Input!$Y$7-1))</f>
        <v>0</v>
      </c>
      <c r="K316" s="262">
        <f>IF(A23taxremlife="N/A","n/a",A23taxremlife-Input!$Y$7)</f>
        <v>-5</v>
      </c>
      <c r="L316" s="115"/>
      <c r="M316" s="9"/>
      <c r="N316" s="9"/>
      <c r="O316" s="9"/>
      <c r="P316" s="9"/>
      <c r="Q316" s="9"/>
      <c r="R316" s="9"/>
      <c r="S316" s="255"/>
      <c r="T316" s="255"/>
      <c r="U316" s="255"/>
      <c r="V316" s="255"/>
      <c r="W316" s="255"/>
      <c r="X316" s="255"/>
      <c r="Y316" s="255"/>
      <c r="Z316" s="255"/>
    </row>
    <row r="317" spans="1:26" hidden="1" outlineLevel="1">
      <c r="A317" s="9"/>
      <c r="B317" s="9"/>
      <c r="C317" s="540" t="s">
        <v>59</v>
      </c>
      <c r="D317" s="91">
        <v>1</v>
      </c>
      <c r="E317" s="262">
        <f ca="1">OFFSET('Actual RAB roll forward'!H$66,0,D317-1)-SUM('Actual RAB roll forward'!H364:OFFSET('Actual RAB roll forward'!H364,0,Input!$Y$7-1))</f>
        <v>0</v>
      </c>
      <c r="F317" s="262">
        <f ca="1">IF(A23stdlife="N/A","n/a",IF(E317=0,0,A23stdlife+D317-Input!$Y$7))</f>
        <v>0</v>
      </c>
      <c r="G317" s="258"/>
      <c r="H317" s="540" t="s">
        <v>59</v>
      </c>
      <c r="I317" s="91">
        <v>1</v>
      </c>
      <c r="J317" s="262">
        <f ca="1">OFFSET('Tax value roll forward'!H$62,0,I317-1)-SUM('Tax value roll forward'!H360:OFFSET('Tax value roll forward'!H360,0,Input!$Y$7-1))</f>
        <v>0</v>
      </c>
      <c r="K317" s="262">
        <f ca="1">IF(A23taxstdlife="N/A","n/a",IF(J317=0,0,A23taxstdlife+I317-Input!$Y$7))</f>
        <v>0</v>
      </c>
      <c r="L317" s="115"/>
      <c r="M317" s="9"/>
      <c r="N317" s="9"/>
      <c r="O317" s="9"/>
      <c r="P317" s="9"/>
      <c r="Q317" s="9"/>
      <c r="R317" s="9"/>
      <c r="S317" s="255"/>
      <c r="T317" s="255"/>
      <c r="U317" s="255"/>
      <c r="V317" s="255"/>
      <c r="W317" s="255"/>
      <c r="X317" s="255"/>
      <c r="Y317" s="255"/>
      <c r="Z317" s="255"/>
    </row>
    <row r="318" spans="1:26" hidden="1" outlineLevel="1">
      <c r="A318" s="9"/>
      <c r="B318" s="9"/>
      <c r="C318" s="541"/>
      <c r="D318" s="91">
        <v>2</v>
      </c>
      <c r="E318" s="262">
        <f ca="1">OFFSET('Actual RAB roll forward'!H$66,0,D318-1)-SUM('Actual RAB roll forward'!H365:OFFSET('Actual RAB roll forward'!H365,0,Input!$Y$7-1))</f>
        <v>0</v>
      </c>
      <c r="F318" s="262">
        <f ca="1">IF(A23stdlife="N/A","n/a",IF(E318=0,0,A23stdlife+D318-Input!$Y$7))</f>
        <v>0</v>
      </c>
      <c r="G318" s="258"/>
      <c r="H318" s="541"/>
      <c r="I318" s="91">
        <v>2</v>
      </c>
      <c r="J318" s="262">
        <f ca="1">OFFSET('Tax value roll forward'!H$62,0,I318-1)-SUM('Tax value roll forward'!H361:OFFSET('Tax value roll forward'!H361,0,Input!$Y$7-1))</f>
        <v>0</v>
      </c>
      <c r="K318" s="262">
        <f ca="1">IF(A23taxstdlife="N/A","n/a",IF(J318=0,0,A23taxstdlife+I318-Input!$Y$7))</f>
        <v>0</v>
      </c>
      <c r="L318" s="115"/>
      <c r="M318" s="9"/>
      <c r="N318" s="9"/>
      <c r="O318" s="9"/>
      <c r="P318" s="9"/>
      <c r="Q318" s="9"/>
      <c r="R318" s="9"/>
      <c r="S318" s="255"/>
      <c r="T318" s="255"/>
      <c r="U318" s="255"/>
      <c r="V318" s="255"/>
      <c r="W318" s="255"/>
      <c r="X318" s="255"/>
      <c r="Y318" s="255"/>
      <c r="Z318" s="255"/>
    </row>
    <row r="319" spans="1:26" hidden="1" outlineLevel="1">
      <c r="A319" s="9"/>
      <c r="B319" s="9"/>
      <c r="C319" s="541"/>
      <c r="D319" s="91">
        <v>3</v>
      </c>
      <c r="E319" s="262">
        <f ca="1">OFFSET('Actual RAB roll forward'!H$66,0,D319-1)-SUM('Actual RAB roll forward'!H366:OFFSET('Actual RAB roll forward'!H366,0,Input!$Y$7-1))</f>
        <v>0</v>
      </c>
      <c r="F319" s="262">
        <f ca="1">IF(A23stdlife="N/A","n/a",IF(E319=0,0,A23stdlife+D319-Input!$Y$7))</f>
        <v>0</v>
      </c>
      <c r="G319" s="258"/>
      <c r="H319" s="541"/>
      <c r="I319" s="91">
        <v>3</v>
      </c>
      <c r="J319" s="262">
        <f ca="1">OFFSET('Tax value roll forward'!H$62,0,I319-1)-SUM('Tax value roll forward'!H362:OFFSET('Tax value roll forward'!H362,0,Input!$Y$7-1))</f>
        <v>0</v>
      </c>
      <c r="K319" s="262">
        <f ca="1">IF(A23taxstdlife="N/A","n/a",IF(J319=0,0,A23taxstdlife+I319-Input!$Y$7))</f>
        <v>0</v>
      </c>
      <c r="L319" s="115"/>
      <c r="M319" s="9"/>
      <c r="N319" s="9"/>
      <c r="O319" s="9"/>
      <c r="P319" s="9"/>
      <c r="Q319" s="9"/>
      <c r="R319" s="9"/>
      <c r="S319" s="255"/>
      <c r="T319" s="255"/>
      <c r="U319" s="255"/>
      <c r="V319" s="255"/>
      <c r="W319" s="255"/>
      <c r="X319" s="255"/>
      <c r="Y319" s="255"/>
      <c r="Z319" s="255"/>
    </row>
    <row r="320" spans="1:26" hidden="1" outlineLevel="1">
      <c r="A320" s="9"/>
      <c r="B320" s="9"/>
      <c r="C320" s="541"/>
      <c r="D320" s="91">
        <v>4</v>
      </c>
      <c r="E320" s="262">
        <f ca="1">OFFSET('Actual RAB roll forward'!H$66,0,D320-1)-SUM('Actual RAB roll forward'!H367:OFFSET('Actual RAB roll forward'!H367,0,Input!$Y$7-1))</f>
        <v>0</v>
      </c>
      <c r="F320" s="262">
        <f ca="1">IF(A23stdlife="N/A","n/a",IF(E320=0,0,A23stdlife+D320-Input!$Y$7))</f>
        <v>0</v>
      </c>
      <c r="G320" s="258"/>
      <c r="H320" s="541"/>
      <c r="I320" s="91">
        <v>4</v>
      </c>
      <c r="J320" s="262">
        <f ca="1">OFFSET('Tax value roll forward'!H$62,0,I320-1)-SUM('Tax value roll forward'!H363:OFFSET('Tax value roll forward'!H363,0,Input!$Y$7-1))</f>
        <v>0</v>
      </c>
      <c r="K320" s="262">
        <f ca="1">IF(A23taxstdlife="N/A","n/a",IF(J320=0,0,A23taxstdlife+I320-Input!$Y$7))</f>
        <v>0</v>
      </c>
      <c r="L320" s="115"/>
      <c r="M320" s="9"/>
      <c r="N320" s="9"/>
      <c r="O320" s="9"/>
      <c r="P320" s="9"/>
      <c r="Q320" s="9"/>
      <c r="R320" s="9"/>
      <c r="S320" s="255"/>
      <c r="T320" s="255"/>
      <c r="U320" s="255"/>
      <c r="V320" s="255"/>
      <c r="W320" s="255"/>
      <c r="X320" s="255"/>
      <c r="Y320" s="255"/>
      <c r="Z320" s="255"/>
    </row>
    <row r="321" spans="1:26" hidden="1" outlineLevel="1">
      <c r="A321" s="9"/>
      <c r="B321" s="9"/>
      <c r="C321" s="541"/>
      <c r="D321" s="91">
        <v>5</v>
      </c>
      <c r="E321" s="262">
        <f ca="1">OFFSET('Actual RAB roll forward'!H$66,0,D321-1)-SUM('Actual RAB roll forward'!H368:OFFSET('Actual RAB roll forward'!H368,0,Input!$Y$7-1))</f>
        <v>0</v>
      </c>
      <c r="F321" s="262">
        <f ca="1">IF(A23stdlife="N/A","n/a",IF(E321=0,0,A23stdlife+D321-Input!$Y$7))</f>
        <v>0</v>
      </c>
      <c r="G321" s="258"/>
      <c r="H321" s="541"/>
      <c r="I321" s="91">
        <v>5</v>
      </c>
      <c r="J321" s="262">
        <f ca="1">OFFSET('Tax value roll forward'!H$62,0,I321-1)-SUM('Tax value roll forward'!H364:OFFSET('Tax value roll forward'!H364,0,Input!$Y$7-1))</f>
        <v>0</v>
      </c>
      <c r="K321" s="262">
        <f ca="1">IF(A23taxstdlife="N/A","n/a",IF(J321=0,0,A23taxstdlife+I321-Input!$Y$7))</f>
        <v>0</v>
      </c>
      <c r="L321" s="115"/>
      <c r="M321" s="9"/>
      <c r="N321" s="9"/>
      <c r="O321" s="9"/>
      <c r="P321" s="9"/>
      <c r="Q321" s="9"/>
      <c r="R321" s="9"/>
      <c r="S321" s="255"/>
      <c r="T321" s="255"/>
      <c r="U321" s="255"/>
      <c r="V321" s="255"/>
      <c r="W321" s="255"/>
      <c r="X321" s="255"/>
      <c r="Y321" s="255"/>
      <c r="Z321" s="255"/>
    </row>
    <row r="322" spans="1:26" hidden="1" outlineLevel="1">
      <c r="A322" s="9"/>
      <c r="B322" s="9"/>
      <c r="C322" s="541"/>
      <c r="D322" s="91">
        <v>6</v>
      </c>
      <c r="E322" s="262">
        <f ca="1">OFFSET('Actual RAB roll forward'!H$66,0,D322-1)-SUM('Actual RAB roll forward'!H369:OFFSET('Actual RAB roll forward'!H369,0,Input!$Y$7-1))</f>
        <v>0</v>
      </c>
      <c r="F322" s="262">
        <f ca="1">IF(A23stdlife="N/A","n/a",IF(E322=0,0,A23stdlife+D322-Input!$Y$7))</f>
        <v>0</v>
      </c>
      <c r="G322" s="258"/>
      <c r="H322" s="541"/>
      <c r="I322" s="91">
        <v>6</v>
      </c>
      <c r="J322" s="262">
        <f ca="1">OFFSET('Tax value roll forward'!H$62,0,I322-1)-SUM('Tax value roll forward'!H365:OFFSET('Tax value roll forward'!H365,0,Input!$Y$7-1))</f>
        <v>0</v>
      </c>
      <c r="K322" s="262">
        <f ca="1">IF(A23taxstdlife="N/A","n/a",IF(J322=0,0,A23taxstdlife+I322-Input!$Y$7))</f>
        <v>0</v>
      </c>
      <c r="L322" s="115"/>
      <c r="M322" s="9"/>
      <c r="N322" s="9"/>
      <c r="O322" s="9"/>
      <c r="P322" s="9"/>
      <c r="Q322" s="9"/>
      <c r="R322" s="9"/>
      <c r="S322" s="255"/>
      <c r="T322" s="255"/>
      <c r="U322" s="255"/>
      <c r="V322" s="255"/>
      <c r="W322" s="255"/>
      <c r="X322" s="255"/>
      <c r="Y322" s="255"/>
      <c r="Z322" s="255"/>
    </row>
    <row r="323" spans="1:26" hidden="1" outlineLevel="1">
      <c r="A323" s="9"/>
      <c r="B323" s="9"/>
      <c r="C323" s="541"/>
      <c r="D323" s="91">
        <v>7</v>
      </c>
      <c r="E323" s="262">
        <f ca="1">OFFSET('Actual RAB roll forward'!H$66,0,D323-1)-SUM('Actual RAB roll forward'!H370:OFFSET('Actual RAB roll forward'!H370,0,Input!$Y$7-1))</f>
        <v>0</v>
      </c>
      <c r="F323" s="262">
        <f ca="1">IF(A23stdlife="N/A","n/a",IF(E323=0,0,A23stdlife+D323-Input!$Y$7))</f>
        <v>0</v>
      </c>
      <c r="G323" s="258"/>
      <c r="H323" s="541"/>
      <c r="I323" s="91">
        <v>7</v>
      </c>
      <c r="J323" s="262">
        <f ca="1">OFFSET('Tax value roll forward'!H$62,0,I323-1)-SUM('Tax value roll forward'!H366:OFFSET('Tax value roll forward'!H366,0,Input!$Y$7-1))</f>
        <v>0</v>
      </c>
      <c r="K323" s="262">
        <f ca="1">IF(A23taxstdlife="N/A","n/a",IF(J323=0,0,A23taxstdlife+I323-Input!$Y$7))</f>
        <v>0</v>
      </c>
      <c r="L323" s="115"/>
      <c r="M323" s="9"/>
      <c r="N323" s="9"/>
      <c r="O323" s="9"/>
      <c r="P323" s="9"/>
      <c r="Q323" s="9"/>
      <c r="R323" s="9"/>
      <c r="S323" s="255"/>
      <c r="T323" s="255"/>
      <c r="U323" s="255"/>
      <c r="V323" s="255"/>
      <c r="W323" s="255"/>
      <c r="X323" s="255"/>
      <c r="Y323" s="255"/>
      <c r="Z323" s="255"/>
    </row>
    <row r="324" spans="1:26" hidden="1" outlineLevel="1">
      <c r="A324" s="9"/>
      <c r="B324" s="9"/>
      <c r="C324" s="541"/>
      <c r="D324" s="91">
        <v>8</v>
      </c>
      <c r="E324" s="262">
        <f ca="1">OFFSET('Actual RAB roll forward'!H$66,0,D324-1)-SUM('Actual RAB roll forward'!H371:OFFSET('Actual RAB roll forward'!H371,0,Input!$Y$7-1))</f>
        <v>0</v>
      </c>
      <c r="F324" s="262">
        <f ca="1">IF(A23stdlife="N/A","n/a",IF(E324=0,0,A23stdlife+D324-Input!$Y$7))</f>
        <v>0</v>
      </c>
      <c r="G324" s="258"/>
      <c r="H324" s="541"/>
      <c r="I324" s="91">
        <v>8</v>
      </c>
      <c r="J324" s="262">
        <f ca="1">OFFSET('Tax value roll forward'!H$62,0,I324-1)-SUM('Tax value roll forward'!H367:OFFSET('Tax value roll forward'!H367,0,Input!$Y$7-1))</f>
        <v>0</v>
      </c>
      <c r="K324" s="262">
        <f ca="1">IF(A23taxstdlife="N/A","n/a",IF(J324=0,0,A23taxstdlife+I324-Input!$Y$7))</f>
        <v>0</v>
      </c>
      <c r="L324" s="115"/>
      <c r="M324" s="9"/>
      <c r="N324" s="9"/>
      <c r="O324" s="9"/>
      <c r="P324" s="9"/>
      <c r="Q324" s="9"/>
      <c r="R324" s="9"/>
      <c r="S324" s="255"/>
      <c r="T324" s="255"/>
      <c r="U324" s="255"/>
      <c r="V324" s="255"/>
      <c r="W324" s="255"/>
      <c r="X324" s="255"/>
      <c r="Y324" s="255"/>
      <c r="Z324" s="255"/>
    </row>
    <row r="325" spans="1:26" hidden="1" outlineLevel="1">
      <c r="A325" s="9"/>
      <c r="B325" s="9"/>
      <c r="C325" s="541"/>
      <c r="D325" s="91">
        <v>9</v>
      </c>
      <c r="E325" s="262">
        <f ca="1">OFFSET('Actual RAB roll forward'!H$66,0,D325-1)-SUM('Actual RAB roll forward'!H372:OFFSET('Actual RAB roll forward'!H372,0,Input!$Y$7-1))</f>
        <v>0</v>
      </c>
      <c r="F325" s="262">
        <f ca="1">IF(A23stdlife="N/A","n/a",IF(E325=0,0,A23stdlife+D325-Input!$Y$7))</f>
        <v>0</v>
      </c>
      <c r="G325" s="258"/>
      <c r="H325" s="541"/>
      <c r="I325" s="91">
        <v>9</v>
      </c>
      <c r="J325" s="262">
        <f ca="1">OFFSET('Tax value roll forward'!H$62,0,I325-1)-SUM('Tax value roll forward'!H368:OFFSET('Tax value roll forward'!H368,0,Input!$Y$7-1))</f>
        <v>0</v>
      </c>
      <c r="K325" s="262">
        <f ca="1">IF(A23taxstdlife="N/A","n/a",IF(J325=0,0,A23taxstdlife+I325-Input!$Y$7))</f>
        <v>0</v>
      </c>
      <c r="L325" s="115"/>
      <c r="M325" s="9"/>
      <c r="N325" s="9"/>
      <c r="O325" s="9"/>
      <c r="P325" s="9"/>
      <c r="Q325" s="9"/>
      <c r="R325" s="9"/>
      <c r="S325" s="255"/>
      <c r="T325" s="255"/>
      <c r="U325" s="255"/>
      <c r="V325" s="255"/>
      <c r="W325" s="255"/>
      <c r="X325" s="255"/>
      <c r="Y325" s="255"/>
      <c r="Z325" s="255"/>
    </row>
    <row r="326" spans="1:26" hidden="1" outlineLevel="1">
      <c r="A326" s="9"/>
      <c r="B326" s="9"/>
      <c r="C326" s="542"/>
      <c r="D326" s="92">
        <v>10</v>
      </c>
      <c r="E326" s="262">
        <f ca="1">OFFSET('Actual RAB roll forward'!H$66,0,D326-1)-SUM('Actual RAB roll forward'!H373:OFFSET('Actual RAB roll forward'!H373,0,Input!$Y$7-1))</f>
        <v>0</v>
      </c>
      <c r="F326" s="262">
        <f ca="1">IF(A23stdlife="N/A","n/a",IF(E326=0,0,A23stdlife+D326-Input!$Y$7))</f>
        <v>0</v>
      </c>
      <c r="G326" s="258"/>
      <c r="H326" s="542"/>
      <c r="I326" s="92">
        <v>10</v>
      </c>
      <c r="J326" s="262">
        <f ca="1">OFFSET('Tax value roll forward'!H$62,0,I326-1)-SUM('Tax value roll forward'!H369:OFFSET('Tax value roll forward'!H369,0,Input!$Y$7-1))</f>
        <v>0</v>
      </c>
      <c r="K326" s="262">
        <f ca="1">IF(A23taxstdlife="N/A","n/a",IF(J326=0,0,A23taxstdlife+I326-Input!$Y$7))</f>
        <v>0</v>
      </c>
      <c r="L326" s="115"/>
      <c r="M326" s="9"/>
      <c r="N326" s="9"/>
      <c r="O326" s="9"/>
      <c r="P326" s="9"/>
      <c r="Q326" s="9"/>
      <c r="R326" s="9"/>
      <c r="S326" s="255"/>
      <c r="T326" s="255"/>
      <c r="U326" s="255"/>
      <c r="V326" s="255"/>
      <c r="W326" s="255"/>
      <c r="X326" s="255"/>
      <c r="Y326" s="255"/>
      <c r="Z326" s="255"/>
    </row>
    <row r="327" spans="1:26" collapsed="1">
      <c r="A327" s="9"/>
      <c r="B327" s="9"/>
      <c r="C327" s="275">
        <f>Asset23</f>
        <v>0</v>
      </c>
      <c r="D327" s="9"/>
      <c r="E327" s="262">
        <f ca="1">SUM(E316:E326)</f>
        <v>0</v>
      </c>
      <c r="F327" s="262">
        <f ca="1">IF(E327=0,0,SUMPRODUCT(E316:E326,F316:F326)/E327)</f>
        <v>0</v>
      </c>
      <c r="G327" s="258"/>
      <c r="H327" s="43"/>
      <c r="I327" s="262"/>
      <c r="J327" s="262">
        <f ca="1">SUM(J316:J326)</f>
        <v>0</v>
      </c>
      <c r="K327" s="262">
        <f ca="1">IF(J327=0,0,SUMPRODUCT(J316:J326,K316:K326)/J327)</f>
        <v>0</v>
      </c>
      <c r="L327" s="115"/>
      <c r="M327" s="9"/>
      <c r="N327" s="9"/>
      <c r="O327" s="9"/>
      <c r="P327" s="9"/>
      <c r="Q327" s="9"/>
      <c r="R327" s="9"/>
      <c r="S327" s="255"/>
      <c r="T327" s="255"/>
      <c r="U327" s="255"/>
      <c r="V327" s="255"/>
      <c r="W327" s="255"/>
      <c r="X327" s="255"/>
      <c r="Y327" s="255"/>
      <c r="Z327" s="255"/>
    </row>
    <row r="328" spans="1:26" hidden="1" outlineLevel="1">
      <c r="A328" s="9"/>
      <c r="B328" s="273"/>
      <c r="C328" s="9"/>
      <c r="D328" s="9"/>
      <c r="E328" s="35"/>
      <c r="F328" s="35"/>
      <c r="G328" s="258"/>
      <c r="H328" s="262"/>
      <c r="I328" s="262"/>
      <c r="J328" s="267"/>
      <c r="K328" s="262"/>
      <c r="L328" s="115"/>
      <c r="M328" s="9"/>
      <c r="N328" s="9"/>
      <c r="O328" s="9"/>
      <c r="P328" s="9"/>
      <c r="Q328" s="9"/>
      <c r="R328" s="9"/>
      <c r="S328" s="255"/>
      <c r="T328" s="255"/>
      <c r="U328" s="255"/>
      <c r="V328" s="255"/>
      <c r="W328" s="255"/>
      <c r="X328" s="255"/>
      <c r="Y328" s="255"/>
      <c r="Z328" s="255"/>
    </row>
    <row r="329" spans="1:26" hidden="1" outlineLevel="1">
      <c r="A329" s="9"/>
      <c r="B329" s="273">
        <f>Asset24</f>
        <v>0</v>
      </c>
      <c r="C329" s="9"/>
      <c r="D329" s="9"/>
      <c r="E329" s="35"/>
      <c r="F329" s="35"/>
      <c r="G329" s="258"/>
      <c r="H329" s="262"/>
      <c r="I329" s="262"/>
      <c r="J329" s="267"/>
      <c r="K329" s="262"/>
      <c r="L329" s="115"/>
      <c r="M329" s="9"/>
      <c r="N329" s="9"/>
      <c r="O329" s="9"/>
      <c r="P329" s="9"/>
      <c r="Q329" s="9"/>
      <c r="R329" s="9"/>
      <c r="S329" s="255"/>
      <c r="T329" s="255"/>
      <c r="U329" s="255"/>
      <c r="V329" s="255"/>
      <c r="W329" s="255"/>
      <c r="X329" s="255"/>
      <c r="Y329" s="255"/>
      <c r="Z329" s="255"/>
    </row>
    <row r="330" spans="1:26" ht="12.75" hidden="1" customHeight="1" outlineLevel="1">
      <c r="A330" s="9"/>
      <c r="B330" s="9"/>
      <c r="C330" s="538" t="s">
        <v>5</v>
      </c>
      <c r="D330" s="539"/>
      <c r="E330" s="262">
        <f ca="1">A24value-SUM('Actual RAB roll forward'!H375:OFFSET('Actual RAB roll forward'!H375,0,Input!$Y$7-1))</f>
        <v>0</v>
      </c>
      <c r="F330" s="262">
        <f>IF(A24remlife="N/A","n/a",A24remlife-Input!$Y$7)</f>
        <v>-5</v>
      </c>
      <c r="G330" s="258"/>
      <c r="H330" s="299" t="s">
        <v>43</v>
      </c>
      <c r="I330" s="300"/>
      <c r="J330" s="262">
        <f ca="1">A24taxvalue-SUM('Tax value roll forward'!H371:OFFSET('Tax value roll forward'!H371,0,Input!$Y$7-1))</f>
        <v>0</v>
      </c>
      <c r="K330" s="262">
        <f>IF(A24taxremlife="N/A","n/a",A24taxremlife-Input!$Y$7)</f>
        <v>-5</v>
      </c>
      <c r="L330" s="115"/>
      <c r="M330" s="9"/>
      <c r="N330" s="9"/>
      <c r="O330" s="9"/>
      <c r="P330" s="9"/>
      <c r="Q330" s="9"/>
      <c r="R330" s="9"/>
      <c r="S330" s="255"/>
      <c r="T330" s="255"/>
      <c r="U330" s="255"/>
      <c r="V330" s="255"/>
      <c r="W330" s="255"/>
      <c r="X330" s="255"/>
      <c r="Y330" s="255"/>
      <c r="Z330" s="255"/>
    </row>
    <row r="331" spans="1:26" hidden="1" outlineLevel="1">
      <c r="A331" s="9"/>
      <c r="B331" s="9"/>
      <c r="C331" s="540" t="s">
        <v>59</v>
      </c>
      <c r="D331" s="91">
        <v>1</v>
      </c>
      <c r="E331" s="262">
        <f ca="1">OFFSET('Actual RAB roll forward'!H$67,0,D331-1)-SUM('Actual RAB roll forward'!H377:OFFSET('Actual RAB roll forward'!H377,0,Input!$Y$7-1))</f>
        <v>0</v>
      </c>
      <c r="F331" s="262">
        <f ca="1">IF(A24stdlife="N/A","n/a",IF(E331=0,0,A24stdlife+D331-Input!$Y$7))</f>
        <v>0</v>
      </c>
      <c r="G331" s="258"/>
      <c r="H331" s="540" t="s">
        <v>59</v>
      </c>
      <c r="I331" s="91">
        <v>1</v>
      </c>
      <c r="J331" s="262">
        <f ca="1">OFFSET('Tax value roll forward'!H$63,0,I331-1)-SUM('Tax value roll forward'!H373:OFFSET('Tax value roll forward'!H373,0,Input!$Y$7-1))</f>
        <v>0</v>
      </c>
      <c r="K331" s="262">
        <f ca="1">IF(A24taxstdlife="N/A","n/a",IF(J331=0,0,A24taxstdlife+I331-Input!$Y$7))</f>
        <v>0</v>
      </c>
      <c r="L331" s="115"/>
      <c r="M331" s="9"/>
      <c r="N331" s="9"/>
      <c r="O331" s="9"/>
      <c r="P331" s="9"/>
      <c r="Q331" s="9"/>
      <c r="R331" s="9"/>
      <c r="S331" s="255"/>
      <c r="T331" s="255"/>
      <c r="U331" s="255"/>
      <c r="V331" s="255"/>
      <c r="W331" s="255"/>
      <c r="X331" s="255"/>
      <c r="Y331" s="255"/>
      <c r="Z331" s="255"/>
    </row>
    <row r="332" spans="1:26" hidden="1" outlineLevel="1">
      <c r="A332" s="9"/>
      <c r="B332" s="9"/>
      <c r="C332" s="541"/>
      <c r="D332" s="91">
        <v>2</v>
      </c>
      <c r="E332" s="262">
        <f ca="1">OFFSET('Actual RAB roll forward'!H$67,0,D332-1)-SUM('Actual RAB roll forward'!H378:OFFSET('Actual RAB roll forward'!H378,0,Input!$Y$7-1))</f>
        <v>0</v>
      </c>
      <c r="F332" s="262">
        <f ca="1">IF(A24stdlife="N/A","n/a",IF(E332=0,0,A24stdlife+D332-Input!$Y$7))</f>
        <v>0</v>
      </c>
      <c r="G332" s="258"/>
      <c r="H332" s="541"/>
      <c r="I332" s="91">
        <v>2</v>
      </c>
      <c r="J332" s="262">
        <f ca="1">OFFSET('Tax value roll forward'!H$63,0,I332-1)-SUM('Tax value roll forward'!H374:OFFSET('Tax value roll forward'!H374,0,Input!$Y$7-1))</f>
        <v>0</v>
      </c>
      <c r="K332" s="262">
        <f ca="1">IF(A24taxstdlife="N/A","n/a",IF(J332=0,0,A24taxstdlife+I332-Input!$Y$7))</f>
        <v>0</v>
      </c>
      <c r="L332" s="115"/>
      <c r="M332" s="9"/>
      <c r="N332" s="9"/>
      <c r="O332" s="9"/>
      <c r="P332" s="9"/>
      <c r="Q332" s="9"/>
      <c r="R332" s="9"/>
      <c r="S332" s="255"/>
      <c r="T332" s="255"/>
      <c r="U332" s="255"/>
      <c r="V332" s="255"/>
      <c r="W332" s="255"/>
      <c r="X332" s="255"/>
      <c r="Y332" s="255"/>
      <c r="Z332" s="255"/>
    </row>
    <row r="333" spans="1:26" hidden="1" outlineLevel="1">
      <c r="A333" s="9"/>
      <c r="B333" s="9"/>
      <c r="C333" s="541"/>
      <c r="D333" s="91">
        <v>3</v>
      </c>
      <c r="E333" s="262">
        <f ca="1">OFFSET('Actual RAB roll forward'!H$67,0,D333-1)-SUM('Actual RAB roll forward'!H379:OFFSET('Actual RAB roll forward'!H379,0,Input!$Y$7-1))</f>
        <v>0</v>
      </c>
      <c r="F333" s="262">
        <f ca="1">IF(A24stdlife="N/A","n/a",IF(E333=0,0,A24stdlife+D333-Input!$Y$7))</f>
        <v>0</v>
      </c>
      <c r="G333" s="258"/>
      <c r="H333" s="541"/>
      <c r="I333" s="91">
        <v>3</v>
      </c>
      <c r="J333" s="262">
        <f ca="1">OFFSET('Tax value roll forward'!H$63,0,I333-1)-SUM('Tax value roll forward'!H375:OFFSET('Tax value roll forward'!H375,0,Input!$Y$7-1))</f>
        <v>0</v>
      </c>
      <c r="K333" s="262">
        <f ca="1">IF(A24taxstdlife="N/A","n/a",IF(J333=0,0,A24taxstdlife+I333-Input!$Y$7))</f>
        <v>0</v>
      </c>
      <c r="L333" s="115"/>
      <c r="M333" s="9"/>
      <c r="N333" s="9"/>
      <c r="O333" s="9"/>
      <c r="P333" s="9"/>
      <c r="Q333" s="9"/>
      <c r="R333" s="9"/>
      <c r="S333" s="255"/>
      <c r="T333" s="255"/>
      <c r="U333" s="255"/>
      <c r="V333" s="255"/>
      <c r="W333" s="255"/>
      <c r="X333" s="255"/>
      <c r="Y333" s="255"/>
      <c r="Z333" s="255"/>
    </row>
    <row r="334" spans="1:26" hidden="1" outlineLevel="1">
      <c r="A334" s="9"/>
      <c r="B334" s="9"/>
      <c r="C334" s="541"/>
      <c r="D334" s="91">
        <v>4</v>
      </c>
      <c r="E334" s="262">
        <f ca="1">OFFSET('Actual RAB roll forward'!H$67,0,D334-1)-SUM('Actual RAB roll forward'!H380:OFFSET('Actual RAB roll forward'!H380,0,Input!$Y$7-1))</f>
        <v>0</v>
      </c>
      <c r="F334" s="262">
        <f ca="1">IF(A24stdlife="N/A","n/a",IF(E334=0,0,A24stdlife+D334-Input!$Y$7))</f>
        <v>0</v>
      </c>
      <c r="G334" s="258"/>
      <c r="H334" s="541"/>
      <c r="I334" s="91">
        <v>4</v>
      </c>
      <c r="J334" s="262">
        <f ca="1">OFFSET('Tax value roll forward'!H$63,0,I334-1)-SUM('Tax value roll forward'!H376:OFFSET('Tax value roll forward'!H376,0,Input!$Y$7-1))</f>
        <v>0</v>
      </c>
      <c r="K334" s="262">
        <f ca="1">IF(A24taxstdlife="N/A","n/a",IF(J334=0,0,A24taxstdlife+I334-Input!$Y$7))</f>
        <v>0</v>
      </c>
      <c r="L334" s="115"/>
      <c r="M334" s="9"/>
      <c r="N334" s="9"/>
      <c r="O334" s="9"/>
      <c r="P334" s="9"/>
      <c r="Q334" s="9"/>
      <c r="R334" s="9"/>
      <c r="S334" s="255"/>
      <c r="T334" s="255"/>
      <c r="U334" s="255"/>
      <c r="V334" s="255"/>
      <c r="W334" s="255"/>
      <c r="X334" s="255"/>
      <c r="Y334" s="255"/>
      <c r="Z334" s="255"/>
    </row>
    <row r="335" spans="1:26" hidden="1" outlineLevel="1">
      <c r="A335" s="9"/>
      <c r="B335" s="9"/>
      <c r="C335" s="541"/>
      <c r="D335" s="91">
        <v>5</v>
      </c>
      <c r="E335" s="262">
        <f ca="1">OFFSET('Actual RAB roll forward'!H$67,0,D335-1)-SUM('Actual RAB roll forward'!H381:OFFSET('Actual RAB roll forward'!H381,0,Input!$Y$7-1))</f>
        <v>0</v>
      </c>
      <c r="F335" s="262">
        <f ca="1">IF(A24stdlife="N/A","n/a",IF(E335=0,0,A24stdlife+D335-Input!$Y$7))</f>
        <v>0</v>
      </c>
      <c r="G335" s="258"/>
      <c r="H335" s="541"/>
      <c r="I335" s="91">
        <v>5</v>
      </c>
      <c r="J335" s="262">
        <f ca="1">OFFSET('Tax value roll forward'!H$63,0,I335-1)-SUM('Tax value roll forward'!H377:OFFSET('Tax value roll forward'!H377,0,Input!$Y$7-1))</f>
        <v>0</v>
      </c>
      <c r="K335" s="262">
        <f ca="1">IF(A24taxstdlife="N/A","n/a",IF(J335=0,0,A24taxstdlife+I335-Input!$Y$7))</f>
        <v>0</v>
      </c>
      <c r="L335" s="115"/>
      <c r="M335" s="9"/>
      <c r="N335" s="9"/>
      <c r="O335" s="9"/>
      <c r="P335" s="9"/>
      <c r="Q335" s="9"/>
      <c r="R335" s="9"/>
      <c r="S335" s="255"/>
      <c r="T335" s="255"/>
      <c r="U335" s="255"/>
      <c r="V335" s="255"/>
      <c r="W335" s="255"/>
      <c r="X335" s="255"/>
      <c r="Y335" s="255"/>
      <c r="Z335" s="255"/>
    </row>
    <row r="336" spans="1:26" hidden="1" outlineLevel="1">
      <c r="A336" s="9"/>
      <c r="B336" s="9"/>
      <c r="C336" s="541"/>
      <c r="D336" s="91">
        <v>6</v>
      </c>
      <c r="E336" s="262">
        <f ca="1">OFFSET('Actual RAB roll forward'!H$67,0,D336-1)-SUM('Actual RAB roll forward'!H382:OFFSET('Actual RAB roll forward'!H382,0,Input!$Y$7-1))</f>
        <v>0</v>
      </c>
      <c r="F336" s="262">
        <f ca="1">IF(A24stdlife="N/A","n/a",IF(E336=0,0,A24stdlife+D336-Input!$Y$7))</f>
        <v>0</v>
      </c>
      <c r="G336" s="258"/>
      <c r="H336" s="541"/>
      <c r="I336" s="91">
        <v>6</v>
      </c>
      <c r="J336" s="262">
        <f ca="1">OFFSET('Tax value roll forward'!H$63,0,I336-1)-SUM('Tax value roll forward'!H378:OFFSET('Tax value roll forward'!H378,0,Input!$Y$7-1))</f>
        <v>0</v>
      </c>
      <c r="K336" s="262">
        <f ca="1">IF(A24taxstdlife="N/A","n/a",IF(J336=0,0,A24taxstdlife+I336-Input!$Y$7))</f>
        <v>0</v>
      </c>
      <c r="L336" s="115"/>
      <c r="M336" s="9"/>
      <c r="N336" s="9"/>
      <c r="O336" s="9"/>
      <c r="P336" s="9"/>
      <c r="Q336" s="9"/>
      <c r="R336" s="9"/>
      <c r="S336" s="255"/>
      <c r="T336" s="255"/>
      <c r="U336" s="255"/>
      <c r="V336" s="255"/>
      <c r="W336" s="255"/>
      <c r="X336" s="255"/>
      <c r="Y336" s="255"/>
      <c r="Z336" s="255"/>
    </row>
    <row r="337" spans="1:26" hidden="1" outlineLevel="1">
      <c r="A337" s="9"/>
      <c r="B337" s="9"/>
      <c r="C337" s="541"/>
      <c r="D337" s="91">
        <v>7</v>
      </c>
      <c r="E337" s="262">
        <f ca="1">OFFSET('Actual RAB roll forward'!H$67,0,D337-1)-SUM('Actual RAB roll forward'!H383:OFFSET('Actual RAB roll forward'!H383,0,Input!$Y$7-1))</f>
        <v>0</v>
      </c>
      <c r="F337" s="262">
        <f ca="1">IF(A24stdlife="N/A","n/a",IF(E337=0,0,A24stdlife+D337-Input!$Y$7))</f>
        <v>0</v>
      </c>
      <c r="G337" s="258"/>
      <c r="H337" s="541"/>
      <c r="I337" s="91">
        <v>7</v>
      </c>
      <c r="J337" s="262">
        <f ca="1">OFFSET('Tax value roll forward'!H$63,0,I337-1)-SUM('Tax value roll forward'!H379:OFFSET('Tax value roll forward'!H379,0,Input!$Y$7-1))</f>
        <v>0</v>
      </c>
      <c r="K337" s="262">
        <f ca="1">IF(A24taxstdlife="N/A","n/a",IF(J337=0,0,A24taxstdlife+I337-Input!$Y$7))</f>
        <v>0</v>
      </c>
      <c r="L337" s="115"/>
      <c r="M337" s="9"/>
      <c r="N337" s="9"/>
      <c r="O337" s="9"/>
      <c r="P337" s="9"/>
      <c r="Q337" s="9"/>
      <c r="R337" s="9"/>
      <c r="S337" s="255"/>
      <c r="T337" s="255"/>
      <c r="U337" s="255"/>
      <c r="V337" s="255"/>
      <c r="W337" s="255"/>
      <c r="X337" s="255"/>
      <c r="Y337" s="255"/>
      <c r="Z337" s="255"/>
    </row>
    <row r="338" spans="1:26" hidden="1" outlineLevel="1">
      <c r="A338" s="9"/>
      <c r="B338" s="9"/>
      <c r="C338" s="541"/>
      <c r="D338" s="91">
        <v>8</v>
      </c>
      <c r="E338" s="262">
        <f ca="1">OFFSET('Actual RAB roll forward'!H$67,0,D338-1)-SUM('Actual RAB roll forward'!H384:OFFSET('Actual RAB roll forward'!H384,0,Input!$Y$7-1))</f>
        <v>0</v>
      </c>
      <c r="F338" s="262">
        <f ca="1">IF(A24stdlife="N/A","n/a",IF(E338=0,0,A24stdlife+D338-Input!$Y$7))</f>
        <v>0</v>
      </c>
      <c r="G338" s="258"/>
      <c r="H338" s="541"/>
      <c r="I338" s="91">
        <v>8</v>
      </c>
      <c r="J338" s="262">
        <f ca="1">OFFSET('Tax value roll forward'!H$63,0,I338-1)-SUM('Tax value roll forward'!H380:OFFSET('Tax value roll forward'!H380,0,Input!$Y$7-1))</f>
        <v>0</v>
      </c>
      <c r="K338" s="262">
        <f ca="1">IF(A24taxstdlife="N/A","n/a",IF(J338=0,0,A24taxstdlife+I338-Input!$Y$7))</f>
        <v>0</v>
      </c>
      <c r="L338" s="115"/>
      <c r="M338" s="9"/>
      <c r="N338" s="9"/>
      <c r="O338" s="9"/>
      <c r="P338" s="9"/>
      <c r="Q338" s="9"/>
      <c r="R338" s="9"/>
      <c r="S338" s="255"/>
      <c r="T338" s="255"/>
      <c r="U338" s="255"/>
      <c r="V338" s="255"/>
      <c r="W338" s="255"/>
      <c r="X338" s="255"/>
      <c r="Y338" s="255"/>
      <c r="Z338" s="255"/>
    </row>
    <row r="339" spans="1:26" hidden="1" outlineLevel="1">
      <c r="A339" s="9"/>
      <c r="B339" s="9"/>
      <c r="C339" s="541"/>
      <c r="D339" s="91">
        <v>9</v>
      </c>
      <c r="E339" s="262">
        <f ca="1">OFFSET('Actual RAB roll forward'!H$67,0,D339-1)-SUM('Actual RAB roll forward'!H385:OFFSET('Actual RAB roll forward'!H385,0,Input!$Y$7-1))</f>
        <v>0</v>
      </c>
      <c r="F339" s="262">
        <f ca="1">IF(A24stdlife="N/A","n/a",IF(E339=0,0,A24stdlife+D339-Input!$Y$7))</f>
        <v>0</v>
      </c>
      <c r="G339" s="258"/>
      <c r="H339" s="541"/>
      <c r="I339" s="91">
        <v>9</v>
      </c>
      <c r="J339" s="262">
        <f ca="1">OFFSET('Tax value roll forward'!H$63,0,I339-1)-SUM('Tax value roll forward'!H381:OFFSET('Tax value roll forward'!H381,0,Input!$Y$7-1))</f>
        <v>0</v>
      </c>
      <c r="K339" s="262">
        <f ca="1">IF(A24taxstdlife="N/A","n/a",IF(J339=0,0,A24taxstdlife+I339-Input!$Y$7))</f>
        <v>0</v>
      </c>
      <c r="L339" s="115"/>
      <c r="M339" s="9"/>
      <c r="N339" s="9"/>
      <c r="O339" s="9"/>
      <c r="P339" s="9"/>
      <c r="Q339" s="9"/>
      <c r="R339" s="9"/>
      <c r="S339" s="255"/>
      <c r="T339" s="255"/>
      <c r="U339" s="255"/>
      <c r="V339" s="255"/>
      <c r="W339" s="255"/>
      <c r="X339" s="255"/>
      <c r="Y339" s="255"/>
      <c r="Z339" s="255"/>
    </row>
    <row r="340" spans="1:26" hidden="1" outlineLevel="1">
      <c r="A340" s="9"/>
      <c r="B340" s="9"/>
      <c r="C340" s="542"/>
      <c r="D340" s="92">
        <v>10</v>
      </c>
      <c r="E340" s="262">
        <f ca="1">OFFSET('Actual RAB roll forward'!H$67,0,D340-1)-SUM('Actual RAB roll forward'!H386:OFFSET('Actual RAB roll forward'!H386,0,Input!$Y$7-1))</f>
        <v>0</v>
      </c>
      <c r="F340" s="262">
        <f ca="1">IF(A24stdlife="N/A","n/a",IF(E340=0,0,A24stdlife+D340-Input!$Y$7))</f>
        <v>0</v>
      </c>
      <c r="G340" s="258"/>
      <c r="H340" s="542"/>
      <c r="I340" s="92">
        <v>10</v>
      </c>
      <c r="J340" s="262">
        <f ca="1">OFFSET('Tax value roll forward'!H$63,0,I340-1)-SUM('Tax value roll forward'!H382:OFFSET('Tax value roll forward'!H382,0,Input!$Y$7-1))</f>
        <v>0</v>
      </c>
      <c r="K340" s="262">
        <f ca="1">IF(A24taxstdlife="N/A","n/a",IF(J340=0,0,A24taxstdlife+I340-Input!$Y$7))</f>
        <v>0</v>
      </c>
      <c r="L340" s="115"/>
      <c r="M340" s="9"/>
      <c r="N340" s="9"/>
      <c r="O340" s="9"/>
      <c r="P340" s="9"/>
      <c r="Q340" s="9"/>
      <c r="R340" s="9"/>
      <c r="S340" s="255"/>
      <c r="T340" s="255"/>
      <c r="U340" s="255"/>
      <c r="V340" s="255"/>
      <c r="W340" s="255"/>
      <c r="X340" s="255"/>
      <c r="Y340" s="255"/>
      <c r="Z340" s="255"/>
    </row>
    <row r="341" spans="1:26" collapsed="1">
      <c r="A341" s="9"/>
      <c r="B341" s="9"/>
      <c r="C341" s="275">
        <f>Asset24</f>
        <v>0</v>
      </c>
      <c r="D341" s="9"/>
      <c r="E341" s="262">
        <f ca="1">SUM(E330:E340)</f>
        <v>0</v>
      </c>
      <c r="F341" s="262">
        <f ca="1">IF(E341=0,0,SUMPRODUCT(E330:E340,F330:F340)/E341)</f>
        <v>0</v>
      </c>
      <c r="G341" s="258"/>
      <c r="H341" s="43"/>
      <c r="I341" s="262"/>
      <c r="J341" s="262">
        <f ca="1">SUM(J330:J340)</f>
        <v>0</v>
      </c>
      <c r="K341" s="262">
        <f ca="1">IF(J341=0,0,SUMPRODUCT(J330:J340,K330:K340)/J341)</f>
        <v>0</v>
      </c>
      <c r="L341" s="115"/>
      <c r="M341" s="9"/>
      <c r="N341" s="9"/>
      <c r="O341" s="9"/>
      <c r="P341" s="9"/>
      <c r="Q341" s="9"/>
      <c r="R341" s="9"/>
      <c r="S341" s="255"/>
      <c r="T341" s="255"/>
      <c r="U341" s="255"/>
      <c r="V341" s="255"/>
      <c r="W341" s="255"/>
      <c r="X341" s="255"/>
      <c r="Y341" s="255"/>
      <c r="Z341" s="255"/>
    </row>
    <row r="342" spans="1:26" hidden="1" outlineLevel="1">
      <c r="A342" s="9"/>
      <c r="B342" s="273"/>
      <c r="C342" s="9"/>
      <c r="D342" s="9"/>
      <c r="E342" s="35"/>
      <c r="F342" s="35"/>
      <c r="G342" s="258"/>
      <c r="H342" s="262"/>
      <c r="I342" s="262"/>
      <c r="J342" s="267"/>
      <c r="K342" s="262"/>
      <c r="L342" s="115"/>
      <c r="M342" s="9"/>
      <c r="N342" s="9"/>
      <c r="O342" s="9"/>
      <c r="P342" s="9"/>
      <c r="Q342" s="9"/>
      <c r="R342" s="9"/>
      <c r="S342" s="255"/>
      <c r="T342" s="255"/>
      <c r="U342" s="255"/>
      <c r="V342" s="255"/>
      <c r="W342" s="255"/>
      <c r="X342" s="255"/>
      <c r="Y342" s="255"/>
      <c r="Z342" s="255"/>
    </row>
    <row r="343" spans="1:26" hidden="1" outlineLevel="1">
      <c r="A343" s="9"/>
      <c r="B343" s="273">
        <f>Asset25</f>
        <v>0</v>
      </c>
      <c r="C343" s="9"/>
      <c r="D343" s="9"/>
      <c r="E343" s="35"/>
      <c r="F343" s="35"/>
      <c r="G343" s="258"/>
      <c r="H343" s="262"/>
      <c r="I343" s="262"/>
      <c r="J343" s="267"/>
      <c r="K343" s="262"/>
      <c r="L343" s="115"/>
      <c r="M343" s="9"/>
      <c r="N343" s="9"/>
      <c r="O343" s="9"/>
      <c r="P343" s="9"/>
      <c r="Q343" s="9"/>
      <c r="R343" s="9"/>
      <c r="S343" s="255"/>
      <c r="T343" s="255"/>
      <c r="U343" s="255"/>
      <c r="V343" s="255"/>
      <c r="W343" s="255"/>
      <c r="X343" s="255"/>
      <c r="Y343" s="255"/>
      <c r="Z343" s="255"/>
    </row>
    <row r="344" spans="1:26" ht="12.75" hidden="1" customHeight="1" outlineLevel="1">
      <c r="A344" s="9"/>
      <c r="B344" s="9"/>
      <c r="C344" s="538" t="s">
        <v>5</v>
      </c>
      <c r="D344" s="539"/>
      <c r="E344" s="262">
        <f ca="1">A25value-SUM('Actual RAB roll forward'!H388:OFFSET('Actual RAB roll forward'!H388,0,Input!$Y$7-1))</f>
        <v>0</v>
      </c>
      <c r="F344" s="262">
        <f>IF(A25remlife="N/A","n/a",A25remlife-Input!$Y$7)</f>
        <v>-5</v>
      </c>
      <c r="G344" s="258"/>
      <c r="H344" s="299" t="s">
        <v>43</v>
      </c>
      <c r="I344" s="300"/>
      <c r="J344" s="262">
        <f ca="1">A25taxvalue-SUM('Tax value roll forward'!H384:OFFSET('Tax value roll forward'!H384,0,Input!$Y$7-1))</f>
        <v>0</v>
      </c>
      <c r="K344" s="262">
        <f>IF(A25taxremlife="N/A","n/a",A25taxremlife-Input!$Y$7)</f>
        <v>-5</v>
      </c>
      <c r="L344" s="115"/>
      <c r="M344" s="9"/>
      <c r="N344" s="9"/>
      <c r="O344" s="9"/>
      <c r="P344" s="9"/>
      <c r="Q344" s="9"/>
      <c r="R344" s="9"/>
      <c r="S344" s="255"/>
      <c r="T344" s="255"/>
      <c r="U344" s="255"/>
      <c r="V344" s="255"/>
      <c r="W344" s="255"/>
      <c r="X344" s="255"/>
      <c r="Y344" s="255"/>
      <c r="Z344" s="255"/>
    </row>
    <row r="345" spans="1:26" hidden="1" outlineLevel="1">
      <c r="A345" s="9"/>
      <c r="B345" s="9"/>
      <c r="C345" s="540" t="s">
        <v>59</v>
      </c>
      <c r="D345" s="91">
        <v>1</v>
      </c>
      <c r="E345" s="262">
        <f ca="1">OFFSET('Actual RAB roll forward'!H$68,0,D345-1)-SUM('Actual RAB roll forward'!H390:OFFSET('Actual RAB roll forward'!H390,0,Input!$Y$7-1))</f>
        <v>0</v>
      </c>
      <c r="F345" s="262">
        <f ca="1">IF(A25stdlife="N/A","n/a",IF(E345=0,0,A25stdlife+D345-Input!$Y$7))</f>
        <v>0</v>
      </c>
      <c r="G345" s="258"/>
      <c r="H345" s="540" t="s">
        <v>59</v>
      </c>
      <c r="I345" s="91">
        <v>1</v>
      </c>
      <c r="J345" s="262">
        <f ca="1">OFFSET('Tax value roll forward'!H$64,0,I345-1)-SUM('Tax value roll forward'!H386:OFFSET('Tax value roll forward'!H386,0,Input!$Y$7-1))</f>
        <v>0</v>
      </c>
      <c r="K345" s="262">
        <f ca="1">IF(A25taxstdlife="N/A","n/a",IF(J345=0,0,A25taxstdlife+I345-Input!$Y$7))</f>
        <v>0</v>
      </c>
      <c r="L345" s="115"/>
      <c r="M345" s="9"/>
      <c r="N345" s="9"/>
      <c r="O345" s="9"/>
      <c r="P345" s="9"/>
      <c r="Q345" s="9"/>
      <c r="R345" s="9"/>
      <c r="S345" s="255"/>
      <c r="T345" s="255"/>
      <c r="U345" s="255"/>
      <c r="V345" s="255"/>
      <c r="W345" s="255"/>
      <c r="X345" s="255"/>
      <c r="Y345" s="255"/>
      <c r="Z345" s="255"/>
    </row>
    <row r="346" spans="1:26" hidden="1" outlineLevel="1">
      <c r="A346" s="9"/>
      <c r="B346" s="9"/>
      <c r="C346" s="541"/>
      <c r="D346" s="91">
        <v>2</v>
      </c>
      <c r="E346" s="262">
        <f ca="1">OFFSET('Actual RAB roll forward'!H$68,0,D346-1)-SUM('Actual RAB roll forward'!H391:OFFSET('Actual RAB roll forward'!H391,0,Input!$Y$7-1))</f>
        <v>0</v>
      </c>
      <c r="F346" s="262">
        <f ca="1">IF(A25stdlife="N/A","n/a",IF(E346=0,0,A25stdlife+D346-Input!$Y$7))</f>
        <v>0</v>
      </c>
      <c r="G346" s="258"/>
      <c r="H346" s="541"/>
      <c r="I346" s="91">
        <v>2</v>
      </c>
      <c r="J346" s="262">
        <f ca="1">OFFSET('Tax value roll forward'!H$64,0,I346-1)-SUM('Tax value roll forward'!H387:OFFSET('Tax value roll forward'!H387,0,Input!$Y$7-1))</f>
        <v>0</v>
      </c>
      <c r="K346" s="262">
        <f ca="1">IF(A25taxstdlife="N/A","n/a",IF(J346=0,0,A25taxstdlife+I346-Input!$Y$7))</f>
        <v>0</v>
      </c>
      <c r="L346" s="115"/>
      <c r="M346" s="9"/>
      <c r="N346" s="9"/>
      <c r="O346" s="9"/>
      <c r="P346" s="9"/>
      <c r="Q346" s="9"/>
      <c r="R346" s="9"/>
      <c r="S346" s="255"/>
      <c r="T346" s="255"/>
      <c r="U346" s="255"/>
      <c r="V346" s="255"/>
      <c r="W346" s="255"/>
      <c r="X346" s="255"/>
      <c r="Y346" s="255"/>
      <c r="Z346" s="255"/>
    </row>
    <row r="347" spans="1:26" hidden="1" outlineLevel="1">
      <c r="A347" s="9"/>
      <c r="B347" s="9"/>
      <c r="C347" s="541"/>
      <c r="D347" s="91">
        <v>3</v>
      </c>
      <c r="E347" s="262">
        <f ca="1">OFFSET('Actual RAB roll forward'!H$68,0,D347-1)-SUM('Actual RAB roll forward'!H392:OFFSET('Actual RAB roll forward'!H392,0,Input!$Y$7-1))</f>
        <v>0</v>
      </c>
      <c r="F347" s="262">
        <f ca="1">IF(A25stdlife="N/A","n/a",IF(E347=0,0,A25stdlife+D347-Input!$Y$7))</f>
        <v>0</v>
      </c>
      <c r="G347" s="258"/>
      <c r="H347" s="541"/>
      <c r="I347" s="91">
        <v>3</v>
      </c>
      <c r="J347" s="262">
        <f ca="1">OFFSET('Tax value roll forward'!H$64,0,I347-1)-SUM('Tax value roll forward'!H388:OFFSET('Tax value roll forward'!H388,0,Input!$Y$7-1))</f>
        <v>0</v>
      </c>
      <c r="K347" s="262">
        <f ca="1">IF(A25taxstdlife="N/A","n/a",IF(J347=0,0,A25taxstdlife+I347-Input!$Y$7))</f>
        <v>0</v>
      </c>
      <c r="L347" s="115"/>
      <c r="M347" s="9"/>
      <c r="N347" s="9"/>
      <c r="O347" s="9"/>
      <c r="P347" s="9"/>
      <c r="Q347" s="9"/>
      <c r="R347" s="9"/>
      <c r="S347" s="255"/>
      <c r="T347" s="255"/>
      <c r="U347" s="255"/>
      <c r="V347" s="255"/>
      <c r="W347" s="255"/>
      <c r="X347" s="255"/>
      <c r="Y347" s="255"/>
      <c r="Z347" s="255"/>
    </row>
    <row r="348" spans="1:26" hidden="1" outlineLevel="1">
      <c r="A348" s="9"/>
      <c r="B348" s="9"/>
      <c r="C348" s="541"/>
      <c r="D348" s="91">
        <v>4</v>
      </c>
      <c r="E348" s="262">
        <f ca="1">OFFSET('Actual RAB roll forward'!H$68,0,D348-1)-SUM('Actual RAB roll forward'!H393:OFFSET('Actual RAB roll forward'!H393,0,Input!$Y$7-1))</f>
        <v>0</v>
      </c>
      <c r="F348" s="262">
        <f ca="1">IF(A25stdlife="N/A","n/a",IF(E348=0,0,A25stdlife+D348-Input!$Y$7))</f>
        <v>0</v>
      </c>
      <c r="G348" s="258"/>
      <c r="H348" s="541"/>
      <c r="I348" s="91">
        <v>4</v>
      </c>
      <c r="J348" s="262">
        <f ca="1">OFFSET('Tax value roll forward'!H$64,0,I348-1)-SUM('Tax value roll forward'!H389:OFFSET('Tax value roll forward'!H389,0,Input!$Y$7-1))</f>
        <v>0</v>
      </c>
      <c r="K348" s="262">
        <f ca="1">IF(A25taxstdlife="N/A","n/a",IF(J348=0,0,A25taxstdlife+I348-Input!$Y$7))</f>
        <v>0</v>
      </c>
      <c r="L348" s="115"/>
      <c r="M348" s="9"/>
      <c r="N348" s="9"/>
      <c r="O348" s="9"/>
      <c r="P348" s="9"/>
      <c r="Q348" s="9"/>
      <c r="R348" s="9"/>
      <c r="S348" s="255"/>
      <c r="T348" s="255"/>
      <c r="U348" s="255"/>
      <c r="V348" s="255"/>
      <c r="W348" s="255"/>
      <c r="X348" s="255"/>
      <c r="Y348" s="255"/>
      <c r="Z348" s="255"/>
    </row>
    <row r="349" spans="1:26" hidden="1" outlineLevel="1">
      <c r="A349" s="9"/>
      <c r="B349" s="9"/>
      <c r="C349" s="541"/>
      <c r="D349" s="91">
        <v>5</v>
      </c>
      <c r="E349" s="262">
        <f ca="1">OFFSET('Actual RAB roll forward'!H$68,0,D349-1)-SUM('Actual RAB roll forward'!H394:OFFSET('Actual RAB roll forward'!H394,0,Input!$Y$7-1))</f>
        <v>0</v>
      </c>
      <c r="F349" s="262">
        <f ca="1">IF(A25stdlife="N/A","n/a",IF(E349=0,0,A25stdlife+D349-Input!$Y$7))</f>
        <v>0</v>
      </c>
      <c r="G349" s="258"/>
      <c r="H349" s="541"/>
      <c r="I349" s="91">
        <v>5</v>
      </c>
      <c r="J349" s="262">
        <f ca="1">OFFSET('Tax value roll forward'!H$64,0,I349-1)-SUM('Tax value roll forward'!H390:OFFSET('Tax value roll forward'!H390,0,Input!$Y$7-1))</f>
        <v>0</v>
      </c>
      <c r="K349" s="262">
        <f ca="1">IF(A25taxstdlife="N/A","n/a",IF(J349=0,0,A25taxstdlife+I349-Input!$Y$7))</f>
        <v>0</v>
      </c>
      <c r="L349" s="115"/>
      <c r="M349" s="9"/>
      <c r="N349" s="9"/>
      <c r="O349" s="9"/>
      <c r="P349" s="9"/>
      <c r="Q349" s="9"/>
      <c r="R349" s="9"/>
      <c r="S349" s="255"/>
      <c r="T349" s="255"/>
      <c r="U349" s="255"/>
      <c r="V349" s="255"/>
      <c r="W349" s="255"/>
      <c r="X349" s="255"/>
      <c r="Y349" s="255"/>
      <c r="Z349" s="255"/>
    </row>
    <row r="350" spans="1:26" hidden="1" outlineLevel="1">
      <c r="A350" s="9"/>
      <c r="B350" s="9"/>
      <c r="C350" s="541"/>
      <c r="D350" s="91">
        <v>6</v>
      </c>
      <c r="E350" s="262">
        <f ca="1">OFFSET('Actual RAB roll forward'!H$68,0,D350-1)-SUM('Actual RAB roll forward'!H395:OFFSET('Actual RAB roll forward'!H395,0,Input!$Y$7-1))</f>
        <v>0</v>
      </c>
      <c r="F350" s="262">
        <f ca="1">IF(A25stdlife="N/A","n/a",IF(E350=0,0,A25stdlife+D350-Input!$Y$7))</f>
        <v>0</v>
      </c>
      <c r="G350" s="258"/>
      <c r="H350" s="541"/>
      <c r="I350" s="91">
        <v>6</v>
      </c>
      <c r="J350" s="262">
        <f ca="1">OFFSET('Tax value roll forward'!H$64,0,I350-1)-SUM('Tax value roll forward'!H391:OFFSET('Tax value roll forward'!H391,0,Input!$Y$7-1))</f>
        <v>0</v>
      </c>
      <c r="K350" s="262">
        <f ca="1">IF(A25taxstdlife="N/A","n/a",IF(J350=0,0,A25taxstdlife+I350-Input!$Y$7))</f>
        <v>0</v>
      </c>
      <c r="L350" s="115"/>
      <c r="M350" s="9"/>
      <c r="N350" s="9"/>
      <c r="O350" s="9"/>
      <c r="P350" s="9"/>
      <c r="Q350" s="9"/>
      <c r="R350" s="9"/>
      <c r="S350" s="255"/>
      <c r="T350" s="255"/>
      <c r="U350" s="255"/>
      <c r="V350" s="255"/>
      <c r="W350" s="255"/>
      <c r="X350" s="255"/>
      <c r="Y350" s="255"/>
      <c r="Z350" s="255"/>
    </row>
    <row r="351" spans="1:26" hidden="1" outlineLevel="1">
      <c r="A351" s="9"/>
      <c r="B351" s="9"/>
      <c r="C351" s="541"/>
      <c r="D351" s="91">
        <v>7</v>
      </c>
      <c r="E351" s="262">
        <f ca="1">OFFSET('Actual RAB roll forward'!H$68,0,D351-1)-SUM('Actual RAB roll forward'!H396:OFFSET('Actual RAB roll forward'!H396,0,Input!$Y$7-1))</f>
        <v>0</v>
      </c>
      <c r="F351" s="262">
        <f ca="1">IF(A25stdlife="N/A","n/a",IF(E351=0,0,A25stdlife+D351-Input!$Y$7))</f>
        <v>0</v>
      </c>
      <c r="G351" s="258"/>
      <c r="H351" s="541"/>
      <c r="I351" s="91">
        <v>7</v>
      </c>
      <c r="J351" s="262">
        <f ca="1">OFFSET('Tax value roll forward'!H$64,0,I351-1)-SUM('Tax value roll forward'!H392:OFFSET('Tax value roll forward'!H392,0,Input!$Y$7-1))</f>
        <v>0</v>
      </c>
      <c r="K351" s="262">
        <f ca="1">IF(A25taxstdlife="N/A","n/a",IF(J351=0,0,A25taxstdlife+I351-Input!$Y$7))</f>
        <v>0</v>
      </c>
      <c r="L351" s="115"/>
      <c r="M351" s="9"/>
      <c r="N351" s="9"/>
      <c r="O351" s="9"/>
      <c r="P351" s="9"/>
      <c r="Q351" s="9"/>
      <c r="R351" s="9"/>
      <c r="S351" s="255"/>
      <c r="T351" s="255"/>
      <c r="U351" s="255"/>
      <c r="V351" s="255"/>
      <c r="W351" s="255"/>
      <c r="X351" s="255"/>
      <c r="Y351" s="255"/>
      <c r="Z351" s="255"/>
    </row>
    <row r="352" spans="1:26" hidden="1" outlineLevel="1">
      <c r="A352" s="9"/>
      <c r="B352" s="9"/>
      <c r="C352" s="541"/>
      <c r="D352" s="91">
        <v>8</v>
      </c>
      <c r="E352" s="262">
        <f ca="1">OFFSET('Actual RAB roll forward'!H$68,0,D352-1)-SUM('Actual RAB roll forward'!H397:OFFSET('Actual RAB roll forward'!H397,0,Input!$Y$7-1))</f>
        <v>0</v>
      </c>
      <c r="F352" s="262">
        <f ca="1">IF(A25stdlife="N/A","n/a",IF(E352=0,0,A25stdlife+D352-Input!$Y$7))</f>
        <v>0</v>
      </c>
      <c r="G352" s="258"/>
      <c r="H352" s="541"/>
      <c r="I352" s="91">
        <v>8</v>
      </c>
      <c r="J352" s="262">
        <f ca="1">OFFSET('Tax value roll forward'!H$64,0,I352-1)-SUM('Tax value roll forward'!H393:OFFSET('Tax value roll forward'!H393,0,Input!$Y$7-1))</f>
        <v>0</v>
      </c>
      <c r="K352" s="262">
        <f ca="1">IF(A25taxstdlife="N/A","n/a",IF(J352=0,0,A25taxstdlife+I352-Input!$Y$7))</f>
        <v>0</v>
      </c>
      <c r="L352" s="115"/>
      <c r="M352" s="9"/>
      <c r="N352" s="9"/>
      <c r="O352" s="9"/>
      <c r="P352" s="9"/>
      <c r="Q352" s="9"/>
      <c r="R352" s="9"/>
      <c r="S352" s="255"/>
      <c r="T352" s="255"/>
      <c r="U352" s="255"/>
      <c r="V352" s="255"/>
      <c r="W352" s="255"/>
      <c r="X352" s="255"/>
      <c r="Y352" s="255"/>
      <c r="Z352" s="255"/>
    </row>
    <row r="353" spans="1:26" hidden="1" outlineLevel="1">
      <c r="A353" s="9"/>
      <c r="B353" s="9"/>
      <c r="C353" s="541"/>
      <c r="D353" s="91">
        <v>9</v>
      </c>
      <c r="E353" s="262">
        <f ca="1">OFFSET('Actual RAB roll forward'!H$68,0,D353-1)-SUM('Actual RAB roll forward'!H398:OFFSET('Actual RAB roll forward'!H398,0,Input!$Y$7-1))</f>
        <v>0</v>
      </c>
      <c r="F353" s="262">
        <f ca="1">IF(A25stdlife="N/A","n/a",IF(E353=0,0,A25stdlife+D353-Input!$Y$7))</f>
        <v>0</v>
      </c>
      <c r="G353" s="258"/>
      <c r="H353" s="541"/>
      <c r="I353" s="91">
        <v>9</v>
      </c>
      <c r="J353" s="262">
        <f ca="1">OFFSET('Tax value roll forward'!H$64,0,I353-1)-SUM('Tax value roll forward'!H394:OFFSET('Tax value roll forward'!H394,0,Input!$Y$7-1))</f>
        <v>0</v>
      </c>
      <c r="K353" s="262">
        <f ca="1">IF(A25taxstdlife="N/A","n/a",IF(J353=0,0,A25taxstdlife+I353-Input!$Y$7))</f>
        <v>0</v>
      </c>
      <c r="L353" s="115"/>
      <c r="M353" s="9"/>
      <c r="N353" s="9"/>
      <c r="O353" s="9"/>
      <c r="P353" s="9"/>
      <c r="Q353" s="9"/>
      <c r="R353" s="9"/>
      <c r="S353" s="255"/>
      <c r="T353" s="255"/>
      <c r="U353" s="255"/>
      <c r="V353" s="255"/>
      <c r="W353" s="255"/>
      <c r="X353" s="255"/>
      <c r="Y353" s="255"/>
      <c r="Z353" s="255"/>
    </row>
    <row r="354" spans="1:26" hidden="1" outlineLevel="1">
      <c r="A354" s="9"/>
      <c r="B354" s="9"/>
      <c r="C354" s="542"/>
      <c r="D354" s="92">
        <v>10</v>
      </c>
      <c r="E354" s="262">
        <f ca="1">OFFSET('Actual RAB roll forward'!H$68,0,D354-1)-SUM('Actual RAB roll forward'!H399:OFFSET('Actual RAB roll forward'!H399,0,Input!$Y$7-1))</f>
        <v>0</v>
      </c>
      <c r="F354" s="262">
        <f ca="1">IF(A25stdlife="N/A","n/a",IF(E354=0,0,A25stdlife+D354-Input!$Y$7))</f>
        <v>0</v>
      </c>
      <c r="G354" s="258"/>
      <c r="H354" s="542"/>
      <c r="I354" s="92">
        <v>10</v>
      </c>
      <c r="J354" s="262">
        <f ca="1">OFFSET('Tax value roll forward'!H$64,0,I354-1)-SUM('Tax value roll forward'!H395:OFFSET('Tax value roll forward'!H395,0,Input!$Y$7-1))</f>
        <v>0</v>
      </c>
      <c r="K354" s="262">
        <f ca="1">IF(A25taxstdlife="N/A","n/a",IF(J354=0,0,A25taxstdlife+I354-Input!$Y$7))</f>
        <v>0</v>
      </c>
      <c r="L354" s="115"/>
      <c r="M354" s="9"/>
      <c r="N354" s="9"/>
      <c r="O354" s="9"/>
      <c r="P354" s="9"/>
      <c r="Q354" s="9"/>
      <c r="R354" s="9"/>
      <c r="S354" s="255"/>
      <c r="T354" s="255"/>
      <c r="U354" s="255"/>
      <c r="V354" s="255"/>
      <c r="W354" s="255"/>
      <c r="X354" s="255"/>
      <c r="Y354" s="255"/>
      <c r="Z354" s="255"/>
    </row>
    <row r="355" spans="1:26" collapsed="1">
      <c r="A355" s="9"/>
      <c r="B355" s="9"/>
      <c r="C355" s="275">
        <f>Asset25</f>
        <v>0</v>
      </c>
      <c r="D355" s="9"/>
      <c r="E355" s="262">
        <f ca="1">SUM(E344:E354)</f>
        <v>0</v>
      </c>
      <c r="F355" s="262">
        <f ca="1">IF(E355=0,0,SUMPRODUCT(E344:E354,F344:F354)/E355)</f>
        <v>0</v>
      </c>
      <c r="G355" s="258"/>
      <c r="H355" s="43"/>
      <c r="I355" s="262"/>
      <c r="J355" s="262">
        <f ca="1">SUM(J344:J354)</f>
        <v>0</v>
      </c>
      <c r="K355" s="262">
        <f ca="1">IF(J355=0,0,SUMPRODUCT(J344:J354,K344:K354)/J355)</f>
        <v>0</v>
      </c>
      <c r="L355" s="115"/>
      <c r="M355" s="9"/>
      <c r="N355" s="9"/>
      <c r="O355" s="9"/>
      <c r="P355" s="9"/>
      <c r="Q355" s="9"/>
      <c r="R355" s="9"/>
      <c r="S355" s="255"/>
      <c r="T355" s="255"/>
      <c r="U355" s="255"/>
      <c r="V355" s="255"/>
      <c r="W355" s="255"/>
      <c r="X355" s="255"/>
      <c r="Y355" s="255"/>
      <c r="Z355" s="255"/>
    </row>
    <row r="356" spans="1:26" hidden="1" outlineLevel="1">
      <c r="A356" s="9"/>
      <c r="B356" s="273"/>
      <c r="C356" s="9"/>
      <c r="D356" s="9"/>
      <c r="E356" s="35"/>
      <c r="F356" s="35"/>
      <c r="G356" s="258"/>
      <c r="H356" s="262"/>
      <c r="I356" s="262"/>
      <c r="J356" s="267"/>
      <c r="K356" s="262"/>
      <c r="L356" s="115"/>
      <c r="M356" s="9"/>
      <c r="N356" s="9"/>
      <c r="O356" s="9"/>
      <c r="P356" s="9"/>
      <c r="Q356" s="9"/>
      <c r="R356" s="9"/>
      <c r="S356" s="255"/>
      <c r="T356" s="255"/>
      <c r="U356" s="255"/>
      <c r="V356" s="255"/>
      <c r="W356" s="255"/>
      <c r="X356" s="255"/>
      <c r="Y356" s="255"/>
      <c r="Z356" s="255"/>
    </row>
    <row r="357" spans="1:26" hidden="1" outlineLevel="1">
      <c r="A357" s="9"/>
      <c r="B357" s="273">
        <f>Asset26</f>
        <v>0</v>
      </c>
      <c r="C357" s="9"/>
      <c r="D357" s="9"/>
      <c r="E357" s="35"/>
      <c r="F357" s="35"/>
      <c r="G357" s="258"/>
      <c r="H357" s="262"/>
      <c r="I357" s="262"/>
      <c r="J357" s="267"/>
      <c r="K357" s="262"/>
      <c r="L357" s="115"/>
      <c r="M357" s="9"/>
      <c r="N357" s="9"/>
      <c r="O357" s="9"/>
      <c r="P357" s="9"/>
      <c r="Q357" s="9"/>
      <c r="R357" s="9"/>
      <c r="S357" s="255"/>
      <c r="T357" s="255"/>
      <c r="U357" s="255"/>
      <c r="V357" s="255"/>
      <c r="W357" s="255"/>
      <c r="X357" s="255"/>
      <c r="Y357" s="255"/>
      <c r="Z357" s="255"/>
    </row>
    <row r="358" spans="1:26" ht="12.75" hidden="1" customHeight="1" outlineLevel="1">
      <c r="A358" s="9"/>
      <c r="B358" s="9"/>
      <c r="C358" s="538" t="s">
        <v>5</v>
      </c>
      <c r="D358" s="539"/>
      <c r="E358" s="262">
        <f ca="1">A26value-SUM('Actual RAB roll forward'!H401:OFFSET('Actual RAB roll forward'!H401,0,Input!$Y$7-1))</f>
        <v>0</v>
      </c>
      <c r="F358" s="262">
        <f>IF(A26remlife="N/A","n/a",A26remlife-Input!$Y$7)</f>
        <v>-5</v>
      </c>
      <c r="G358" s="258"/>
      <c r="H358" s="299" t="s">
        <v>43</v>
      </c>
      <c r="I358" s="300"/>
      <c r="J358" s="262">
        <f ca="1">A26taxvalue-SUM('Tax value roll forward'!H397:OFFSET('Tax value roll forward'!H397,0,Input!$Y$7-1))</f>
        <v>0</v>
      </c>
      <c r="K358" s="262">
        <f>IF(A26taxremlife="N/A","n/a",A26taxremlife-Input!$Y$7)</f>
        <v>-5</v>
      </c>
      <c r="L358" s="115"/>
      <c r="M358" s="9"/>
      <c r="N358" s="9"/>
      <c r="O358" s="9"/>
      <c r="P358" s="9"/>
      <c r="Q358" s="9"/>
      <c r="R358" s="9"/>
      <c r="S358" s="255"/>
      <c r="T358" s="255"/>
      <c r="U358" s="255"/>
      <c r="V358" s="255"/>
      <c r="W358" s="255"/>
      <c r="X358" s="255"/>
      <c r="Y358" s="255"/>
      <c r="Z358" s="255"/>
    </row>
    <row r="359" spans="1:26" hidden="1" outlineLevel="1">
      <c r="A359" s="9"/>
      <c r="B359" s="9"/>
      <c r="C359" s="540" t="s">
        <v>59</v>
      </c>
      <c r="D359" s="91">
        <v>1</v>
      </c>
      <c r="E359" s="262">
        <f ca="1">OFFSET('Actual RAB roll forward'!H$69,0,D359-1)-SUM('Actual RAB roll forward'!H403:OFFSET('Actual RAB roll forward'!H403,0,Input!$Y$7-1))</f>
        <v>0</v>
      </c>
      <c r="F359" s="262">
        <f ca="1">IF(A26stdlife="N/A","n/a",IF(E359=0,0,A26stdlife+D359-Input!$Y$7))</f>
        <v>0</v>
      </c>
      <c r="G359" s="258"/>
      <c r="H359" s="540" t="s">
        <v>59</v>
      </c>
      <c r="I359" s="91">
        <v>1</v>
      </c>
      <c r="J359" s="262">
        <f ca="1">OFFSET('Tax value roll forward'!H$65,0,I359-1)-SUM('Tax value roll forward'!H399:OFFSET('Tax value roll forward'!H399,0,Input!$Y$7-1))</f>
        <v>0</v>
      </c>
      <c r="K359" s="262">
        <f ca="1">IF(A26taxstdlife="N/A","n/a",IF(J359=0,0,A26taxstdlife+I359-Input!$Y$7))</f>
        <v>0</v>
      </c>
      <c r="L359" s="115"/>
      <c r="M359" s="9"/>
      <c r="N359" s="9"/>
      <c r="O359" s="9"/>
      <c r="P359" s="9"/>
      <c r="Q359" s="9"/>
      <c r="R359" s="9"/>
      <c r="S359" s="255"/>
      <c r="T359" s="255"/>
      <c r="U359" s="255"/>
      <c r="V359" s="255"/>
      <c r="W359" s="255"/>
      <c r="X359" s="255"/>
      <c r="Y359" s="255"/>
      <c r="Z359" s="255"/>
    </row>
    <row r="360" spans="1:26" hidden="1" outlineLevel="1">
      <c r="A360" s="9"/>
      <c r="B360" s="9"/>
      <c r="C360" s="541"/>
      <c r="D360" s="91">
        <v>2</v>
      </c>
      <c r="E360" s="262">
        <f ca="1">OFFSET('Actual RAB roll forward'!H$69,0,D360-1)-SUM('Actual RAB roll forward'!H404:OFFSET('Actual RAB roll forward'!H404,0,Input!$Y$7-1))</f>
        <v>0</v>
      </c>
      <c r="F360" s="262">
        <f ca="1">IF(A26stdlife="N/A","n/a",IF(E360=0,0,A26stdlife+D360-Input!$Y$7))</f>
        <v>0</v>
      </c>
      <c r="G360" s="258"/>
      <c r="H360" s="541"/>
      <c r="I360" s="91">
        <v>2</v>
      </c>
      <c r="J360" s="262">
        <f ca="1">OFFSET('Tax value roll forward'!H$65,0,I360-1)-SUM('Tax value roll forward'!H400:OFFSET('Tax value roll forward'!H400,0,Input!$Y$7-1))</f>
        <v>0</v>
      </c>
      <c r="K360" s="262">
        <f ca="1">IF(A26taxstdlife="N/A","n/a",IF(J360=0,0,A26taxstdlife+I360-Input!$Y$7))</f>
        <v>0</v>
      </c>
      <c r="L360" s="115"/>
      <c r="M360" s="9"/>
      <c r="N360" s="9"/>
      <c r="O360" s="9"/>
      <c r="P360" s="9"/>
      <c r="Q360" s="9"/>
      <c r="R360" s="9"/>
      <c r="S360" s="255"/>
      <c r="T360" s="255"/>
      <c r="U360" s="255"/>
      <c r="V360" s="255"/>
      <c r="W360" s="255"/>
      <c r="X360" s="255"/>
      <c r="Y360" s="255"/>
      <c r="Z360" s="255"/>
    </row>
    <row r="361" spans="1:26" hidden="1" outlineLevel="1">
      <c r="A361" s="9"/>
      <c r="B361" s="9"/>
      <c r="C361" s="541"/>
      <c r="D361" s="91">
        <v>3</v>
      </c>
      <c r="E361" s="262">
        <f ca="1">OFFSET('Actual RAB roll forward'!H$69,0,D361-1)-SUM('Actual RAB roll forward'!H405:OFFSET('Actual RAB roll forward'!H405,0,Input!$Y$7-1))</f>
        <v>0</v>
      </c>
      <c r="F361" s="262">
        <f ca="1">IF(A26stdlife="N/A","n/a",IF(E361=0,0,A26stdlife+D361-Input!$Y$7))</f>
        <v>0</v>
      </c>
      <c r="G361" s="258"/>
      <c r="H361" s="541"/>
      <c r="I361" s="91">
        <v>3</v>
      </c>
      <c r="J361" s="262">
        <f ca="1">OFFSET('Tax value roll forward'!H$65,0,I361-1)-SUM('Tax value roll forward'!H401:OFFSET('Tax value roll forward'!H401,0,Input!$Y$7-1))</f>
        <v>0</v>
      </c>
      <c r="K361" s="262">
        <f ca="1">IF(A26taxstdlife="N/A","n/a",IF(J361=0,0,A26taxstdlife+I361-Input!$Y$7))</f>
        <v>0</v>
      </c>
      <c r="L361" s="115"/>
      <c r="M361" s="9"/>
      <c r="N361" s="9"/>
      <c r="O361" s="9"/>
      <c r="P361" s="9"/>
      <c r="Q361" s="9"/>
      <c r="R361" s="9"/>
      <c r="S361" s="255"/>
      <c r="T361" s="255"/>
      <c r="U361" s="255"/>
      <c r="V361" s="255"/>
      <c r="W361" s="255"/>
      <c r="X361" s="255"/>
      <c r="Y361" s="255"/>
      <c r="Z361" s="255"/>
    </row>
    <row r="362" spans="1:26" hidden="1" outlineLevel="1">
      <c r="A362" s="9"/>
      <c r="B362" s="9"/>
      <c r="C362" s="541"/>
      <c r="D362" s="91">
        <v>4</v>
      </c>
      <c r="E362" s="262">
        <f ca="1">OFFSET('Actual RAB roll forward'!H$69,0,D362-1)-SUM('Actual RAB roll forward'!H406:OFFSET('Actual RAB roll forward'!H406,0,Input!$Y$7-1))</f>
        <v>0</v>
      </c>
      <c r="F362" s="262">
        <f ca="1">IF(A26stdlife="N/A","n/a",IF(E362=0,0,A26stdlife+D362-Input!$Y$7))</f>
        <v>0</v>
      </c>
      <c r="G362" s="258"/>
      <c r="H362" s="541"/>
      <c r="I362" s="91">
        <v>4</v>
      </c>
      <c r="J362" s="262">
        <f ca="1">OFFSET('Tax value roll forward'!H$65,0,I362-1)-SUM('Tax value roll forward'!H402:OFFSET('Tax value roll forward'!H402,0,Input!$Y$7-1))</f>
        <v>0</v>
      </c>
      <c r="K362" s="262">
        <f ca="1">IF(A26taxstdlife="N/A","n/a",IF(J362=0,0,A26taxstdlife+I362-Input!$Y$7))</f>
        <v>0</v>
      </c>
      <c r="L362" s="115"/>
      <c r="M362" s="9"/>
      <c r="N362" s="9"/>
      <c r="O362" s="9"/>
      <c r="P362" s="9"/>
      <c r="Q362" s="9"/>
      <c r="R362" s="9"/>
      <c r="S362" s="255"/>
      <c r="T362" s="255"/>
      <c r="U362" s="255"/>
      <c r="V362" s="255"/>
      <c r="W362" s="255"/>
      <c r="X362" s="255"/>
      <c r="Y362" s="255"/>
      <c r="Z362" s="255"/>
    </row>
    <row r="363" spans="1:26" hidden="1" outlineLevel="1">
      <c r="A363" s="9"/>
      <c r="B363" s="9"/>
      <c r="C363" s="541"/>
      <c r="D363" s="91">
        <v>5</v>
      </c>
      <c r="E363" s="262">
        <f ca="1">OFFSET('Actual RAB roll forward'!H$69,0,D363-1)-SUM('Actual RAB roll forward'!H407:OFFSET('Actual RAB roll forward'!H407,0,Input!$Y$7-1))</f>
        <v>0</v>
      </c>
      <c r="F363" s="262">
        <f ca="1">IF(A26stdlife="N/A","n/a",IF(E363=0,0,A26stdlife+D363-Input!$Y$7))</f>
        <v>0</v>
      </c>
      <c r="G363" s="258"/>
      <c r="H363" s="541"/>
      <c r="I363" s="91">
        <v>5</v>
      </c>
      <c r="J363" s="262">
        <f ca="1">OFFSET('Tax value roll forward'!H$65,0,I363-1)-SUM('Tax value roll forward'!H403:OFFSET('Tax value roll forward'!H403,0,Input!$Y$7-1))</f>
        <v>0</v>
      </c>
      <c r="K363" s="262">
        <f ca="1">IF(A26taxstdlife="N/A","n/a",IF(J363=0,0,A26taxstdlife+I363-Input!$Y$7))</f>
        <v>0</v>
      </c>
      <c r="L363" s="115"/>
      <c r="M363" s="9"/>
      <c r="N363" s="9"/>
      <c r="O363" s="9"/>
      <c r="P363" s="9"/>
      <c r="Q363" s="9"/>
      <c r="R363" s="9"/>
      <c r="S363" s="255"/>
      <c r="T363" s="255"/>
      <c r="U363" s="255"/>
      <c r="V363" s="255"/>
      <c r="W363" s="255"/>
      <c r="X363" s="255"/>
      <c r="Y363" s="255"/>
      <c r="Z363" s="255"/>
    </row>
    <row r="364" spans="1:26" hidden="1" outlineLevel="1">
      <c r="A364" s="9"/>
      <c r="B364" s="9"/>
      <c r="C364" s="541"/>
      <c r="D364" s="91">
        <v>6</v>
      </c>
      <c r="E364" s="262">
        <f ca="1">OFFSET('Actual RAB roll forward'!H$69,0,D364-1)-SUM('Actual RAB roll forward'!H408:OFFSET('Actual RAB roll forward'!H408,0,Input!$Y$7-1))</f>
        <v>0</v>
      </c>
      <c r="F364" s="262">
        <f ca="1">IF(A26stdlife="N/A","n/a",IF(E364=0,0,A26stdlife+D364-Input!$Y$7))</f>
        <v>0</v>
      </c>
      <c r="G364" s="258"/>
      <c r="H364" s="541"/>
      <c r="I364" s="91">
        <v>6</v>
      </c>
      <c r="J364" s="262">
        <f ca="1">OFFSET('Tax value roll forward'!H$65,0,I364-1)-SUM('Tax value roll forward'!H404:OFFSET('Tax value roll forward'!H404,0,Input!$Y$7-1))</f>
        <v>0</v>
      </c>
      <c r="K364" s="262">
        <f ca="1">IF(A26taxstdlife="N/A","n/a",IF(J364=0,0,A26taxstdlife+I364-Input!$Y$7))</f>
        <v>0</v>
      </c>
      <c r="L364" s="115"/>
      <c r="M364" s="9"/>
      <c r="N364" s="9"/>
      <c r="O364" s="9"/>
      <c r="P364" s="9"/>
      <c r="Q364" s="9"/>
      <c r="R364" s="9"/>
      <c r="S364" s="255"/>
      <c r="T364" s="255"/>
      <c r="U364" s="255"/>
      <c r="V364" s="255"/>
      <c r="W364" s="255"/>
      <c r="X364" s="255"/>
      <c r="Y364" s="255"/>
      <c r="Z364" s="255"/>
    </row>
    <row r="365" spans="1:26" hidden="1" outlineLevel="1">
      <c r="A365" s="9"/>
      <c r="B365" s="9"/>
      <c r="C365" s="541"/>
      <c r="D365" s="91">
        <v>7</v>
      </c>
      <c r="E365" s="262">
        <f ca="1">OFFSET('Actual RAB roll forward'!H$69,0,D365-1)-SUM('Actual RAB roll forward'!H409:OFFSET('Actual RAB roll forward'!H409,0,Input!$Y$7-1))</f>
        <v>0</v>
      </c>
      <c r="F365" s="262">
        <f ca="1">IF(A26stdlife="N/A","n/a",IF(E365=0,0,A26stdlife+D365-Input!$Y$7))</f>
        <v>0</v>
      </c>
      <c r="G365" s="258"/>
      <c r="H365" s="541"/>
      <c r="I365" s="91">
        <v>7</v>
      </c>
      <c r="J365" s="262">
        <f ca="1">OFFSET('Tax value roll forward'!H$65,0,I365-1)-SUM('Tax value roll forward'!H405:OFFSET('Tax value roll forward'!H405,0,Input!$Y$7-1))</f>
        <v>0</v>
      </c>
      <c r="K365" s="262">
        <f ca="1">IF(A26taxstdlife="N/A","n/a",IF(J365=0,0,A26taxstdlife+I365-Input!$Y$7))</f>
        <v>0</v>
      </c>
      <c r="L365" s="115"/>
      <c r="M365" s="9"/>
      <c r="N365" s="9"/>
      <c r="O365" s="9"/>
      <c r="P365" s="9"/>
      <c r="Q365" s="9"/>
      <c r="R365" s="9"/>
      <c r="S365" s="255"/>
      <c r="T365" s="255"/>
      <c r="U365" s="255"/>
      <c r="V365" s="255"/>
      <c r="W365" s="255"/>
      <c r="X365" s="255"/>
      <c r="Y365" s="255"/>
      <c r="Z365" s="255"/>
    </row>
    <row r="366" spans="1:26" hidden="1" outlineLevel="1">
      <c r="A366" s="9"/>
      <c r="B366" s="9"/>
      <c r="C366" s="541"/>
      <c r="D366" s="91">
        <v>8</v>
      </c>
      <c r="E366" s="262">
        <f ca="1">OFFSET('Actual RAB roll forward'!H$69,0,D366-1)-SUM('Actual RAB roll forward'!H410:OFFSET('Actual RAB roll forward'!H410,0,Input!$Y$7-1))</f>
        <v>0</v>
      </c>
      <c r="F366" s="262">
        <f ca="1">IF(A26stdlife="N/A","n/a",IF(E366=0,0,A26stdlife+D366-Input!$Y$7))</f>
        <v>0</v>
      </c>
      <c r="G366" s="258"/>
      <c r="H366" s="541"/>
      <c r="I366" s="91">
        <v>8</v>
      </c>
      <c r="J366" s="262">
        <f ca="1">OFFSET('Tax value roll forward'!H$65,0,I366-1)-SUM('Tax value roll forward'!H406:OFFSET('Tax value roll forward'!H406,0,Input!$Y$7-1))</f>
        <v>0</v>
      </c>
      <c r="K366" s="262">
        <f ca="1">IF(A26taxstdlife="N/A","n/a",IF(J366=0,0,A26taxstdlife+I366-Input!$Y$7))</f>
        <v>0</v>
      </c>
      <c r="L366" s="115"/>
      <c r="M366" s="9"/>
      <c r="N366" s="9"/>
      <c r="O366" s="9"/>
      <c r="P366" s="9"/>
      <c r="Q366" s="9"/>
      <c r="R366" s="9"/>
      <c r="S366" s="255"/>
      <c r="T366" s="255"/>
      <c r="U366" s="255"/>
      <c r="V366" s="255"/>
      <c r="W366" s="255"/>
      <c r="X366" s="255"/>
      <c r="Y366" s="255"/>
      <c r="Z366" s="255"/>
    </row>
    <row r="367" spans="1:26" hidden="1" outlineLevel="1">
      <c r="A367" s="9"/>
      <c r="B367" s="9"/>
      <c r="C367" s="541"/>
      <c r="D367" s="91">
        <v>9</v>
      </c>
      <c r="E367" s="262">
        <f ca="1">OFFSET('Actual RAB roll forward'!H$69,0,D367-1)-SUM('Actual RAB roll forward'!H411:OFFSET('Actual RAB roll forward'!H411,0,Input!$Y$7-1))</f>
        <v>0</v>
      </c>
      <c r="F367" s="262">
        <f ca="1">IF(A26stdlife="N/A","n/a",IF(E367=0,0,A26stdlife+D367-Input!$Y$7))</f>
        <v>0</v>
      </c>
      <c r="G367" s="258"/>
      <c r="H367" s="541"/>
      <c r="I367" s="91">
        <v>9</v>
      </c>
      <c r="J367" s="262">
        <f ca="1">OFFSET('Tax value roll forward'!H$65,0,I367-1)-SUM('Tax value roll forward'!H407:OFFSET('Tax value roll forward'!H407,0,Input!$Y$7-1))</f>
        <v>0</v>
      </c>
      <c r="K367" s="262">
        <f ca="1">IF(A26taxstdlife="N/A","n/a",IF(J367=0,0,A26taxstdlife+I367-Input!$Y$7))</f>
        <v>0</v>
      </c>
      <c r="L367" s="115"/>
      <c r="M367" s="9"/>
      <c r="N367" s="9"/>
      <c r="O367" s="9"/>
      <c r="P367" s="9"/>
      <c r="Q367" s="9"/>
      <c r="R367" s="9"/>
      <c r="S367" s="255"/>
      <c r="T367" s="255"/>
      <c r="U367" s="255"/>
      <c r="V367" s="255"/>
      <c r="W367" s="255"/>
      <c r="X367" s="255"/>
      <c r="Y367" s="255"/>
      <c r="Z367" s="255"/>
    </row>
    <row r="368" spans="1:26" hidden="1" outlineLevel="1">
      <c r="A368" s="9"/>
      <c r="B368" s="9"/>
      <c r="C368" s="542"/>
      <c r="D368" s="92">
        <v>10</v>
      </c>
      <c r="E368" s="262">
        <f ca="1">OFFSET('Actual RAB roll forward'!H$69,0,D368-1)-SUM('Actual RAB roll forward'!H412:OFFSET('Actual RAB roll forward'!H412,0,Input!$Y$7-1))</f>
        <v>0</v>
      </c>
      <c r="F368" s="262">
        <f ca="1">IF(A26stdlife="N/A","n/a",IF(E368=0,0,A26stdlife+D368-Input!$Y$7))</f>
        <v>0</v>
      </c>
      <c r="G368" s="258"/>
      <c r="H368" s="542"/>
      <c r="I368" s="92">
        <v>10</v>
      </c>
      <c r="J368" s="262">
        <f ca="1">OFFSET('Tax value roll forward'!H$65,0,I368-1)-SUM('Tax value roll forward'!H408:OFFSET('Tax value roll forward'!H408,0,Input!$Y$7-1))</f>
        <v>0</v>
      </c>
      <c r="K368" s="262">
        <f ca="1">IF(A26taxstdlife="N/A","n/a",IF(J368=0,0,A26taxstdlife+I368-Input!$Y$7))</f>
        <v>0</v>
      </c>
      <c r="L368" s="115"/>
      <c r="M368" s="9"/>
      <c r="N368" s="9"/>
      <c r="O368" s="9"/>
      <c r="P368" s="9"/>
      <c r="Q368" s="9"/>
      <c r="R368" s="9"/>
      <c r="S368" s="255"/>
      <c r="T368" s="255"/>
      <c r="U368" s="255"/>
      <c r="V368" s="255"/>
      <c r="W368" s="255"/>
      <c r="X368" s="255"/>
      <c r="Y368" s="255"/>
      <c r="Z368" s="255"/>
    </row>
    <row r="369" spans="1:26" collapsed="1">
      <c r="A369" s="9"/>
      <c r="B369" s="9"/>
      <c r="C369" s="275">
        <f>Asset26</f>
        <v>0</v>
      </c>
      <c r="D369" s="9"/>
      <c r="E369" s="262">
        <f ca="1">SUM(E358:E368)</f>
        <v>0</v>
      </c>
      <c r="F369" s="262">
        <f ca="1">IF(E369=0,0,SUMPRODUCT(E358:E368,F358:F368)/E369)</f>
        <v>0</v>
      </c>
      <c r="G369" s="258"/>
      <c r="H369" s="43"/>
      <c r="I369" s="262"/>
      <c r="J369" s="262">
        <f ca="1">SUM(J358:J368)</f>
        <v>0</v>
      </c>
      <c r="K369" s="262">
        <f ca="1">IF(J369=0,0,SUMPRODUCT(J358:J368,K358:K368)/J369)</f>
        <v>0</v>
      </c>
      <c r="L369" s="115"/>
      <c r="M369" s="9"/>
      <c r="N369" s="9"/>
      <c r="O369" s="9"/>
      <c r="P369" s="9"/>
      <c r="Q369" s="9"/>
      <c r="R369" s="9"/>
      <c r="S369" s="255"/>
      <c r="T369" s="255"/>
      <c r="U369" s="255"/>
      <c r="V369" s="255"/>
      <c r="W369" s="255"/>
      <c r="X369" s="255"/>
      <c r="Y369" s="255"/>
      <c r="Z369" s="255"/>
    </row>
    <row r="370" spans="1:26" hidden="1" outlineLevel="1">
      <c r="A370" s="9"/>
      <c r="B370" s="273"/>
      <c r="C370" s="9"/>
      <c r="D370" s="9"/>
      <c r="E370" s="35"/>
      <c r="F370" s="35"/>
      <c r="G370" s="258"/>
      <c r="H370" s="262"/>
      <c r="I370" s="262"/>
      <c r="J370" s="267"/>
      <c r="K370" s="262"/>
      <c r="L370" s="115"/>
      <c r="M370" s="9"/>
      <c r="N370" s="9"/>
      <c r="O370" s="9"/>
      <c r="P370" s="9"/>
      <c r="Q370" s="9"/>
      <c r="R370" s="9"/>
      <c r="S370" s="255"/>
      <c r="T370" s="255"/>
      <c r="U370" s="255"/>
      <c r="V370" s="255"/>
      <c r="W370" s="255"/>
      <c r="X370" s="255"/>
      <c r="Y370" s="255"/>
      <c r="Z370" s="255"/>
    </row>
    <row r="371" spans="1:26" hidden="1" outlineLevel="1">
      <c r="A371" s="9"/>
      <c r="B371" s="273">
        <f>Asset27</f>
        <v>0</v>
      </c>
      <c r="C371" s="9"/>
      <c r="D371" s="9"/>
      <c r="E371" s="35"/>
      <c r="F371" s="35"/>
      <c r="G371" s="258"/>
      <c r="H371" s="262"/>
      <c r="I371" s="262"/>
      <c r="J371" s="267"/>
      <c r="K371" s="262"/>
      <c r="L371" s="115"/>
      <c r="M371" s="9"/>
      <c r="N371" s="9"/>
      <c r="O371" s="9"/>
      <c r="P371" s="9"/>
      <c r="Q371" s="9"/>
      <c r="R371" s="9"/>
      <c r="S371" s="255"/>
      <c r="T371" s="255"/>
      <c r="U371" s="255"/>
      <c r="V371" s="255"/>
      <c r="W371" s="255"/>
      <c r="X371" s="255"/>
      <c r="Y371" s="255"/>
      <c r="Z371" s="255"/>
    </row>
    <row r="372" spans="1:26" ht="12.75" hidden="1" customHeight="1" outlineLevel="1">
      <c r="A372" s="9"/>
      <c r="B372" s="9"/>
      <c r="C372" s="538" t="s">
        <v>5</v>
      </c>
      <c r="D372" s="539"/>
      <c r="E372" s="262">
        <f ca="1">A27value-SUM('Actual RAB roll forward'!H414:OFFSET('Actual RAB roll forward'!H414,0,Input!$Y$7-1))</f>
        <v>0</v>
      </c>
      <c r="F372" s="262">
        <f>IF(A27remlife="N/A","n/a",A27remlife-Input!$Y$7)</f>
        <v>-5</v>
      </c>
      <c r="G372" s="258"/>
      <c r="H372" s="299" t="s">
        <v>43</v>
      </c>
      <c r="I372" s="300"/>
      <c r="J372" s="262">
        <f ca="1">A27taxvalue-SUM('Tax value roll forward'!H410:OFFSET('Tax value roll forward'!H410,0,Input!$Y$7-1))</f>
        <v>0</v>
      </c>
      <c r="K372" s="262">
        <f>IF(A27taxremlife="N/A","n/a",A27taxremlife-Input!$Y$7)</f>
        <v>-5</v>
      </c>
      <c r="L372" s="115"/>
      <c r="M372" s="9"/>
      <c r="N372" s="9"/>
      <c r="O372" s="9"/>
      <c r="P372" s="9"/>
      <c r="Q372" s="9"/>
      <c r="R372" s="9"/>
      <c r="S372" s="255"/>
      <c r="T372" s="255"/>
      <c r="U372" s="255"/>
      <c r="V372" s="255"/>
      <c r="W372" s="255"/>
      <c r="X372" s="255"/>
      <c r="Y372" s="255"/>
      <c r="Z372" s="255"/>
    </row>
    <row r="373" spans="1:26" hidden="1" outlineLevel="1">
      <c r="A373" s="9"/>
      <c r="B373" s="9"/>
      <c r="C373" s="540" t="s">
        <v>59</v>
      </c>
      <c r="D373" s="91">
        <v>1</v>
      </c>
      <c r="E373" s="262">
        <f ca="1">OFFSET('Actual RAB roll forward'!H$70,0,D373-1)-SUM('Actual RAB roll forward'!H416:OFFSET('Actual RAB roll forward'!H416,0,Input!$Y$7-1))</f>
        <v>0</v>
      </c>
      <c r="F373" s="262">
        <f ca="1">IF(A27stdlife="N/A","n/a",IF(E373=0,0,A27stdlife+D373-Input!$Y$7))</f>
        <v>0</v>
      </c>
      <c r="G373" s="258"/>
      <c r="H373" s="540" t="s">
        <v>59</v>
      </c>
      <c r="I373" s="91">
        <v>1</v>
      </c>
      <c r="J373" s="262">
        <f ca="1">OFFSET('Tax value roll forward'!H$66,0,I373-1)-SUM('Tax value roll forward'!H412:OFFSET('Tax value roll forward'!H412,0,Input!$Y$7-1))</f>
        <v>0</v>
      </c>
      <c r="K373" s="262">
        <f ca="1">IF(A27taxstdlife="N/A","n/a",IF(J373=0,0,A27taxstdlife+I373-Input!$Y$7))</f>
        <v>0</v>
      </c>
      <c r="L373" s="115"/>
      <c r="M373" s="9"/>
      <c r="N373" s="9"/>
      <c r="O373" s="9"/>
      <c r="P373" s="9"/>
      <c r="Q373" s="9"/>
      <c r="R373" s="9"/>
      <c r="S373" s="255"/>
      <c r="T373" s="255"/>
      <c r="U373" s="255"/>
      <c r="V373" s="255"/>
      <c r="W373" s="255"/>
      <c r="X373" s="255"/>
      <c r="Y373" s="255"/>
      <c r="Z373" s="255"/>
    </row>
    <row r="374" spans="1:26" hidden="1" outlineLevel="1">
      <c r="A374" s="9"/>
      <c r="B374" s="9"/>
      <c r="C374" s="541"/>
      <c r="D374" s="91">
        <v>2</v>
      </c>
      <c r="E374" s="262">
        <f ca="1">OFFSET('Actual RAB roll forward'!H$70,0,D374-1)-SUM('Actual RAB roll forward'!H417:OFFSET('Actual RAB roll forward'!H417,0,Input!$Y$7-1))</f>
        <v>0</v>
      </c>
      <c r="F374" s="262">
        <f ca="1">IF(A27stdlife="N/A","n/a",IF(E374=0,0,A27stdlife+D374-Input!$Y$7))</f>
        <v>0</v>
      </c>
      <c r="G374" s="258"/>
      <c r="H374" s="541"/>
      <c r="I374" s="91">
        <v>2</v>
      </c>
      <c r="J374" s="262">
        <f ca="1">OFFSET('Tax value roll forward'!H$66,0,I374-1)-SUM('Tax value roll forward'!H413:OFFSET('Tax value roll forward'!H413,0,Input!$Y$7-1))</f>
        <v>0</v>
      </c>
      <c r="K374" s="262">
        <f ca="1">IF(A27taxstdlife="N/A","n/a",IF(J374=0,0,A27taxstdlife+I374-Input!$Y$7))</f>
        <v>0</v>
      </c>
      <c r="L374" s="115"/>
      <c r="M374" s="9"/>
      <c r="N374" s="9"/>
      <c r="O374" s="9"/>
      <c r="P374" s="9"/>
      <c r="Q374" s="9"/>
      <c r="R374" s="9"/>
      <c r="S374" s="255"/>
      <c r="T374" s="255"/>
      <c r="U374" s="255"/>
      <c r="V374" s="255"/>
      <c r="W374" s="255"/>
      <c r="X374" s="255"/>
      <c r="Y374" s="255"/>
      <c r="Z374" s="255"/>
    </row>
    <row r="375" spans="1:26" hidden="1" outlineLevel="1">
      <c r="A375" s="9"/>
      <c r="B375" s="9"/>
      <c r="C375" s="541"/>
      <c r="D375" s="91">
        <v>3</v>
      </c>
      <c r="E375" s="262">
        <f ca="1">OFFSET('Actual RAB roll forward'!H$70,0,D375-1)-SUM('Actual RAB roll forward'!H418:OFFSET('Actual RAB roll forward'!H418,0,Input!$Y$7-1))</f>
        <v>0</v>
      </c>
      <c r="F375" s="262">
        <f ca="1">IF(A27stdlife="N/A","n/a",IF(E375=0,0,A27stdlife+D375-Input!$Y$7))</f>
        <v>0</v>
      </c>
      <c r="G375" s="258"/>
      <c r="H375" s="541"/>
      <c r="I375" s="91">
        <v>3</v>
      </c>
      <c r="J375" s="262">
        <f ca="1">OFFSET('Tax value roll forward'!H$66,0,I375-1)-SUM('Tax value roll forward'!H414:OFFSET('Tax value roll forward'!H414,0,Input!$Y$7-1))</f>
        <v>0</v>
      </c>
      <c r="K375" s="262">
        <f ca="1">IF(A27taxstdlife="N/A","n/a",IF(J375=0,0,A27taxstdlife+I375-Input!$Y$7))</f>
        <v>0</v>
      </c>
      <c r="L375" s="115"/>
      <c r="M375" s="9"/>
      <c r="N375" s="9"/>
      <c r="O375" s="9"/>
      <c r="P375" s="9"/>
      <c r="Q375" s="9"/>
      <c r="R375" s="9"/>
      <c r="S375" s="255"/>
      <c r="T375" s="255"/>
      <c r="U375" s="255"/>
      <c r="V375" s="255"/>
      <c r="W375" s="255"/>
      <c r="X375" s="255"/>
      <c r="Y375" s="255"/>
      <c r="Z375" s="255"/>
    </row>
    <row r="376" spans="1:26" hidden="1" outlineLevel="1">
      <c r="A376" s="9"/>
      <c r="B376" s="9"/>
      <c r="C376" s="541"/>
      <c r="D376" s="91">
        <v>4</v>
      </c>
      <c r="E376" s="262">
        <f ca="1">OFFSET('Actual RAB roll forward'!H$70,0,D376-1)-SUM('Actual RAB roll forward'!H419:OFFSET('Actual RAB roll forward'!H419,0,Input!$Y$7-1))</f>
        <v>0</v>
      </c>
      <c r="F376" s="262">
        <f ca="1">IF(A27stdlife="N/A","n/a",IF(E376=0,0,A27stdlife+D376-Input!$Y$7))</f>
        <v>0</v>
      </c>
      <c r="G376" s="258"/>
      <c r="H376" s="541"/>
      <c r="I376" s="91">
        <v>4</v>
      </c>
      <c r="J376" s="262">
        <f ca="1">OFFSET('Tax value roll forward'!H$66,0,I376-1)-SUM('Tax value roll forward'!H415:OFFSET('Tax value roll forward'!H415,0,Input!$Y$7-1))</f>
        <v>0</v>
      </c>
      <c r="K376" s="262">
        <f ca="1">IF(A27taxstdlife="N/A","n/a",IF(J376=0,0,A27taxstdlife+I376-Input!$Y$7))</f>
        <v>0</v>
      </c>
      <c r="L376" s="115"/>
      <c r="M376" s="9"/>
      <c r="N376" s="9"/>
      <c r="O376" s="9"/>
      <c r="P376" s="9"/>
      <c r="Q376" s="9"/>
      <c r="R376" s="9"/>
      <c r="S376" s="255"/>
      <c r="T376" s="255"/>
      <c r="U376" s="255"/>
      <c r="V376" s="255"/>
      <c r="W376" s="255"/>
      <c r="X376" s="255"/>
      <c r="Y376" s="255"/>
      <c r="Z376" s="255"/>
    </row>
    <row r="377" spans="1:26" hidden="1" outlineLevel="1">
      <c r="A377" s="9"/>
      <c r="B377" s="9"/>
      <c r="C377" s="541"/>
      <c r="D377" s="91">
        <v>5</v>
      </c>
      <c r="E377" s="262">
        <f ca="1">OFFSET('Actual RAB roll forward'!H$70,0,D377-1)-SUM('Actual RAB roll forward'!H420:OFFSET('Actual RAB roll forward'!H420,0,Input!$Y$7-1))</f>
        <v>0</v>
      </c>
      <c r="F377" s="262">
        <f ca="1">IF(A27stdlife="N/A","n/a",IF(E377=0,0,A27stdlife+D377-Input!$Y$7))</f>
        <v>0</v>
      </c>
      <c r="G377" s="258"/>
      <c r="H377" s="541"/>
      <c r="I377" s="91">
        <v>5</v>
      </c>
      <c r="J377" s="262">
        <f ca="1">OFFSET('Tax value roll forward'!H$66,0,I377-1)-SUM('Tax value roll forward'!H416:OFFSET('Tax value roll forward'!H416,0,Input!$Y$7-1))</f>
        <v>0</v>
      </c>
      <c r="K377" s="262">
        <f ca="1">IF(A27taxstdlife="N/A","n/a",IF(J377=0,0,A27taxstdlife+I377-Input!$Y$7))</f>
        <v>0</v>
      </c>
      <c r="L377" s="115"/>
      <c r="M377" s="9"/>
      <c r="N377" s="9"/>
      <c r="O377" s="9"/>
      <c r="P377" s="9"/>
      <c r="Q377" s="9"/>
      <c r="R377" s="9"/>
      <c r="S377" s="255"/>
      <c r="T377" s="255"/>
      <c r="U377" s="255"/>
      <c r="V377" s="255"/>
      <c r="W377" s="255"/>
      <c r="X377" s="255"/>
      <c r="Y377" s="255"/>
      <c r="Z377" s="255"/>
    </row>
    <row r="378" spans="1:26" hidden="1" outlineLevel="1">
      <c r="A378" s="9"/>
      <c r="B378" s="9"/>
      <c r="C378" s="541"/>
      <c r="D378" s="91">
        <v>6</v>
      </c>
      <c r="E378" s="262">
        <f ca="1">OFFSET('Actual RAB roll forward'!H$70,0,D378-1)-SUM('Actual RAB roll forward'!H421:OFFSET('Actual RAB roll forward'!H421,0,Input!$Y$7-1))</f>
        <v>0</v>
      </c>
      <c r="F378" s="262">
        <f ca="1">IF(A27stdlife="N/A","n/a",IF(E378=0,0,A27stdlife+D378-Input!$Y$7))</f>
        <v>0</v>
      </c>
      <c r="G378" s="258"/>
      <c r="H378" s="541"/>
      <c r="I378" s="91">
        <v>6</v>
      </c>
      <c r="J378" s="262">
        <f ca="1">OFFSET('Tax value roll forward'!H$66,0,I378-1)-SUM('Tax value roll forward'!H417:OFFSET('Tax value roll forward'!H417,0,Input!$Y$7-1))</f>
        <v>0</v>
      </c>
      <c r="K378" s="262">
        <f ca="1">IF(A27taxstdlife="N/A","n/a",IF(J378=0,0,A27taxstdlife+I378-Input!$Y$7))</f>
        <v>0</v>
      </c>
      <c r="L378" s="115"/>
      <c r="M378" s="9"/>
      <c r="N378" s="9"/>
      <c r="O378" s="9"/>
      <c r="P378" s="9"/>
      <c r="Q378" s="9"/>
      <c r="R378" s="9"/>
      <c r="S378" s="255"/>
      <c r="T378" s="255"/>
      <c r="U378" s="255"/>
      <c r="V378" s="255"/>
      <c r="W378" s="255"/>
      <c r="X378" s="255"/>
      <c r="Y378" s="255"/>
      <c r="Z378" s="255"/>
    </row>
    <row r="379" spans="1:26" hidden="1" outlineLevel="1">
      <c r="A379" s="9"/>
      <c r="B379" s="9"/>
      <c r="C379" s="541"/>
      <c r="D379" s="91">
        <v>7</v>
      </c>
      <c r="E379" s="262">
        <f ca="1">OFFSET('Actual RAB roll forward'!H$70,0,D379-1)-SUM('Actual RAB roll forward'!H422:OFFSET('Actual RAB roll forward'!H422,0,Input!$Y$7-1))</f>
        <v>0</v>
      </c>
      <c r="F379" s="262">
        <f ca="1">IF(A27stdlife="N/A","n/a",IF(E379=0,0,A27stdlife+D379-Input!$Y$7))</f>
        <v>0</v>
      </c>
      <c r="G379" s="258"/>
      <c r="H379" s="541"/>
      <c r="I379" s="91">
        <v>7</v>
      </c>
      <c r="J379" s="262">
        <f ca="1">OFFSET('Tax value roll forward'!H$66,0,I379-1)-SUM('Tax value roll forward'!H418:OFFSET('Tax value roll forward'!H418,0,Input!$Y$7-1))</f>
        <v>0</v>
      </c>
      <c r="K379" s="262">
        <f ca="1">IF(A27taxstdlife="N/A","n/a",IF(J379=0,0,A27taxstdlife+I379-Input!$Y$7))</f>
        <v>0</v>
      </c>
      <c r="L379" s="115"/>
      <c r="M379" s="9"/>
      <c r="N379" s="9"/>
      <c r="O379" s="9"/>
      <c r="P379" s="9"/>
      <c r="Q379" s="9"/>
      <c r="R379" s="9"/>
      <c r="S379" s="255"/>
      <c r="T379" s="255"/>
      <c r="U379" s="255"/>
      <c r="V379" s="255"/>
      <c r="W379" s="255"/>
      <c r="X379" s="255"/>
      <c r="Y379" s="255"/>
      <c r="Z379" s="255"/>
    </row>
    <row r="380" spans="1:26" hidden="1" outlineLevel="1">
      <c r="A380" s="9"/>
      <c r="B380" s="9"/>
      <c r="C380" s="541"/>
      <c r="D380" s="91">
        <v>8</v>
      </c>
      <c r="E380" s="262">
        <f ca="1">OFFSET('Actual RAB roll forward'!H$70,0,D380-1)-SUM('Actual RAB roll forward'!H423:OFFSET('Actual RAB roll forward'!H423,0,Input!$Y$7-1))</f>
        <v>0</v>
      </c>
      <c r="F380" s="262">
        <f ca="1">IF(A27stdlife="N/A","n/a",IF(E380=0,0,A27stdlife+D380-Input!$Y$7))</f>
        <v>0</v>
      </c>
      <c r="G380" s="258"/>
      <c r="H380" s="541"/>
      <c r="I380" s="91">
        <v>8</v>
      </c>
      <c r="J380" s="262">
        <f ca="1">OFFSET('Tax value roll forward'!H$66,0,I380-1)-SUM('Tax value roll forward'!H419:OFFSET('Tax value roll forward'!H419,0,Input!$Y$7-1))</f>
        <v>0</v>
      </c>
      <c r="K380" s="262">
        <f ca="1">IF(A27taxstdlife="N/A","n/a",IF(J380=0,0,A27taxstdlife+I380-Input!$Y$7))</f>
        <v>0</v>
      </c>
      <c r="L380" s="115"/>
      <c r="M380" s="9"/>
      <c r="N380" s="9"/>
      <c r="O380" s="9"/>
      <c r="P380" s="9"/>
      <c r="Q380" s="9"/>
      <c r="R380" s="9"/>
      <c r="S380" s="255"/>
      <c r="T380" s="255"/>
      <c r="U380" s="255"/>
      <c r="V380" s="255"/>
      <c r="W380" s="255"/>
      <c r="X380" s="255"/>
      <c r="Y380" s="255"/>
      <c r="Z380" s="255"/>
    </row>
    <row r="381" spans="1:26" hidden="1" outlineLevel="1">
      <c r="A381" s="9"/>
      <c r="B381" s="9"/>
      <c r="C381" s="541"/>
      <c r="D381" s="91">
        <v>9</v>
      </c>
      <c r="E381" s="262">
        <f ca="1">OFFSET('Actual RAB roll forward'!H$70,0,D381-1)-SUM('Actual RAB roll forward'!H424:OFFSET('Actual RAB roll forward'!H424,0,Input!$Y$7-1))</f>
        <v>0</v>
      </c>
      <c r="F381" s="262">
        <f ca="1">IF(A27stdlife="N/A","n/a",IF(E381=0,0,A27stdlife+D381-Input!$Y$7))</f>
        <v>0</v>
      </c>
      <c r="G381" s="258"/>
      <c r="H381" s="541"/>
      <c r="I381" s="91">
        <v>9</v>
      </c>
      <c r="J381" s="262">
        <f ca="1">OFFSET('Tax value roll forward'!H$66,0,I381-1)-SUM('Tax value roll forward'!H420:OFFSET('Tax value roll forward'!H420,0,Input!$Y$7-1))</f>
        <v>0</v>
      </c>
      <c r="K381" s="262">
        <f ca="1">IF(A27taxstdlife="N/A","n/a",IF(J381=0,0,A27taxstdlife+I381-Input!$Y$7))</f>
        <v>0</v>
      </c>
      <c r="L381" s="115"/>
      <c r="M381" s="9"/>
      <c r="N381" s="9"/>
      <c r="O381" s="9"/>
      <c r="P381" s="9"/>
      <c r="Q381" s="9"/>
      <c r="R381" s="9"/>
      <c r="S381" s="255"/>
      <c r="T381" s="255"/>
      <c r="U381" s="255"/>
      <c r="V381" s="255"/>
      <c r="W381" s="255"/>
      <c r="X381" s="255"/>
      <c r="Y381" s="255"/>
      <c r="Z381" s="255"/>
    </row>
    <row r="382" spans="1:26" hidden="1" outlineLevel="1">
      <c r="A382" s="9"/>
      <c r="B382" s="9"/>
      <c r="C382" s="542"/>
      <c r="D382" s="92">
        <v>10</v>
      </c>
      <c r="E382" s="262">
        <f ca="1">OFFSET('Actual RAB roll forward'!H$70,0,D382-1)-SUM('Actual RAB roll forward'!H425:OFFSET('Actual RAB roll forward'!H425,0,Input!$Y$7-1))</f>
        <v>0</v>
      </c>
      <c r="F382" s="262">
        <f ca="1">IF(A27stdlife="N/A","n/a",IF(E382=0,0,A27stdlife+D382-Input!$Y$7))</f>
        <v>0</v>
      </c>
      <c r="G382" s="258"/>
      <c r="H382" s="542"/>
      <c r="I382" s="92">
        <v>10</v>
      </c>
      <c r="J382" s="262">
        <f ca="1">OFFSET('Tax value roll forward'!H$66,0,I382-1)-SUM('Tax value roll forward'!H421:OFFSET('Tax value roll forward'!H421,0,Input!$Y$7-1))</f>
        <v>0</v>
      </c>
      <c r="K382" s="262">
        <f ca="1">IF(A27taxstdlife="N/A","n/a",IF(J382=0,0,A27taxstdlife+I382-Input!$Y$7))</f>
        <v>0</v>
      </c>
      <c r="L382" s="115"/>
      <c r="M382" s="9"/>
      <c r="N382" s="9"/>
      <c r="O382" s="9"/>
      <c r="P382" s="9"/>
      <c r="Q382" s="9"/>
      <c r="R382" s="9"/>
      <c r="S382" s="255"/>
      <c r="T382" s="255"/>
      <c r="U382" s="255"/>
      <c r="V382" s="255"/>
      <c r="W382" s="255"/>
      <c r="X382" s="255"/>
      <c r="Y382" s="255"/>
      <c r="Z382" s="255"/>
    </row>
    <row r="383" spans="1:26" collapsed="1">
      <c r="A383" s="9"/>
      <c r="B383" s="9"/>
      <c r="C383" s="275">
        <f>Asset27</f>
        <v>0</v>
      </c>
      <c r="D383" s="9"/>
      <c r="E383" s="262">
        <f ca="1">SUM(E372:E382)</f>
        <v>0</v>
      </c>
      <c r="F383" s="262">
        <f ca="1">IF(E383=0,0,SUMPRODUCT(E372:E382,F372:F382)/E383)</f>
        <v>0</v>
      </c>
      <c r="G383" s="258"/>
      <c r="H383" s="43"/>
      <c r="I383" s="262"/>
      <c r="J383" s="262">
        <f ca="1">SUM(J372:J382)</f>
        <v>0</v>
      </c>
      <c r="K383" s="262">
        <f ca="1">IF(J383=0,0,SUMPRODUCT(J372:J382,K372:K382)/J383)</f>
        <v>0</v>
      </c>
      <c r="L383" s="115"/>
      <c r="M383" s="9"/>
      <c r="N383" s="9"/>
      <c r="O383" s="9"/>
      <c r="P383" s="9"/>
      <c r="Q383" s="9"/>
      <c r="R383" s="9"/>
      <c r="S383" s="255"/>
      <c r="T383" s="255"/>
      <c r="U383" s="255"/>
      <c r="V383" s="255"/>
      <c r="W383" s="255"/>
      <c r="X383" s="255"/>
      <c r="Y383" s="255"/>
      <c r="Z383" s="255"/>
    </row>
    <row r="384" spans="1:26" hidden="1" outlineLevel="1">
      <c r="A384" s="9"/>
      <c r="B384" s="273"/>
      <c r="C384" s="9"/>
      <c r="D384" s="9"/>
      <c r="E384" s="35"/>
      <c r="F384" s="35"/>
      <c r="G384" s="258"/>
      <c r="H384" s="262"/>
      <c r="I384" s="262"/>
      <c r="J384" s="267"/>
      <c r="K384" s="262"/>
      <c r="L384" s="115"/>
      <c r="M384" s="9"/>
      <c r="N384" s="9"/>
      <c r="O384" s="9"/>
      <c r="P384" s="9"/>
      <c r="Q384" s="9"/>
      <c r="R384" s="9"/>
      <c r="S384" s="255"/>
      <c r="T384" s="255"/>
      <c r="U384" s="255"/>
      <c r="V384" s="255"/>
      <c r="W384" s="255"/>
      <c r="X384" s="255"/>
      <c r="Y384" s="255"/>
      <c r="Z384" s="255"/>
    </row>
    <row r="385" spans="1:26" hidden="1" outlineLevel="1">
      <c r="A385" s="9"/>
      <c r="B385" s="273">
        <f>Asset28</f>
        <v>0</v>
      </c>
      <c r="C385" s="9"/>
      <c r="D385" s="9"/>
      <c r="E385" s="35"/>
      <c r="F385" s="35"/>
      <c r="G385" s="258"/>
      <c r="H385" s="262"/>
      <c r="I385" s="262"/>
      <c r="J385" s="267"/>
      <c r="K385" s="262"/>
      <c r="L385" s="115"/>
      <c r="M385" s="9"/>
      <c r="N385" s="9"/>
      <c r="O385" s="9"/>
      <c r="P385" s="9"/>
      <c r="Q385" s="9"/>
      <c r="R385" s="9"/>
      <c r="S385" s="255"/>
      <c r="T385" s="255"/>
      <c r="U385" s="255"/>
      <c r="V385" s="255"/>
      <c r="W385" s="255"/>
      <c r="X385" s="255"/>
      <c r="Y385" s="255"/>
      <c r="Z385" s="255"/>
    </row>
    <row r="386" spans="1:26" ht="12.75" hidden="1" customHeight="1" outlineLevel="1">
      <c r="A386" s="9"/>
      <c r="B386" s="9"/>
      <c r="C386" s="538" t="s">
        <v>5</v>
      </c>
      <c r="D386" s="539"/>
      <c r="E386" s="262">
        <f ca="1">A28value-SUM('Actual RAB roll forward'!H427:OFFSET('Actual RAB roll forward'!H427,0,Input!$Y$7-1))</f>
        <v>0</v>
      </c>
      <c r="F386" s="262">
        <f>IF(A28remlife="N/A","n/a",A28remlife-Input!$Y$7)</f>
        <v>-5</v>
      </c>
      <c r="G386" s="258"/>
      <c r="H386" s="299" t="s">
        <v>43</v>
      </c>
      <c r="I386" s="300"/>
      <c r="J386" s="262">
        <f ca="1">A28taxvalue-SUM('Tax value roll forward'!H423:OFFSET('Tax value roll forward'!H423,0,Input!$Y$7-1))</f>
        <v>0</v>
      </c>
      <c r="K386" s="262">
        <f>IF(A28taxremlife="N/A","n/a",A28taxremlife-Input!$Y$7)</f>
        <v>-5</v>
      </c>
      <c r="L386" s="115"/>
      <c r="M386" s="9"/>
      <c r="N386" s="9"/>
      <c r="O386" s="9"/>
      <c r="P386" s="9"/>
      <c r="Q386" s="9"/>
      <c r="R386" s="9"/>
      <c r="S386" s="255"/>
      <c r="T386" s="255"/>
      <c r="U386" s="255"/>
      <c r="V386" s="255"/>
      <c r="W386" s="255"/>
      <c r="X386" s="255"/>
      <c r="Y386" s="255"/>
      <c r="Z386" s="255"/>
    </row>
    <row r="387" spans="1:26" hidden="1" outlineLevel="1">
      <c r="A387" s="9"/>
      <c r="B387" s="9"/>
      <c r="C387" s="540" t="s">
        <v>59</v>
      </c>
      <c r="D387" s="91">
        <v>1</v>
      </c>
      <c r="E387" s="262">
        <f ca="1">OFFSET('Actual RAB roll forward'!H$71,0,D387-1)-SUM('Actual RAB roll forward'!H429:OFFSET('Actual RAB roll forward'!H429,0,Input!$Y$7-1))</f>
        <v>0</v>
      </c>
      <c r="F387" s="262">
        <f ca="1">IF(A28stdlife="N/A","n/a",IF(E387=0,0,A28stdlife+D387-Input!$Y$7))</f>
        <v>0</v>
      </c>
      <c r="G387" s="258"/>
      <c r="H387" s="540" t="s">
        <v>59</v>
      </c>
      <c r="I387" s="91">
        <v>1</v>
      </c>
      <c r="J387" s="262">
        <f ca="1">OFFSET('Tax value roll forward'!H$67,0,I387-1)-SUM('Tax value roll forward'!H425:OFFSET('Tax value roll forward'!H425,0,Input!$Y$7-1))</f>
        <v>0</v>
      </c>
      <c r="K387" s="262">
        <f ca="1">IF(A28taxstdlife="N/A","n/a",IF(J387=0,0,A28taxstdlife+I387-Input!$Y$7))</f>
        <v>0</v>
      </c>
      <c r="L387" s="115"/>
      <c r="M387" s="9"/>
      <c r="N387" s="9"/>
      <c r="O387" s="9"/>
      <c r="P387" s="9"/>
      <c r="Q387" s="9"/>
      <c r="R387" s="9"/>
      <c r="S387" s="255"/>
      <c r="T387" s="255"/>
      <c r="U387" s="255"/>
      <c r="V387" s="255"/>
      <c r="W387" s="255"/>
      <c r="X387" s="255"/>
      <c r="Y387" s="255"/>
      <c r="Z387" s="255"/>
    </row>
    <row r="388" spans="1:26" hidden="1" outlineLevel="1">
      <c r="A388" s="9"/>
      <c r="B388" s="9"/>
      <c r="C388" s="541"/>
      <c r="D388" s="91">
        <v>2</v>
      </c>
      <c r="E388" s="262">
        <f ca="1">OFFSET('Actual RAB roll forward'!H$71,0,D388-1)-SUM('Actual RAB roll forward'!H430:OFFSET('Actual RAB roll forward'!H430,0,Input!$Y$7-1))</f>
        <v>0</v>
      </c>
      <c r="F388" s="262">
        <f ca="1">IF(A28stdlife="N/A","n/a",IF(E388=0,0,A28stdlife+D388-Input!$Y$7))</f>
        <v>0</v>
      </c>
      <c r="G388" s="258"/>
      <c r="H388" s="541"/>
      <c r="I388" s="91">
        <v>2</v>
      </c>
      <c r="J388" s="262">
        <f ca="1">OFFSET('Tax value roll forward'!H$67,0,I388-1)-SUM('Tax value roll forward'!H426:OFFSET('Tax value roll forward'!H426,0,Input!$Y$7-1))</f>
        <v>0</v>
      </c>
      <c r="K388" s="262">
        <f ca="1">IF(A28taxstdlife="N/A","n/a",IF(J388=0,0,A28taxstdlife+I388-Input!$Y$7))</f>
        <v>0</v>
      </c>
      <c r="L388" s="115"/>
      <c r="M388" s="9"/>
      <c r="N388" s="9"/>
      <c r="O388" s="9"/>
      <c r="P388" s="9"/>
      <c r="Q388" s="9"/>
      <c r="R388" s="9"/>
      <c r="S388" s="255"/>
      <c r="T388" s="255"/>
      <c r="U388" s="255"/>
      <c r="V388" s="255"/>
      <c r="W388" s="255"/>
      <c r="X388" s="255"/>
      <c r="Y388" s="255"/>
      <c r="Z388" s="255"/>
    </row>
    <row r="389" spans="1:26" hidden="1" outlineLevel="1">
      <c r="A389" s="9"/>
      <c r="B389" s="9"/>
      <c r="C389" s="541"/>
      <c r="D389" s="91">
        <v>3</v>
      </c>
      <c r="E389" s="262">
        <f ca="1">OFFSET('Actual RAB roll forward'!H$71,0,D389-1)-SUM('Actual RAB roll forward'!H431:OFFSET('Actual RAB roll forward'!H431,0,Input!$Y$7-1))</f>
        <v>0</v>
      </c>
      <c r="F389" s="262">
        <f ca="1">IF(A28stdlife="N/A","n/a",IF(E389=0,0,A28stdlife+D389-Input!$Y$7))</f>
        <v>0</v>
      </c>
      <c r="G389" s="258"/>
      <c r="H389" s="541"/>
      <c r="I389" s="91">
        <v>3</v>
      </c>
      <c r="J389" s="262">
        <f ca="1">OFFSET('Tax value roll forward'!H$67,0,I389-1)-SUM('Tax value roll forward'!H427:OFFSET('Tax value roll forward'!H427,0,Input!$Y$7-1))</f>
        <v>0</v>
      </c>
      <c r="K389" s="262">
        <f ca="1">IF(A28taxstdlife="N/A","n/a",IF(J389=0,0,A28taxstdlife+I389-Input!$Y$7))</f>
        <v>0</v>
      </c>
      <c r="L389" s="115"/>
      <c r="M389" s="9"/>
      <c r="N389" s="9"/>
      <c r="O389" s="9"/>
      <c r="P389" s="9"/>
      <c r="Q389" s="9"/>
      <c r="R389" s="9"/>
      <c r="S389" s="255"/>
      <c r="T389" s="255"/>
      <c r="U389" s="255"/>
      <c r="V389" s="255"/>
      <c r="W389" s="255"/>
      <c r="X389" s="255"/>
      <c r="Y389" s="255"/>
      <c r="Z389" s="255"/>
    </row>
    <row r="390" spans="1:26" hidden="1" outlineLevel="1">
      <c r="A390" s="9"/>
      <c r="B390" s="9"/>
      <c r="C390" s="541"/>
      <c r="D390" s="91">
        <v>4</v>
      </c>
      <c r="E390" s="262">
        <f ca="1">OFFSET('Actual RAB roll forward'!H$71,0,D390-1)-SUM('Actual RAB roll forward'!H432:OFFSET('Actual RAB roll forward'!H432,0,Input!$Y$7-1))</f>
        <v>0</v>
      </c>
      <c r="F390" s="262">
        <f ca="1">IF(A28stdlife="N/A","n/a",IF(E390=0,0,A28stdlife+D390-Input!$Y$7))</f>
        <v>0</v>
      </c>
      <c r="G390" s="258"/>
      <c r="H390" s="541"/>
      <c r="I390" s="91">
        <v>4</v>
      </c>
      <c r="J390" s="262">
        <f ca="1">OFFSET('Tax value roll forward'!H$67,0,I390-1)-SUM('Tax value roll forward'!H428:OFFSET('Tax value roll forward'!H428,0,Input!$Y$7-1))</f>
        <v>0</v>
      </c>
      <c r="K390" s="262">
        <f ca="1">IF(A28taxstdlife="N/A","n/a",IF(J390=0,0,A28taxstdlife+I390-Input!$Y$7))</f>
        <v>0</v>
      </c>
      <c r="L390" s="115"/>
      <c r="M390" s="9"/>
      <c r="N390" s="9"/>
      <c r="O390" s="9"/>
      <c r="P390" s="9"/>
      <c r="Q390" s="9"/>
      <c r="R390" s="9"/>
      <c r="S390" s="255"/>
      <c r="T390" s="255"/>
      <c r="U390" s="255"/>
      <c r="V390" s="255"/>
      <c r="W390" s="255"/>
      <c r="X390" s="255"/>
      <c r="Y390" s="255"/>
      <c r="Z390" s="255"/>
    </row>
    <row r="391" spans="1:26" hidden="1" outlineLevel="1">
      <c r="A391" s="9"/>
      <c r="B391" s="9"/>
      <c r="C391" s="541"/>
      <c r="D391" s="91">
        <v>5</v>
      </c>
      <c r="E391" s="262">
        <f ca="1">OFFSET('Actual RAB roll forward'!H$71,0,D391-1)-SUM('Actual RAB roll forward'!H433:OFFSET('Actual RAB roll forward'!H433,0,Input!$Y$7-1))</f>
        <v>0</v>
      </c>
      <c r="F391" s="262">
        <f ca="1">IF(A28stdlife="N/A","n/a",IF(E391=0,0,A28stdlife+D391-Input!$Y$7))</f>
        <v>0</v>
      </c>
      <c r="G391" s="258"/>
      <c r="H391" s="541"/>
      <c r="I391" s="91">
        <v>5</v>
      </c>
      <c r="J391" s="262">
        <f ca="1">OFFSET('Tax value roll forward'!H$67,0,I391-1)-SUM('Tax value roll forward'!H429:OFFSET('Tax value roll forward'!H429,0,Input!$Y$7-1))</f>
        <v>0</v>
      </c>
      <c r="K391" s="262">
        <f ca="1">IF(A28taxstdlife="N/A","n/a",IF(J391=0,0,A28taxstdlife+I391-Input!$Y$7))</f>
        <v>0</v>
      </c>
      <c r="L391" s="115"/>
      <c r="M391" s="9"/>
      <c r="N391" s="9"/>
      <c r="O391" s="9"/>
      <c r="P391" s="9"/>
      <c r="Q391" s="9"/>
      <c r="R391" s="9"/>
      <c r="S391" s="255"/>
      <c r="T391" s="255"/>
      <c r="U391" s="255"/>
      <c r="V391" s="255"/>
      <c r="W391" s="255"/>
      <c r="X391" s="255"/>
      <c r="Y391" s="255"/>
      <c r="Z391" s="255"/>
    </row>
    <row r="392" spans="1:26" hidden="1" outlineLevel="1">
      <c r="A392" s="9"/>
      <c r="B392" s="9"/>
      <c r="C392" s="541"/>
      <c r="D392" s="91">
        <v>6</v>
      </c>
      <c r="E392" s="262">
        <f ca="1">OFFSET('Actual RAB roll forward'!H$71,0,D392-1)-SUM('Actual RAB roll forward'!H434:OFFSET('Actual RAB roll forward'!H434,0,Input!$Y$7-1))</f>
        <v>0</v>
      </c>
      <c r="F392" s="262">
        <f ca="1">IF(A28stdlife="N/A","n/a",IF(E392=0,0,A28stdlife+D392-Input!$Y$7))</f>
        <v>0</v>
      </c>
      <c r="G392" s="258"/>
      <c r="H392" s="541"/>
      <c r="I392" s="91">
        <v>6</v>
      </c>
      <c r="J392" s="262">
        <f ca="1">OFFSET('Tax value roll forward'!H$67,0,I392-1)-SUM('Tax value roll forward'!H430:OFFSET('Tax value roll forward'!H430,0,Input!$Y$7-1))</f>
        <v>0</v>
      </c>
      <c r="K392" s="262">
        <f ca="1">IF(A28taxstdlife="N/A","n/a",IF(J392=0,0,A28taxstdlife+I392-Input!$Y$7))</f>
        <v>0</v>
      </c>
      <c r="L392" s="115"/>
      <c r="M392" s="9"/>
      <c r="N392" s="9"/>
      <c r="O392" s="9"/>
      <c r="P392" s="9"/>
      <c r="Q392" s="9"/>
      <c r="R392" s="9"/>
      <c r="S392" s="255"/>
      <c r="T392" s="255"/>
      <c r="U392" s="255"/>
      <c r="V392" s="255"/>
      <c r="W392" s="255"/>
      <c r="X392" s="255"/>
      <c r="Y392" s="255"/>
      <c r="Z392" s="255"/>
    </row>
    <row r="393" spans="1:26" hidden="1" outlineLevel="1">
      <c r="A393" s="9"/>
      <c r="B393" s="9"/>
      <c r="C393" s="541"/>
      <c r="D393" s="91">
        <v>7</v>
      </c>
      <c r="E393" s="262">
        <f ca="1">OFFSET('Actual RAB roll forward'!H$71,0,D393-1)-SUM('Actual RAB roll forward'!H435:OFFSET('Actual RAB roll forward'!H435,0,Input!$Y$7-1))</f>
        <v>0</v>
      </c>
      <c r="F393" s="262">
        <f ca="1">IF(A28stdlife="N/A","n/a",IF(E393=0,0,A28stdlife+D393-Input!$Y$7))</f>
        <v>0</v>
      </c>
      <c r="G393" s="258"/>
      <c r="H393" s="541"/>
      <c r="I393" s="91">
        <v>7</v>
      </c>
      <c r="J393" s="262">
        <f ca="1">OFFSET('Tax value roll forward'!H$67,0,I393-1)-SUM('Tax value roll forward'!H431:OFFSET('Tax value roll forward'!H431,0,Input!$Y$7-1))</f>
        <v>0</v>
      </c>
      <c r="K393" s="262">
        <f ca="1">IF(A28taxstdlife="N/A","n/a",IF(J393=0,0,A28taxstdlife+I393-Input!$Y$7))</f>
        <v>0</v>
      </c>
      <c r="L393" s="115"/>
      <c r="M393" s="9"/>
      <c r="N393" s="9"/>
      <c r="O393" s="9"/>
      <c r="P393" s="9"/>
      <c r="Q393" s="9"/>
      <c r="R393" s="9"/>
      <c r="S393" s="255"/>
      <c r="T393" s="255"/>
      <c r="U393" s="255"/>
      <c r="V393" s="255"/>
      <c r="W393" s="255"/>
      <c r="X393" s="255"/>
      <c r="Y393" s="255"/>
      <c r="Z393" s="255"/>
    </row>
    <row r="394" spans="1:26" hidden="1" outlineLevel="1">
      <c r="A394" s="9"/>
      <c r="B394" s="9"/>
      <c r="C394" s="541"/>
      <c r="D394" s="91">
        <v>8</v>
      </c>
      <c r="E394" s="262">
        <f ca="1">OFFSET('Actual RAB roll forward'!H$71,0,D394-1)-SUM('Actual RAB roll forward'!H436:OFFSET('Actual RAB roll forward'!H436,0,Input!$Y$7-1))</f>
        <v>0</v>
      </c>
      <c r="F394" s="262">
        <f ca="1">IF(A28stdlife="N/A","n/a",IF(E394=0,0,A28stdlife+D394-Input!$Y$7))</f>
        <v>0</v>
      </c>
      <c r="G394" s="258"/>
      <c r="H394" s="541"/>
      <c r="I394" s="91">
        <v>8</v>
      </c>
      <c r="J394" s="262">
        <f ca="1">OFFSET('Tax value roll forward'!H$67,0,I394-1)-SUM('Tax value roll forward'!H432:OFFSET('Tax value roll forward'!H432,0,Input!$Y$7-1))</f>
        <v>0</v>
      </c>
      <c r="K394" s="262">
        <f ca="1">IF(A28taxstdlife="N/A","n/a",IF(J394=0,0,A28taxstdlife+I394-Input!$Y$7))</f>
        <v>0</v>
      </c>
      <c r="L394" s="115"/>
      <c r="M394" s="9"/>
      <c r="N394" s="9"/>
      <c r="O394" s="9"/>
      <c r="P394" s="9"/>
      <c r="Q394" s="9"/>
      <c r="R394" s="9"/>
      <c r="S394" s="255"/>
      <c r="T394" s="255"/>
      <c r="U394" s="255"/>
      <c r="V394" s="255"/>
      <c r="W394" s="255"/>
      <c r="X394" s="255"/>
      <c r="Y394" s="255"/>
      <c r="Z394" s="255"/>
    </row>
    <row r="395" spans="1:26" hidden="1" outlineLevel="1">
      <c r="A395" s="9"/>
      <c r="B395" s="9"/>
      <c r="C395" s="541"/>
      <c r="D395" s="91">
        <v>9</v>
      </c>
      <c r="E395" s="262">
        <f ca="1">OFFSET('Actual RAB roll forward'!H$71,0,D395-1)-SUM('Actual RAB roll forward'!H437:OFFSET('Actual RAB roll forward'!H437,0,Input!$Y$7-1))</f>
        <v>0</v>
      </c>
      <c r="F395" s="262">
        <f ca="1">IF(A28stdlife="N/A","n/a",IF(E395=0,0,A28stdlife+D395-Input!$Y$7))</f>
        <v>0</v>
      </c>
      <c r="G395" s="258"/>
      <c r="H395" s="541"/>
      <c r="I395" s="91">
        <v>9</v>
      </c>
      <c r="J395" s="262">
        <f ca="1">OFFSET('Tax value roll forward'!H$67,0,I395-1)-SUM('Tax value roll forward'!H433:OFFSET('Tax value roll forward'!H433,0,Input!$Y$7-1))</f>
        <v>0</v>
      </c>
      <c r="K395" s="262">
        <f ca="1">IF(A28taxstdlife="N/A","n/a",IF(J395=0,0,A28taxstdlife+I395-Input!$Y$7))</f>
        <v>0</v>
      </c>
      <c r="L395" s="115"/>
      <c r="M395" s="9"/>
      <c r="N395" s="9"/>
      <c r="O395" s="9"/>
      <c r="P395" s="9"/>
      <c r="Q395" s="9"/>
      <c r="R395" s="9"/>
      <c r="S395" s="255"/>
      <c r="T395" s="255"/>
      <c r="U395" s="255"/>
      <c r="V395" s="255"/>
      <c r="W395" s="255"/>
      <c r="X395" s="255"/>
      <c r="Y395" s="255"/>
      <c r="Z395" s="255"/>
    </row>
    <row r="396" spans="1:26" hidden="1" outlineLevel="1">
      <c r="A396" s="9"/>
      <c r="B396" s="9"/>
      <c r="C396" s="542"/>
      <c r="D396" s="92">
        <v>10</v>
      </c>
      <c r="E396" s="262">
        <f ca="1">OFFSET('Actual RAB roll forward'!H$71,0,D396-1)-SUM('Actual RAB roll forward'!H438:OFFSET('Actual RAB roll forward'!H438,0,Input!$Y$7-1))</f>
        <v>0</v>
      </c>
      <c r="F396" s="262">
        <f ca="1">IF(A28stdlife="N/A","n/a",IF(E396=0,0,A28stdlife+D396-Input!$Y$7))</f>
        <v>0</v>
      </c>
      <c r="G396" s="258"/>
      <c r="H396" s="542"/>
      <c r="I396" s="92">
        <v>10</v>
      </c>
      <c r="J396" s="262">
        <f ca="1">OFFSET('Tax value roll forward'!H$67,0,I396-1)-SUM('Tax value roll forward'!H434:OFFSET('Tax value roll forward'!H434,0,Input!$Y$7-1))</f>
        <v>0</v>
      </c>
      <c r="K396" s="262">
        <f ca="1">IF(A28taxstdlife="N/A","n/a",IF(J396=0,0,A28taxstdlife+I396-Input!$Y$7))</f>
        <v>0</v>
      </c>
      <c r="L396" s="115"/>
      <c r="M396" s="9"/>
      <c r="N396" s="9"/>
      <c r="O396" s="9"/>
      <c r="P396" s="9"/>
      <c r="Q396" s="9"/>
      <c r="R396" s="9"/>
      <c r="S396" s="255"/>
      <c r="T396" s="255"/>
      <c r="U396" s="255"/>
      <c r="V396" s="255"/>
      <c r="W396" s="255"/>
      <c r="X396" s="255"/>
      <c r="Y396" s="255"/>
      <c r="Z396" s="255"/>
    </row>
    <row r="397" spans="1:26" collapsed="1">
      <c r="A397" s="9"/>
      <c r="B397" s="9"/>
      <c r="C397" s="275">
        <f>Asset28</f>
        <v>0</v>
      </c>
      <c r="D397" s="9"/>
      <c r="E397" s="262">
        <f ca="1">SUM(E386:E396)</f>
        <v>0</v>
      </c>
      <c r="F397" s="262">
        <f ca="1">IF(E397=0,0,SUMPRODUCT(E386:E396,F386:F396)/E397)</f>
        <v>0</v>
      </c>
      <c r="G397" s="258"/>
      <c r="H397" s="43"/>
      <c r="I397" s="262"/>
      <c r="J397" s="262">
        <f ca="1">SUM(J386:J396)</f>
        <v>0</v>
      </c>
      <c r="K397" s="262">
        <f ca="1">IF(J397=0,0,SUMPRODUCT(J386:J396,K386:K396)/J397)</f>
        <v>0</v>
      </c>
      <c r="L397" s="115"/>
      <c r="M397" s="9"/>
      <c r="N397" s="9"/>
      <c r="O397" s="9"/>
      <c r="P397" s="9"/>
      <c r="Q397" s="9"/>
      <c r="R397" s="9"/>
      <c r="S397" s="255"/>
      <c r="T397" s="255"/>
      <c r="U397" s="255"/>
      <c r="V397" s="255"/>
      <c r="W397" s="255"/>
      <c r="X397" s="255"/>
      <c r="Y397" s="255"/>
      <c r="Z397" s="255"/>
    </row>
    <row r="398" spans="1:26" hidden="1" outlineLevel="1">
      <c r="A398" s="9"/>
      <c r="B398" s="273"/>
      <c r="C398" s="9"/>
      <c r="D398" s="9"/>
      <c r="E398" s="35"/>
      <c r="F398" s="35"/>
      <c r="G398" s="258"/>
      <c r="H398" s="262"/>
      <c r="I398" s="262"/>
      <c r="J398" s="267"/>
      <c r="K398" s="262"/>
      <c r="L398" s="115"/>
      <c r="M398" s="9"/>
      <c r="N398" s="9"/>
      <c r="O398" s="9"/>
      <c r="P398" s="9"/>
      <c r="Q398" s="9"/>
      <c r="R398" s="9"/>
      <c r="S398" s="255"/>
      <c r="T398" s="255"/>
      <c r="U398" s="255"/>
      <c r="V398" s="255"/>
      <c r="W398" s="255"/>
      <c r="X398" s="255"/>
      <c r="Y398" s="255"/>
      <c r="Z398" s="255"/>
    </row>
    <row r="399" spans="1:26" hidden="1" outlineLevel="1">
      <c r="A399" s="9"/>
      <c r="B399" s="273">
        <f>Asset29</f>
        <v>0</v>
      </c>
      <c r="C399" s="9"/>
      <c r="D399" s="9"/>
      <c r="E399" s="35"/>
      <c r="F399" s="35"/>
      <c r="G399" s="258"/>
      <c r="H399" s="262"/>
      <c r="I399" s="262"/>
      <c r="J399" s="267"/>
      <c r="K399" s="262"/>
      <c r="L399" s="115"/>
      <c r="M399" s="9"/>
      <c r="N399" s="9"/>
      <c r="O399" s="9"/>
      <c r="P399" s="9"/>
      <c r="Q399" s="9"/>
      <c r="R399" s="9"/>
      <c r="S399" s="255"/>
      <c r="T399" s="255"/>
      <c r="U399" s="255"/>
      <c r="V399" s="255"/>
      <c r="W399" s="255"/>
      <c r="X399" s="255"/>
      <c r="Y399" s="255"/>
      <c r="Z399" s="255"/>
    </row>
    <row r="400" spans="1:26" ht="12.75" hidden="1" customHeight="1" outlineLevel="1">
      <c r="A400" s="9"/>
      <c r="B400" s="9"/>
      <c r="C400" s="538" t="s">
        <v>5</v>
      </c>
      <c r="D400" s="539"/>
      <c r="E400" s="262">
        <f ca="1">A29value-SUM('Actual RAB roll forward'!H440:OFFSET('Actual RAB roll forward'!H440,0,Input!$Y$7-1))</f>
        <v>0</v>
      </c>
      <c r="F400" s="262">
        <f>IF(A29remlife="N/A","n/a",A29remlife-Input!$Y$7)</f>
        <v>-5</v>
      </c>
      <c r="G400" s="258"/>
      <c r="H400" s="299" t="s">
        <v>43</v>
      </c>
      <c r="I400" s="300"/>
      <c r="J400" s="262">
        <f ca="1">A29taxvalue-SUM('Tax value roll forward'!H436:OFFSET('Tax value roll forward'!H436,0,Input!$Y$7-1))</f>
        <v>0</v>
      </c>
      <c r="K400" s="262">
        <f>IF(A29taxremlife="N/A","n/a",A29taxremlife-Input!$Y$7)</f>
        <v>-5</v>
      </c>
      <c r="L400" s="115"/>
      <c r="M400" s="9"/>
      <c r="N400" s="9"/>
      <c r="O400" s="9"/>
      <c r="P400" s="9"/>
      <c r="Q400" s="9"/>
      <c r="R400" s="9"/>
      <c r="S400" s="255"/>
      <c r="T400" s="255"/>
      <c r="U400" s="255"/>
      <c r="V400" s="255"/>
      <c r="W400" s="255"/>
      <c r="X400" s="255"/>
      <c r="Y400" s="255"/>
      <c r="Z400" s="255"/>
    </row>
    <row r="401" spans="1:26" hidden="1" outlineLevel="1">
      <c r="A401" s="9"/>
      <c r="B401" s="9"/>
      <c r="C401" s="540" t="s">
        <v>59</v>
      </c>
      <c r="D401" s="91">
        <v>1</v>
      </c>
      <c r="E401" s="262">
        <f ca="1">OFFSET('Actual RAB roll forward'!H$72,0,D401-1)-SUM('Actual RAB roll forward'!H442:OFFSET('Actual RAB roll forward'!H442,0,Input!$Y$7-1))</f>
        <v>0</v>
      </c>
      <c r="F401" s="262">
        <f ca="1">IF(A29stdlife="N/A","n/a",IF(E401=0,0,A29stdlife+D401-Input!$Y$7))</f>
        <v>0</v>
      </c>
      <c r="G401" s="258"/>
      <c r="H401" s="540" t="s">
        <v>59</v>
      </c>
      <c r="I401" s="91">
        <v>1</v>
      </c>
      <c r="J401" s="262">
        <f ca="1">OFFSET('Tax value roll forward'!H$68,0,I401-1)-SUM('Tax value roll forward'!H438:OFFSET('Tax value roll forward'!H438,0,Input!$Y$7-1))</f>
        <v>0</v>
      </c>
      <c r="K401" s="262">
        <f ca="1">IF(A29taxstdlife="N/A","n/a",IF(J401=0,0,A29taxstdlife+I401-Input!$Y$7))</f>
        <v>0</v>
      </c>
      <c r="L401" s="115"/>
      <c r="M401" s="9"/>
      <c r="N401" s="9"/>
      <c r="O401" s="9"/>
      <c r="P401" s="9"/>
      <c r="Q401" s="9"/>
      <c r="R401" s="9"/>
      <c r="S401" s="255"/>
      <c r="T401" s="255"/>
      <c r="U401" s="255"/>
      <c r="V401" s="255"/>
      <c r="W401" s="255"/>
      <c r="X401" s="255"/>
      <c r="Y401" s="255"/>
      <c r="Z401" s="255"/>
    </row>
    <row r="402" spans="1:26" hidden="1" outlineLevel="1">
      <c r="A402" s="9"/>
      <c r="B402" s="9"/>
      <c r="C402" s="541"/>
      <c r="D402" s="91">
        <v>2</v>
      </c>
      <c r="E402" s="262">
        <f ca="1">OFFSET('Actual RAB roll forward'!H$72,0,D402-1)-SUM('Actual RAB roll forward'!H443:OFFSET('Actual RAB roll forward'!H443,0,Input!$Y$7-1))</f>
        <v>0</v>
      </c>
      <c r="F402" s="262">
        <f ca="1">IF(A29stdlife="N/A","n/a",IF(E402=0,0,A29stdlife+D402-Input!$Y$7))</f>
        <v>0</v>
      </c>
      <c r="G402" s="258"/>
      <c r="H402" s="541"/>
      <c r="I402" s="91">
        <v>2</v>
      </c>
      <c r="J402" s="262">
        <f ca="1">OFFSET('Tax value roll forward'!H$68,0,I402-1)-SUM('Tax value roll forward'!H439:OFFSET('Tax value roll forward'!H439,0,Input!$Y$7-1))</f>
        <v>0</v>
      </c>
      <c r="K402" s="262">
        <f ca="1">IF(A29taxstdlife="N/A","n/a",IF(J402=0,0,A29taxstdlife+I402-Input!$Y$7))</f>
        <v>0</v>
      </c>
      <c r="L402" s="115"/>
      <c r="M402" s="9"/>
      <c r="N402" s="9"/>
      <c r="O402" s="9"/>
      <c r="P402" s="9"/>
      <c r="Q402" s="9"/>
      <c r="R402" s="9"/>
      <c r="S402" s="255"/>
      <c r="T402" s="255"/>
      <c r="U402" s="255"/>
      <c r="V402" s="255"/>
      <c r="W402" s="255"/>
      <c r="X402" s="255"/>
      <c r="Y402" s="255"/>
      <c r="Z402" s="255"/>
    </row>
    <row r="403" spans="1:26" hidden="1" outlineLevel="1">
      <c r="A403" s="9"/>
      <c r="B403" s="9"/>
      <c r="C403" s="541"/>
      <c r="D403" s="91">
        <v>3</v>
      </c>
      <c r="E403" s="262">
        <f ca="1">OFFSET('Actual RAB roll forward'!H$72,0,D403-1)-SUM('Actual RAB roll forward'!H444:OFFSET('Actual RAB roll forward'!H444,0,Input!$Y$7-1))</f>
        <v>0</v>
      </c>
      <c r="F403" s="262">
        <f ca="1">IF(A29stdlife="N/A","n/a",IF(E403=0,0,A29stdlife+D403-Input!$Y$7))</f>
        <v>0</v>
      </c>
      <c r="G403" s="258"/>
      <c r="H403" s="541"/>
      <c r="I403" s="91">
        <v>3</v>
      </c>
      <c r="J403" s="262">
        <f ca="1">OFFSET('Tax value roll forward'!H$68,0,I403-1)-SUM('Tax value roll forward'!H440:OFFSET('Tax value roll forward'!H440,0,Input!$Y$7-1))</f>
        <v>0</v>
      </c>
      <c r="K403" s="262">
        <f ca="1">IF(A29taxstdlife="N/A","n/a",IF(J403=0,0,A29taxstdlife+I403-Input!$Y$7))</f>
        <v>0</v>
      </c>
      <c r="L403" s="115"/>
      <c r="M403" s="9"/>
      <c r="N403" s="9"/>
      <c r="O403" s="9"/>
      <c r="P403" s="9"/>
      <c r="Q403" s="9"/>
      <c r="R403" s="9"/>
      <c r="S403" s="255"/>
      <c r="T403" s="255"/>
      <c r="U403" s="255"/>
      <c r="V403" s="255"/>
      <c r="W403" s="255"/>
      <c r="X403" s="255"/>
      <c r="Y403" s="255"/>
      <c r="Z403" s="255"/>
    </row>
    <row r="404" spans="1:26" hidden="1" outlineLevel="1">
      <c r="A404" s="9"/>
      <c r="B404" s="9"/>
      <c r="C404" s="541"/>
      <c r="D404" s="91">
        <v>4</v>
      </c>
      <c r="E404" s="262">
        <f ca="1">OFFSET('Actual RAB roll forward'!H$72,0,D404-1)-SUM('Actual RAB roll forward'!H445:OFFSET('Actual RAB roll forward'!H445,0,Input!$Y$7-1))</f>
        <v>0</v>
      </c>
      <c r="F404" s="262">
        <f ca="1">IF(A29stdlife="N/A","n/a",IF(E404=0,0,A29stdlife+D404-Input!$Y$7))</f>
        <v>0</v>
      </c>
      <c r="G404" s="258"/>
      <c r="H404" s="541"/>
      <c r="I404" s="91">
        <v>4</v>
      </c>
      <c r="J404" s="262">
        <f ca="1">OFFSET('Tax value roll forward'!H$68,0,I404-1)-SUM('Tax value roll forward'!H441:OFFSET('Tax value roll forward'!H441,0,Input!$Y$7-1))</f>
        <v>0</v>
      </c>
      <c r="K404" s="262">
        <f ca="1">IF(A29taxstdlife="N/A","n/a",IF(J404=0,0,A29taxstdlife+I404-Input!$Y$7))</f>
        <v>0</v>
      </c>
      <c r="L404" s="115"/>
      <c r="M404" s="9"/>
      <c r="N404" s="9"/>
      <c r="O404" s="9"/>
      <c r="P404" s="9"/>
      <c r="Q404" s="9"/>
      <c r="R404" s="9"/>
      <c r="S404" s="255"/>
      <c r="T404" s="255"/>
      <c r="U404" s="255"/>
      <c r="V404" s="255"/>
      <c r="W404" s="255"/>
      <c r="X404" s="255"/>
      <c r="Y404" s="255"/>
      <c r="Z404" s="255"/>
    </row>
    <row r="405" spans="1:26" hidden="1" outlineLevel="1">
      <c r="A405" s="9"/>
      <c r="B405" s="9"/>
      <c r="C405" s="541"/>
      <c r="D405" s="91">
        <v>5</v>
      </c>
      <c r="E405" s="262">
        <f ca="1">OFFSET('Actual RAB roll forward'!H$72,0,D405-1)-SUM('Actual RAB roll forward'!H446:OFFSET('Actual RAB roll forward'!H446,0,Input!$Y$7-1))</f>
        <v>0</v>
      </c>
      <c r="F405" s="262">
        <f ca="1">IF(A29stdlife="N/A","n/a",IF(E405=0,0,A29stdlife+D405-Input!$Y$7))</f>
        <v>0</v>
      </c>
      <c r="G405" s="258"/>
      <c r="H405" s="541"/>
      <c r="I405" s="91">
        <v>5</v>
      </c>
      <c r="J405" s="262">
        <f ca="1">OFFSET('Tax value roll forward'!H$68,0,I405-1)-SUM('Tax value roll forward'!H442:OFFSET('Tax value roll forward'!H442,0,Input!$Y$7-1))</f>
        <v>0</v>
      </c>
      <c r="K405" s="262">
        <f ca="1">IF(A29taxstdlife="N/A","n/a",IF(J405=0,0,A29taxstdlife+I405-Input!$Y$7))</f>
        <v>0</v>
      </c>
      <c r="L405" s="115"/>
      <c r="M405" s="9"/>
      <c r="N405" s="9"/>
      <c r="O405" s="9"/>
      <c r="P405" s="9"/>
      <c r="Q405" s="9"/>
      <c r="R405" s="9"/>
      <c r="S405" s="255"/>
      <c r="T405" s="255"/>
      <c r="U405" s="255"/>
      <c r="V405" s="255"/>
      <c r="W405" s="255"/>
      <c r="X405" s="255"/>
      <c r="Y405" s="255"/>
      <c r="Z405" s="255"/>
    </row>
    <row r="406" spans="1:26" hidden="1" outlineLevel="1">
      <c r="A406" s="9"/>
      <c r="B406" s="9"/>
      <c r="C406" s="541"/>
      <c r="D406" s="91">
        <v>6</v>
      </c>
      <c r="E406" s="262">
        <f ca="1">OFFSET('Actual RAB roll forward'!H$72,0,D406-1)-SUM('Actual RAB roll forward'!H447:OFFSET('Actual RAB roll forward'!H447,0,Input!$Y$7-1))</f>
        <v>0</v>
      </c>
      <c r="F406" s="262">
        <f ca="1">IF(A29stdlife="N/A","n/a",IF(E406=0,0,A29stdlife+D406-Input!$Y$7))</f>
        <v>0</v>
      </c>
      <c r="G406" s="258"/>
      <c r="H406" s="541"/>
      <c r="I406" s="91">
        <v>6</v>
      </c>
      <c r="J406" s="262">
        <f ca="1">OFFSET('Tax value roll forward'!H$68,0,I406-1)-SUM('Tax value roll forward'!H443:OFFSET('Tax value roll forward'!H443,0,Input!$Y$7-1))</f>
        <v>0</v>
      </c>
      <c r="K406" s="262">
        <f ca="1">IF(A29taxstdlife="N/A","n/a",IF(J406=0,0,A29taxstdlife+I406-Input!$Y$7))</f>
        <v>0</v>
      </c>
      <c r="L406" s="115"/>
      <c r="M406" s="9"/>
      <c r="N406" s="9"/>
      <c r="O406" s="9"/>
      <c r="P406" s="9"/>
      <c r="Q406" s="9"/>
      <c r="R406" s="9"/>
      <c r="S406" s="255"/>
      <c r="T406" s="255"/>
      <c r="U406" s="255"/>
      <c r="V406" s="255"/>
      <c r="W406" s="255"/>
      <c r="X406" s="255"/>
      <c r="Y406" s="255"/>
      <c r="Z406" s="255"/>
    </row>
    <row r="407" spans="1:26" hidden="1" outlineLevel="1">
      <c r="A407" s="9"/>
      <c r="B407" s="9"/>
      <c r="C407" s="541"/>
      <c r="D407" s="91">
        <v>7</v>
      </c>
      <c r="E407" s="262">
        <f ca="1">OFFSET('Actual RAB roll forward'!H$72,0,D407-1)-SUM('Actual RAB roll forward'!H448:OFFSET('Actual RAB roll forward'!H448,0,Input!$Y$7-1))</f>
        <v>0</v>
      </c>
      <c r="F407" s="262">
        <f ca="1">IF(A29stdlife="N/A","n/a",IF(E407=0,0,A29stdlife+D407-Input!$Y$7))</f>
        <v>0</v>
      </c>
      <c r="G407" s="258"/>
      <c r="H407" s="541"/>
      <c r="I407" s="91">
        <v>7</v>
      </c>
      <c r="J407" s="262">
        <f ca="1">OFFSET('Tax value roll forward'!H$68,0,I407-1)-SUM('Tax value roll forward'!H444:OFFSET('Tax value roll forward'!H444,0,Input!$Y$7-1))</f>
        <v>0</v>
      </c>
      <c r="K407" s="262">
        <f ca="1">IF(A29taxstdlife="N/A","n/a",IF(J407=0,0,A29taxstdlife+I407-Input!$Y$7))</f>
        <v>0</v>
      </c>
      <c r="L407" s="115"/>
      <c r="M407" s="9"/>
      <c r="N407" s="9"/>
      <c r="O407" s="9"/>
      <c r="P407" s="9"/>
      <c r="Q407" s="9"/>
      <c r="R407" s="9"/>
      <c r="S407" s="255"/>
      <c r="T407" s="255"/>
      <c r="U407" s="255"/>
      <c r="V407" s="255"/>
      <c r="W407" s="255"/>
      <c r="X407" s="255"/>
      <c r="Y407" s="255"/>
      <c r="Z407" s="255"/>
    </row>
    <row r="408" spans="1:26" hidden="1" outlineLevel="1">
      <c r="A408" s="9"/>
      <c r="B408" s="9"/>
      <c r="C408" s="541"/>
      <c r="D408" s="91">
        <v>8</v>
      </c>
      <c r="E408" s="262">
        <f ca="1">OFFSET('Actual RAB roll forward'!H$72,0,D408-1)-SUM('Actual RAB roll forward'!H449:OFFSET('Actual RAB roll forward'!H449,0,Input!$Y$7-1))</f>
        <v>0</v>
      </c>
      <c r="F408" s="262">
        <f ca="1">IF(A29stdlife="N/A","n/a",IF(E408=0,0,A29stdlife+D408-Input!$Y$7))</f>
        <v>0</v>
      </c>
      <c r="G408" s="258"/>
      <c r="H408" s="541"/>
      <c r="I408" s="91">
        <v>8</v>
      </c>
      <c r="J408" s="262">
        <f ca="1">OFFSET('Tax value roll forward'!H$68,0,I408-1)-SUM('Tax value roll forward'!H445:OFFSET('Tax value roll forward'!H445,0,Input!$Y$7-1))</f>
        <v>0</v>
      </c>
      <c r="K408" s="262">
        <f ca="1">IF(A29taxstdlife="N/A","n/a",IF(J408=0,0,A29taxstdlife+I408-Input!$Y$7))</f>
        <v>0</v>
      </c>
      <c r="L408" s="115"/>
      <c r="M408" s="9"/>
      <c r="N408" s="9"/>
      <c r="O408" s="9"/>
      <c r="P408" s="9"/>
      <c r="Q408" s="9"/>
      <c r="R408" s="9"/>
      <c r="S408" s="255"/>
      <c r="T408" s="255"/>
      <c r="U408" s="255"/>
      <c r="V408" s="255"/>
      <c r="W408" s="255"/>
      <c r="X408" s="255"/>
      <c r="Y408" s="255"/>
      <c r="Z408" s="255"/>
    </row>
    <row r="409" spans="1:26" hidden="1" outlineLevel="1">
      <c r="A409" s="9"/>
      <c r="B409" s="9"/>
      <c r="C409" s="541"/>
      <c r="D409" s="91">
        <v>9</v>
      </c>
      <c r="E409" s="262">
        <f ca="1">OFFSET('Actual RAB roll forward'!H$72,0,D409-1)-SUM('Actual RAB roll forward'!H450:OFFSET('Actual RAB roll forward'!H450,0,Input!$Y$7-1))</f>
        <v>0</v>
      </c>
      <c r="F409" s="262">
        <f ca="1">IF(A29stdlife="N/A","n/a",IF(E409=0,0,A29stdlife+D409-Input!$Y$7))</f>
        <v>0</v>
      </c>
      <c r="G409" s="258"/>
      <c r="H409" s="541"/>
      <c r="I409" s="91">
        <v>9</v>
      </c>
      <c r="J409" s="262">
        <f ca="1">OFFSET('Tax value roll forward'!H$68,0,I409-1)-SUM('Tax value roll forward'!H446:OFFSET('Tax value roll forward'!H446,0,Input!$Y$7-1))</f>
        <v>0</v>
      </c>
      <c r="K409" s="262">
        <f ca="1">IF(A29taxstdlife="N/A","n/a",IF(J409=0,0,A29taxstdlife+I409-Input!$Y$7))</f>
        <v>0</v>
      </c>
      <c r="L409" s="115"/>
      <c r="M409" s="9"/>
      <c r="N409" s="9"/>
      <c r="O409" s="9"/>
      <c r="P409" s="9"/>
      <c r="Q409" s="9"/>
      <c r="R409" s="9"/>
      <c r="S409" s="255"/>
      <c r="T409" s="255"/>
      <c r="U409" s="255"/>
      <c r="V409" s="255"/>
      <c r="W409" s="255"/>
      <c r="X409" s="255"/>
      <c r="Y409" s="255"/>
      <c r="Z409" s="255"/>
    </row>
    <row r="410" spans="1:26" hidden="1" outlineLevel="1">
      <c r="A410" s="9"/>
      <c r="B410" s="9"/>
      <c r="C410" s="542"/>
      <c r="D410" s="92">
        <v>10</v>
      </c>
      <c r="E410" s="262">
        <f ca="1">OFFSET('Actual RAB roll forward'!H$72,0,D410-1)-SUM('Actual RAB roll forward'!H451:OFFSET('Actual RAB roll forward'!H451,0,Input!$Y$7-1))</f>
        <v>0</v>
      </c>
      <c r="F410" s="262">
        <f ca="1">IF(A29stdlife="N/A","n/a",IF(E410=0,0,A29stdlife+D410-Input!$Y$7))</f>
        <v>0</v>
      </c>
      <c r="G410" s="258"/>
      <c r="H410" s="542"/>
      <c r="I410" s="92">
        <v>10</v>
      </c>
      <c r="J410" s="262">
        <f ca="1">OFFSET('Tax value roll forward'!H$68,0,I410-1)-SUM('Tax value roll forward'!H447:OFFSET('Tax value roll forward'!H447,0,Input!$Y$7-1))</f>
        <v>0</v>
      </c>
      <c r="K410" s="262">
        <f ca="1">IF(A29taxstdlife="N/A","n/a",IF(J410=0,0,A29taxstdlife+I410-Input!$Y$7))</f>
        <v>0</v>
      </c>
      <c r="L410" s="115"/>
      <c r="M410" s="9"/>
      <c r="N410" s="9"/>
      <c r="O410" s="9"/>
      <c r="P410" s="9"/>
      <c r="Q410" s="9"/>
      <c r="R410" s="9"/>
      <c r="S410" s="255"/>
      <c r="T410" s="255"/>
      <c r="U410" s="255"/>
      <c r="V410" s="255"/>
      <c r="W410" s="255"/>
      <c r="X410" s="255"/>
      <c r="Y410" s="255"/>
      <c r="Z410" s="255"/>
    </row>
    <row r="411" spans="1:26" collapsed="1">
      <c r="A411" s="9"/>
      <c r="B411" s="9"/>
      <c r="C411" s="275">
        <f>Asset29</f>
        <v>0</v>
      </c>
      <c r="D411" s="9"/>
      <c r="E411" s="262">
        <f ca="1">SUM(E400:E410)</f>
        <v>0</v>
      </c>
      <c r="F411" s="262">
        <f ca="1">IF(E411=0,0,SUMPRODUCT(E400:E410,F400:F410)/E411)</f>
        <v>0</v>
      </c>
      <c r="G411" s="258"/>
      <c r="H411" s="43"/>
      <c r="I411" s="262"/>
      <c r="J411" s="262">
        <f ca="1">SUM(J400:J410)</f>
        <v>0</v>
      </c>
      <c r="K411" s="262">
        <f ca="1">IF(J411=0,0,SUMPRODUCT(J400:J410,K400:K410)/J411)</f>
        <v>0</v>
      </c>
      <c r="L411" s="115"/>
      <c r="M411" s="9"/>
      <c r="N411" s="9"/>
      <c r="O411" s="9"/>
      <c r="P411" s="9"/>
      <c r="Q411" s="9"/>
      <c r="R411" s="9"/>
      <c r="S411" s="255"/>
      <c r="T411" s="255"/>
      <c r="U411" s="255"/>
      <c r="V411" s="255"/>
      <c r="W411" s="255"/>
      <c r="X411" s="255"/>
      <c r="Y411" s="255"/>
      <c r="Z411" s="255"/>
    </row>
    <row r="412" spans="1:26" hidden="1" outlineLevel="1">
      <c r="A412" s="9"/>
      <c r="B412" s="273"/>
      <c r="C412" s="9"/>
      <c r="D412" s="9"/>
      <c r="E412" s="35"/>
      <c r="F412" s="35"/>
      <c r="G412" s="258"/>
      <c r="H412" s="262"/>
      <c r="I412" s="262"/>
      <c r="J412" s="267"/>
      <c r="K412" s="262"/>
      <c r="L412" s="115"/>
      <c r="M412" s="9"/>
      <c r="N412" s="9"/>
      <c r="O412" s="9"/>
      <c r="P412" s="9"/>
      <c r="Q412" s="9"/>
      <c r="R412" s="9"/>
      <c r="S412" s="255"/>
      <c r="T412" s="255"/>
      <c r="U412" s="255"/>
      <c r="V412" s="255"/>
      <c r="W412" s="255"/>
      <c r="X412" s="255"/>
      <c r="Y412" s="255"/>
      <c r="Z412" s="255"/>
    </row>
    <row r="413" spans="1:26" hidden="1" outlineLevel="1">
      <c r="A413" s="9"/>
      <c r="B413" s="273">
        <f>Asset30</f>
        <v>0</v>
      </c>
      <c r="C413" s="9"/>
      <c r="D413" s="9"/>
      <c r="E413" s="35"/>
      <c r="F413" s="35"/>
      <c r="G413" s="258"/>
      <c r="H413" s="262"/>
      <c r="I413" s="262"/>
      <c r="J413" s="267"/>
      <c r="K413" s="262"/>
      <c r="L413" s="115"/>
      <c r="M413" s="9"/>
      <c r="N413" s="9"/>
      <c r="O413" s="9"/>
      <c r="P413" s="9"/>
      <c r="Q413" s="9"/>
      <c r="R413" s="9"/>
      <c r="S413" s="255"/>
      <c r="T413" s="255"/>
      <c r="U413" s="255"/>
      <c r="V413" s="255"/>
      <c r="W413" s="255"/>
      <c r="X413" s="255"/>
      <c r="Y413" s="255"/>
      <c r="Z413" s="255"/>
    </row>
    <row r="414" spans="1:26" ht="12.75" hidden="1" customHeight="1" outlineLevel="1">
      <c r="A414" s="9"/>
      <c r="B414" s="9"/>
      <c r="C414" s="538" t="s">
        <v>5</v>
      </c>
      <c r="D414" s="539"/>
      <c r="E414" s="262">
        <f ca="1">A30value-SUM('Actual RAB roll forward'!H453:OFFSET('Actual RAB roll forward'!H453,0,Input!$Y$7-1))</f>
        <v>0</v>
      </c>
      <c r="F414" s="262">
        <f>IF(A30remlife="N/A","n/a",A30remlife-Input!$Y$7)</f>
        <v>-5</v>
      </c>
      <c r="G414" s="258"/>
      <c r="H414" s="299" t="s">
        <v>43</v>
      </c>
      <c r="I414" s="300"/>
      <c r="J414" s="262">
        <f ca="1">A30taxvalue-SUM('Tax value roll forward'!H449:OFFSET('Tax value roll forward'!H449,0,Input!$Y$7-1))</f>
        <v>0</v>
      </c>
      <c r="K414" s="262">
        <f>IF(A30taxremlife="N/A","n/a",A30taxremlife-Input!$Y$7)</f>
        <v>-5</v>
      </c>
      <c r="L414" s="115"/>
      <c r="M414" s="9"/>
      <c r="N414" s="9"/>
      <c r="O414" s="9"/>
      <c r="P414" s="9"/>
      <c r="Q414" s="9"/>
      <c r="R414" s="9"/>
      <c r="S414" s="255"/>
      <c r="T414" s="255"/>
      <c r="U414" s="255"/>
      <c r="V414" s="255"/>
      <c r="W414" s="255"/>
      <c r="X414" s="255"/>
      <c r="Y414" s="255"/>
      <c r="Z414" s="255"/>
    </row>
    <row r="415" spans="1:26" hidden="1" outlineLevel="1">
      <c r="A415" s="9"/>
      <c r="B415" s="9"/>
      <c r="C415" s="540" t="s">
        <v>59</v>
      </c>
      <c r="D415" s="91">
        <v>1</v>
      </c>
      <c r="E415" s="262">
        <f ca="1">OFFSET('Actual RAB roll forward'!H$73,0,D415-1)-SUM('Actual RAB roll forward'!H455:OFFSET('Actual RAB roll forward'!H455,0,Input!$Y$7-1))</f>
        <v>0</v>
      </c>
      <c r="F415" s="262">
        <f ca="1">IF(A30stdlife="N/A","n/a",IF(E415=0,0,A30stdlife+D415-Input!$Y$7))</f>
        <v>0</v>
      </c>
      <c r="G415" s="258"/>
      <c r="H415" s="540" t="s">
        <v>59</v>
      </c>
      <c r="I415" s="91">
        <v>1</v>
      </c>
      <c r="J415" s="262">
        <f ca="1">OFFSET('Tax value roll forward'!H$69,0,I415-1)-SUM('Tax value roll forward'!H451:OFFSET('Tax value roll forward'!H451,0,Input!$Y$7-1))</f>
        <v>0</v>
      </c>
      <c r="K415" s="262">
        <f ca="1">IF(A30taxstdlife="N/A","n/a",IF(J415=0,0,A30taxstdlife+I415-Input!$Y$7))</f>
        <v>0</v>
      </c>
      <c r="L415" s="115"/>
      <c r="M415" s="9"/>
      <c r="N415" s="9"/>
      <c r="O415" s="9"/>
      <c r="P415" s="9"/>
      <c r="Q415" s="9"/>
      <c r="R415" s="9"/>
      <c r="S415" s="255"/>
      <c r="T415" s="255"/>
      <c r="U415" s="255"/>
      <c r="V415" s="255"/>
      <c r="W415" s="255"/>
      <c r="X415" s="255"/>
      <c r="Y415" s="255"/>
      <c r="Z415" s="255"/>
    </row>
    <row r="416" spans="1:26" hidden="1" outlineLevel="1">
      <c r="A416" s="9"/>
      <c r="B416" s="9"/>
      <c r="C416" s="541"/>
      <c r="D416" s="91">
        <v>2</v>
      </c>
      <c r="E416" s="262">
        <f ca="1">OFFSET('Actual RAB roll forward'!H$73,0,D416-1)-SUM('Actual RAB roll forward'!H456:OFFSET('Actual RAB roll forward'!H456,0,Input!$Y$7-1))</f>
        <v>0</v>
      </c>
      <c r="F416" s="262">
        <f ca="1">IF(A30stdlife="N/A","n/a",IF(E416=0,0,A30stdlife+D416-Input!$Y$7))</f>
        <v>0</v>
      </c>
      <c r="G416" s="258"/>
      <c r="H416" s="541"/>
      <c r="I416" s="91">
        <v>2</v>
      </c>
      <c r="J416" s="262">
        <f ca="1">OFFSET('Tax value roll forward'!H$69,0,I416-1)-SUM('Tax value roll forward'!H452:OFFSET('Tax value roll forward'!H452,0,Input!$Y$7-1))</f>
        <v>0</v>
      </c>
      <c r="K416" s="262">
        <f ca="1">IF(A30taxstdlife="N/A","n/a",IF(J416=0,0,A30taxstdlife+I416-Input!$Y$7))</f>
        <v>0</v>
      </c>
      <c r="L416" s="115"/>
      <c r="M416" s="9"/>
      <c r="N416" s="9"/>
      <c r="O416" s="9"/>
      <c r="P416" s="9"/>
      <c r="Q416" s="9"/>
      <c r="R416" s="9"/>
      <c r="S416" s="255"/>
      <c r="T416" s="255"/>
      <c r="U416" s="255"/>
      <c r="V416" s="255"/>
      <c r="W416" s="255"/>
      <c r="X416" s="255"/>
      <c r="Y416" s="255"/>
      <c r="Z416" s="255"/>
    </row>
    <row r="417" spans="1:26" hidden="1" outlineLevel="1">
      <c r="A417" s="9"/>
      <c r="B417" s="9"/>
      <c r="C417" s="541"/>
      <c r="D417" s="91">
        <v>3</v>
      </c>
      <c r="E417" s="262">
        <f ca="1">OFFSET('Actual RAB roll forward'!H$73,0,D417-1)-SUM('Actual RAB roll forward'!H457:OFFSET('Actual RAB roll forward'!H457,0,Input!$Y$7-1))</f>
        <v>0</v>
      </c>
      <c r="F417" s="262">
        <f ca="1">IF(A30stdlife="N/A","n/a",IF(E417=0,0,A30stdlife+D417-Input!$Y$7))</f>
        <v>0</v>
      </c>
      <c r="G417" s="258"/>
      <c r="H417" s="541"/>
      <c r="I417" s="91">
        <v>3</v>
      </c>
      <c r="J417" s="262">
        <f ca="1">OFFSET('Tax value roll forward'!H$69,0,I417-1)-SUM('Tax value roll forward'!H453:OFFSET('Tax value roll forward'!H453,0,Input!$Y$7-1))</f>
        <v>0</v>
      </c>
      <c r="K417" s="262">
        <f ca="1">IF(A30taxstdlife="N/A","n/a",IF(J417=0,0,A30taxstdlife+I417-Input!$Y$7))</f>
        <v>0</v>
      </c>
      <c r="L417" s="115"/>
      <c r="M417" s="9"/>
      <c r="N417" s="9"/>
      <c r="O417" s="9"/>
      <c r="P417" s="9"/>
      <c r="Q417" s="9"/>
      <c r="R417" s="9"/>
      <c r="S417" s="255"/>
      <c r="T417" s="255"/>
      <c r="U417" s="255"/>
      <c r="V417" s="255"/>
      <c r="W417" s="255"/>
      <c r="X417" s="255"/>
      <c r="Y417" s="255"/>
      <c r="Z417" s="255"/>
    </row>
    <row r="418" spans="1:26" hidden="1" outlineLevel="1">
      <c r="A418" s="9"/>
      <c r="B418" s="9"/>
      <c r="C418" s="541"/>
      <c r="D418" s="91">
        <v>4</v>
      </c>
      <c r="E418" s="262">
        <f ca="1">OFFSET('Actual RAB roll forward'!H$73,0,D418-1)-SUM('Actual RAB roll forward'!H458:OFFSET('Actual RAB roll forward'!H458,0,Input!$Y$7-1))</f>
        <v>0</v>
      </c>
      <c r="F418" s="262">
        <f ca="1">IF(A30stdlife="N/A","n/a",IF(E418=0,0,A30stdlife+D418-Input!$Y$7))</f>
        <v>0</v>
      </c>
      <c r="G418" s="258"/>
      <c r="H418" s="541"/>
      <c r="I418" s="91">
        <v>4</v>
      </c>
      <c r="J418" s="262">
        <f ca="1">OFFSET('Tax value roll forward'!H$69,0,I418-1)-SUM('Tax value roll forward'!H454:OFFSET('Tax value roll forward'!H454,0,Input!$Y$7-1))</f>
        <v>0</v>
      </c>
      <c r="K418" s="262">
        <f ca="1">IF(A30taxstdlife="N/A","n/a",IF(J418=0,0,A30taxstdlife+I418-Input!$Y$7))</f>
        <v>0</v>
      </c>
      <c r="L418" s="115"/>
      <c r="M418" s="9"/>
      <c r="N418" s="9"/>
      <c r="O418" s="9"/>
      <c r="P418" s="9"/>
      <c r="Q418" s="9"/>
      <c r="R418" s="9"/>
      <c r="S418" s="255"/>
      <c r="T418" s="255"/>
      <c r="U418" s="255"/>
      <c r="V418" s="255"/>
      <c r="W418" s="255"/>
      <c r="X418" s="255"/>
      <c r="Y418" s="255"/>
      <c r="Z418" s="255"/>
    </row>
    <row r="419" spans="1:26" hidden="1" outlineLevel="1">
      <c r="A419" s="9"/>
      <c r="B419" s="9"/>
      <c r="C419" s="541"/>
      <c r="D419" s="91">
        <v>5</v>
      </c>
      <c r="E419" s="262">
        <f ca="1">OFFSET('Actual RAB roll forward'!H$73,0,D419-1)-SUM('Actual RAB roll forward'!H459:OFFSET('Actual RAB roll forward'!H459,0,Input!$Y$7-1))</f>
        <v>0</v>
      </c>
      <c r="F419" s="262">
        <f ca="1">IF(A30stdlife="N/A","n/a",IF(E419=0,0,A30stdlife+D419-Input!$Y$7))</f>
        <v>0</v>
      </c>
      <c r="G419" s="258"/>
      <c r="H419" s="541"/>
      <c r="I419" s="91">
        <v>5</v>
      </c>
      <c r="J419" s="262">
        <f ca="1">OFFSET('Tax value roll forward'!H$69,0,I419-1)-SUM('Tax value roll forward'!H455:OFFSET('Tax value roll forward'!H455,0,Input!$Y$7-1))</f>
        <v>0</v>
      </c>
      <c r="K419" s="262">
        <f ca="1">IF(A30taxstdlife="N/A","n/a",IF(J419=0,0,A30taxstdlife+I419-Input!$Y$7))</f>
        <v>0</v>
      </c>
      <c r="L419" s="115"/>
      <c r="M419" s="9"/>
      <c r="N419" s="9"/>
      <c r="O419" s="9"/>
      <c r="P419" s="9"/>
      <c r="Q419" s="9"/>
      <c r="R419" s="9"/>
      <c r="S419" s="255"/>
      <c r="T419" s="255"/>
      <c r="U419" s="255"/>
      <c r="V419" s="255"/>
      <c r="W419" s="255"/>
      <c r="X419" s="255"/>
      <c r="Y419" s="255"/>
      <c r="Z419" s="255"/>
    </row>
    <row r="420" spans="1:26" hidden="1" outlineLevel="1">
      <c r="A420" s="9"/>
      <c r="B420" s="9"/>
      <c r="C420" s="541"/>
      <c r="D420" s="91">
        <v>6</v>
      </c>
      <c r="E420" s="262">
        <f ca="1">OFFSET('Actual RAB roll forward'!H$73,0,D420-1)-SUM('Actual RAB roll forward'!H460:OFFSET('Actual RAB roll forward'!H460,0,Input!$Y$7-1))</f>
        <v>0</v>
      </c>
      <c r="F420" s="262">
        <f ca="1">IF(A30stdlife="N/A","n/a",IF(E420=0,0,A30stdlife+D420-Input!$Y$7))</f>
        <v>0</v>
      </c>
      <c r="G420" s="258"/>
      <c r="H420" s="541"/>
      <c r="I420" s="91">
        <v>6</v>
      </c>
      <c r="J420" s="262">
        <f ca="1">OFFSET('Tax value roll forward'!H$69,0,I420-1)-SUM('Tax value roll forward'!H456:OFFSET('Tax value roll forward'!H456,0,Input!$Y$7-1))</f>
        <v>0</v>
      </c>
      <c r="K420" s="262">
        <f ca="1">IF(A30taxstdlife="N/A","n/a",IF(J420=0,0,A30taxstdlife+I420-Input!$Y$7))</f>
        <v>0</v>
      </c>
      <c r="L420" s="115"/>
      <c r="M420" s="9"/>
      <c r="N420" s="9"/>
      <c r="O420" s="9"/>
      <c r="P420" s="9"/>
      <c r="Q420" s="9"/>
      <c r="R420" s="9"/>
      <c r="S420" s="255"/>
      <c r="T420" s="255"/>
      <c r="U420" s="255"/>
      <c r="V420" s="255"/>
      <c r="W420" s="255"/>
      <c r="X420" s="255"/>
      <c r="Y420" s="255"/>
      <c r="Z420" s="255"/>
    </row>
    <row r="421" spans="1:26" hidden="1" outlineLevel="1">
      <c r="A421" s="9"/>
      <c r="B421" s="9"/>
      <c r="C421" s="541"/>
      <c r="D421" s="91">
        <v>7</v>
      </c>
      <c r="E421" s="262">
        <f ca="1">OFFSET('Actual RAB roll forward'!H$73,0,D421-1)-SUM('Actual RAB roll forward'!H461:OFFSET('Actual RAB roll forward'!H461,0,Input!$Y$7-1))</f>
        <v>0</v>
      </c>
      <c r="F421" s="262">
        <f ca="1">IF(A30stdlife="N/A","n/a",IF(E421=0,0,A30stdlife+D421-Input!$Y$7))</f>
        <v>0</v>
      </c>
      <c r="G421" s="258"/>
      <c r="H421" s="541"/>
      <c r="I421" s="91">
        <v>7</v>
      </c>
      <c r="J421" s="262">
        <f ca="1">OFFSET('Tax value roll forward'!H$69,0,I421-1)-SUM('Tax value roll forward'!H457:OFFSET('Tax value roll forward'!H457,0,Input!$Y$7-1))</f>
        <v>0</v>
      </c>
      <c r="K421" s="262">
        <f ca="1">IF(A30taxstdlife="N/A","n/a",IF(J421=0,0,A30taxstdlife+I421-Input!$Y$7))</f>
        <v>0</v>
      </c>
      <c r="L421" s="115"/>
      <c r="M421" s="9"/>
      <c r="N421" s="9"/>
      <c r="O421" s="9"/>
      <c r="P421" s="9"/>
      <c r="Q421" s="9"/>
      <c r="R421" s="9"/>
      <c r="S421" s="255"/>
      <c r="T421" s="255"/>
      <c r="U421" s="255"/>
      <c r="V421" s="255"/>
      <c r="W421" s="255"/>
      <c r="X421" s="255"/>
      <c r="Y421" s="255"/>
      <c r="Z421" s="255"/>
    </row>
    <row r="422" spans="1:26" hidden="1" outlineLevel="1">
      <c r="A422" s="9"/>
      <c r="B422" s="9"/>
      <c r="C422" s="541"/>
      <c r="D422" s="91">
        <v>8</v>
      </c>
      <c r="E422" s="262">
        <f ca="1">OFFSET('Actual RAB roll forward'!H$73,0,D422-1)-SUM('Actual RAB roll forward'!H462:OFFSET('Actual RAB roll forward'!H462,0,Input!$Y$7-1))</f>
        <v>0</v>
      </c>
      <c r="F422" s="262">
        <f ca="1">IF(A30stdlife="N/A","n/a",IF(E422=0,0,A30stdlife+D422-Input!$Y$7))</f>
        <v>0</v>
      </c>
      <c r="G422" s="258"/>
      <c r="H422" s="541"/>
      <c r="I422" s="91">
        <v>8</v>
      </c>
      <c r="J422" s="262">
        <f ca="1">OFFSET('Tax value roll forward'!H$69,0,I422-1)-SUM('Tax value roll forward'!H458:OFFSET('Tax value roll forward'!H458,0,Input!$Y$7-1))</f>
        <v>0</v>
      </c>
      <c r="K422" s="262">
        <f ca="1">IF(A30taxstdlife="N/A","n/a",IF(J422=0,0,A30taxstdlife+I422-Input!$Y$7))</f>
        <v>0</v>
      </c>
      <c r="L422" s="115"/>
      <c r="M422" s="9"/>
      <c r="N422" s="9"/>
      <c r="O422" s="9"/>
      <c r="P422" s="9"/>
      <c r="Q422" s="9"/>
      <c r="R422" s="9"/>
      <c r="S422" s="255"/>
      <c r="T422" s="255"/>
      <c r="U422" s="255"/>
      <c r="V422" s="255"/>
      <c r="W422" s="255"/>
      <c r="X422" s="255"/>
      <c r="Y422" s="255"/>
      <c r="Z422" s="255"/>
    </row>
    <row r="423" spans="1:26" hidden="1" outlineLevel="1">
      <c r="A423" s="9"/>
      <c r="B423" s="9"/>
      <c r="C423" s="541"/>
      <c r="D423" s="91">
        <v>9</v>
      </c>
      <c r="E423" s="262">
        <f ca="1">OFFSET('Actual RAB roll forward'!H$73,0,D423-1)-SUM('Actual RAB roll forward'!H463:OFFSET('Actual RAB roll forward'!H463,0,Input!$Y$7-1))</f>
        <v>0</v>
      </c>
      <c r="F423" s="262">
        <f ca="1">IF(A30stdlife="N/A","n/a",IF(E423=0,0,A30stdlife+D423-Input!$Y$7))</f>
        <v>0</v>
      </c>
      <c r="G423" s="258"/>
      <c r="H423" s="541"/>
      <c r="I423" s="91">
        <v>9</v>
      </c>
      <c r="J423" s="262">
        <f ca="1">OFFSET('Tax value roll forward'!H$69,0,I423-1)-SUM('Tax value roll forward'!H459:OFFSET('Tax value roll forward'!H459,0,Input!$Y$7-1))</f>
        <v>0</v>
      </c>
      <c r="K423" s="262">
        <f ca="1">IF(A30taxstdlife="N/A","n/a",IF(J423=0,0,A30taxstdlife+I423-Input!$Y$7))</f>
        <v>0</v>
      </c>
      <c r="L423" s="115"/>
      <c r="M423" s="9"/>
      <c r="N423" s="9"/>
      <c r="O423" s="9"/>
      <c r="P423" s="9"/>
      <c r="Q423" s="9"/>
      <c r="R423" s="9"/>
      <c r="S423" s="255"/>
      <c r="T423" s="255"/>
      <c r="U423" s="255"/>
      <c r="V423" s="255"/>
      <c r="W423" s="255"/>
      <c r="X423" s="255"/>
      <c r="Y423" s="255"/>
      <c r="Z423" s="255"/>
    </row>
    <row r="424" spans="1:26" hidden="1" outlineLevel="1">
      <c r="A424" s="9"/>
      <c r="B424" s="9"/>
      <c r="C424" s="542"/>
      <c r="D424" s="92">
        <v>10</v>
      </c>
      <c r="E424" s="262">
        <f ca="1">OFFSET('Actual RAB roll forward'!H$73,0,D424-1)-SUM('Actual RAB roll forward'!H464:OFFSET('Actual RAB roll forward'!H464,0,Input!$Y$7-1))</f>
        <v>0</v>
      </c>
      <c r="F424" s="262">
        <f ca="1">IF(A30stdlife="N/A","n/a",IF(E424=0,0,A30stdlife+D424-Input!$Y$7))</f>
        <v>0</v>
      </c>
      <c r="G424" s="258"/>
      <c r="H424" s="542"/>
      <c r="I424" s="92">
        <v>10</v>
      </c>
      <c r="J424" s="262">
        <f ca="1">OFFSET('Tax value roll forward'!H$69,0,I424-1)-SUM('Tax value roll forward'!H460:OFFSET('Tax value roll forward'!H460,0,Input!$Y$7-1))</f>
        <v>0</v>
      </c>
      <c r="K424" s="262">
        <f ca="1">IF(A30taxstdlife="N/A","n/a",IF(J424=0,0,A30taxstdlife+I424-Input!$Y$7))</f>
        <v>0</v>
      </c>
      <c r="L424" s="115"/>
      <c r="M424" s="9"/>
      <c r="N424" s="9"/>
      <c r="O424" s="9"/>
      <c r="P424" s="9"/>
      <c r="Q424" s="9"/>
      <c r="R424" s="9"/>
      <c r="S424" s="255"/>
      <c r="T424" s="255"/>
      <c r="U424" s="255"/>
      <c r="V424" s="255"/>
      <c r="W424" s="255"/>
      <c r="X424" s="255"/>
      <c r="Y424" s="255"/>
      <c r="Z424" s="255"/>
    </row>
    <row r="425" spans="1:26" collapsed="1">
      <c r="A425" s="9"/>
      <c r="B425" s="9"/>
      <c r="C425" s="275">
        <f>Asset30</f>
        <v>0</v>
      </c>
      <c r="D425" s="9"/>
      <c r="E425" s="262">
        <f ca="1">SUM(E414:E424)</f>
        <v>0</v>
      </c>
      <c r="F425" s="262">
        <f ca="1">IF(E425=0,0,SUMPRODUCT(E414:E424,F414:F424)/E425)</f>
        <v>0</v>
      </c>
      <c r="G425" s="258"/>
      <c r="H425" s="43"/>
      <c r="J425" s="262">
        <f ca="1">SUM(J414:J424)</f>
        <v>0</v>
      </c>
      <c r="K425" s="262">
        <f ca="1">IF(J425=0,0,SUMPRODUCT(J414:J424,K414:K424)/J425)</f>
        <v>0</v>
      </c>
      <c r="L425" s="115"/>
      <c r="M425" s="9"/>
      <c r="N425" s="9"/>
      <c r="O425" s="9"/>
      <c r="P425" s="9"/>
      <c r="Q425" s="9"/>
      <c r="R425" s="9"/>
      <c r="S425" s="255"/>
      <c r="T425" s="255"/>
      <c r="U425" s="255"/>
      <c r="V425" s="255"/>
      <c r="W425" s="255"/>
      <c r="X425" s="255"/>
      <c r="Y425" s="255"/>
      <c r="Z425" s="255"/>
    </row>
    <row r="426" spans="1:26">
      <c r="A426" s="9"/>
      <c r="B426" s="9"/>
      <c r="C426" s="9"/>
      <c r="D426" s="9"/>
      <c r="E426" s="35"/>
      <c r="F426" s="35"/>
      <c r="G426" s="258"/>
      <c r="H426" s="267"/>
      <c r="I426" s="262"/>
      <c r="J426" s="267"/>
      <c r="K426" s="262"/>
      <c r="L426" s="115"/>
      <c r="M426" s="9"/>
      <c r="N426" s="9"/>
      <c r="O426" s="9"/>
      <c r="P426" s="9"/>
      <c r="Q426" s="9"/>
      <c r="R426" s="9"/>
      <c r="S426" s="255"/>
      <c r="T426" s="255"/>
      <c r="U426" s="255"/>
      <c r="V426" s="255"/>
      <c r="W426" s="255"/>
      <c r="X426" s="255"/>
      <c r="Y426" s="255"/>
      <c r="Z426" s="255"/>
    </row>
    <row r="427" spans="1:26">
      <c r="A427" s="9"/>
      <c r="B427" s="9"/>
      <c r="C427" s="9"/>
      <c r="D427" s="9"/>
      <c r="E427" s="35"/>
      <c r="F427" s="35"/>
      <c r="G427" s="258"/>
      <c r="H427" s="267"/>
      <c r="I427" s="262"/>
      <c r="J427" s="267"/>
      <c r="K427" s="262"/>
      <c r="L427" s="115"/>
      <c r="M427" s="9"/>
      <c r="N427" s="9"/>
      <c r="O427" s="9"/>
      <c r="P427" s="9"/>
      <c r="Q427" s="9"/>
      <c r="R427" s="9"/>
      <c r="S427" s="255"/>
      <c r="T427" s="255"/>
      <c r="U427" s="255"/>
      <c r="V427" s="255"/>
      <c r="W427" s="255"/>
      <c r="X427" s="255"/>
      <c r="Y427" s="255"/>
      <c r="Z427" s="255"/>
    </row>
    <row r="428" spans="1:26">
      <c r="A428" s="9"/>
      <c r="B428" s="9"/>
      <c r="C428" s="9"/>
      <c r="D428" s="9"/>
      <c r="E428" s="35"/>
      <c r="F428" s="35"/>
      <c r="G428" s="258"/>
      <c r="H428" s="267"/>
      <c r="I428" s="262"/>
      <c r="J428" s="267"/>
      <c r="K428" s="262"/>
      <c r="L428" s="115"/>
      <c r="M428" s="9"/>
      <c r="N428" s="9"/>
      <c r="O428" s="9"/>
      <c r="P428" s="9"/>
      <c r="Q428" s="9"/>
      <c r="R428" s="9"/>
      <c r="S428" s="255"/>
      <c r="T428" s="255"/>
      <c r="U428" s="255"/>
      <c r="V428" s="255"/>
      <c r="W428" s="255"/>
      <c r="X428" s="255"/>
      <c r="Y428" s="255"/>
      <c r="Z428" s="255"/>
    </row>
    <row r="429" spans="1:26">
      <c r="A429" s="9"/>
      <c r="B429" s="9"/>
      <c r="C429" s="9"/>
      <c r="D429" s="9"/>
      <c r="E429" s="35"/>
      <c r="F429" s="35"/>
      <c r="G429" s="258"/>
      <c r="H429" s="267"/>
      <c r="I429" s="262"/>
      <c r="J429" s="267"/>
      <c r="K429" s="262"/>
      <c r="L429" s="115"/>
      <c r="M429" s="9"/>
      <c r="N429" s="9"/>
      <c r="O429" s="9"/>
      <c r="P429" s="9"/>
      <c r="Q429" s="9"/>
      <c r="R429" s="9"/>
      <c r="S429" s="255"/>
      <c r="T429" s="255"/>
      <c r="U429" s="255"/>
      <c r="V429" s="255"/>
      <c r="W429" s="255"/>
      <c r="X429" s="255"/>
      <c r="Y429" s="255"/>
      <c r="Z429" s="255"/>
    </row>
    <row r="430" spans="1:26">
      <c r="A430" s="9"/>
      <c r="B430" s="9"/>
      <c r="C430" s="9"/>
      <c r="D430" s="9"/>
      <c r="E430" s="35"/>
      <c r="F430" s="35"/>
      <c r="G430" s="258"/>
      <c r="H430" s="267"/>
      <c r="I430" s="262"/>
      <c r="J430" s="267"/>
      <c r="K430" s="262"/>
      <c r="L430" s="115"/>
      <c r="M430" s="9"/>
      <c r="N430" s="9"/>
      <c r="O430" s="9"/>
      <c r="P430" s="9"/>
      <c r="Q430" s="9"/>
      <c r="R430" s="9"/>
      <c r="S430" s="255"/>
      <c r="T430" s="255"/>
      <c r="U430" s="255"/>
      <c r="V430" s="255"/>
      <c r="W430" s="255"/>
      <c r="X430" s="255"/>
      <c r="Y430" s="255"/>
      <c r="Z430" s="255"/>
    </row>
    <row r="431" spans="1:26">
      <c r="A431" s="9"/>
      <c r="B431" s="9"/>
      <c r="C431" s="9"/>
      <c r="D431" s="9"/>
      <c r="E431" s="35"/>
      <c r="F431" s="35"/>
      <c r="G431" s="258"/>
      <c r="H431" s="267"/>
      <c r="I431" s="262"/>
      <c r="J431" s="267"/>
      <c r="K431" s="262"/>
      <c r="L431" s="115"/>
      <c r="M431" s="9"/>
      <c r="N431" s="9"/>
      <c r="O431" s="9"/>
      <c r="P431" s="9"/>
      <c r="Q431" s="9"/>
      <c r="R431" s="9"/>
      <c r="S431" s="255"/>
      <c r="T431" s="255"/>
      <c r="U431" s="255"/>
      <c r="V431" s="255"/>
      <c r="W431" s="255"/>
      <c r="X431" s="255"/>
      <c r="Y431" s="255"/>
      <c r="Z431" s="255"/>
    </row>
    <row r="432" spans="1:26">
      <c r="A432" s="9"/>
      <c r="B432" s="9"/>
      <c r="C432" s="9"/>
      <c r="D432" s="9"/>
      <c r="E432" s="35"/>
      <c r="F432" s="35"/>
      <c r="G432" s="258"/>
      <c r="H432" s="267"/>
      <c r="I432" s="262"/>
      <c r="J432" s="267"/>
      <c r="K432" s="262"/>
      <c r="L432" s="115"/>
      <c r="M432" s="9"/>
      <c r="N432" s="9"/>
      <c r="O432" s="9"/>
      <c r="P432" s="9"/>
      <c r="Q432" s="9"/>
      <c r="R432" s="9"/>
      <c r="S432" s="255"/>
      <c r="T432" s="255"/>
      <c r="U432" s="255"/>
      <c r="V432" s="255"/>
      <c r="W432" s="255"/>
      <c r="X432" s="255"/>
      <c r="Y432" s="255"/>
      <c r="Z432" s="255"/>
    </row>
    <row r="433" spans="1:26">
      <c r="A433" s="9"/>
      <c r="B433" s="9"/>
      <c r="C433" s="9"/>
      <c r="D433" s="9"/>
      <c r="E433" s="35"/>
      <c r="F433" s="35"/>
      <c r="G433" s="258"/>
      <c r="H433" s="267"/>
      <c r="I433" s="262"/>
      <c r="J433" s="267"/>
      <c r="K433" s="262"/>
      <c r="L433" s="115"/>
      <c r="M433" s="9"/>
      <c r="N433" s="9"/>
      <c r="O433" s="9"/>
      <c r="P433" s="9"/>
      <c r="Q433" s="9"/>
      <c r="R433" s="9"/>
      <c r="S433" s="255"/>
      <c r="T433" s="255"/>
      <c r="U433" s="255"/>
      <c r="V433" s="255"/>
      <c r="W433" s="255"/>
      <c r="X433" s="255"/>
      <c r="Y433" s="255"/>
      <c r="Z433" s="255"/>
    </row>
    <row r="434" spans="1:26">
      <c r="A434" s="9"/>
      <c r="B434" s="9"/>
      <c r="C434" s="9"/>
      <c r="D434" s="9"/>
      <c r="E434" s="35"/>
      <c r="F434" s="35"/>
      <c r="G434" s="258"/>
      <c r="H434" s="267"/>
      <c r="I434" s="262"/>
      <c r="J434" s="267"/>
      <c r="K434" s="262"/>
      <c r="L434" s="115"/>
      <c r="M434" s="9"/>
      <c r="N434" s="9"/>
      <c r="O434" s="9"/>
      <c r="P434" s="9"/>
      <c r="Q434" s="9"/>
      <c r="R434" s="9"/>
      <c r="S434" s="255"/>
      <c r="T434" s="255"/>
      <c r="U434" s="255"/>
      <c r="V434" s="255"/>
      <c r="W434" s="255"/>
      <c r="X434" s="255"/>
      <c r="Y434" s="255"/>
      <c r="Z434" s="255"/>
    </row>
    <row r="435" spans="1:26">
      <c r="A435" s="9"/>
      <c r="B435" s="9"/>
      <c r="C435" s="9"/>
      <c r="D435" s="9"/>
      <c r="E435" s="35"/>
      <c r="F435" s="35"/>
      <c r="G435" s="258"/>
      <c r="H435" s="267"/>
      <c r="I435" s="262"/>
      <c r="J435" s="267"/>
      <c r="K435" s="262"/>
      <c r="L435" s="115"/>
      <c r="M435" s="9"/>
      <c r="N435" s="9"/>
      <c r="O435" s="9"/>
      <c r="P435" s="9"/>
      <c r="Q435" s="9"/>
      <c r="R435" s="9"/>
      <c r="S435" s="255"/>
      <c r="T435" s="255"/>
      <c r="U435" s="255"/>
      <c r="V435" s="255"/>
      <c r="W435" s="255"/>
      <c r="X435" s="255"/>
      <c r="Y435" s="255"/>
      <c r="Z435" s="255"/>
    </row>
    <row r="436" spans="1:26">
      <c r="A436" s="9"/>
      <c r="B436" s="9"/>
      <c r="C436" s="9"/>
      <c r="D436" s="9"/>
      <c r="E436" s="35"/>
      <c r="F436" s="35"/>
      <c r="G436" s="258"/>
      <c r="H436" s="267"/>
      <c r="I436" s="262"/>
      <c r="J436" s="267"/>
      <c r="K436" s="262"/>
      <c r="L436" s="115"/>
      <c r="M436" s="9"/>
      <c r="N436" s="9"/>
      <c r="O436" s="9"/>
      <c r="P436" s="9"/>
      <c r="Q436" s="9"/>
      <c r="R436" s="9"/>
      <c r="S436" s="255"/>
      <c r="T436" s="255"/>
      <c r="U436" s="255"/>
      <c r="V436" s="255"/>
      <c r="W436" s="255"/>
      <c r="X436" s="255"/>
      <c r="Y436" s="255"/>
      <c r="Z436" s="255"/>
    </row>
    <row r="437" spans="1:26">
      <c r="A437" s="9"/>
      <c r="B437" s="9"/>
      <c r="C437" s="9"/>
      <c r="D437" s="9"/>
      <c r="E437" s="35"/>
      <c r="F437" s="35"/>
      <c r="G437" s="258"/>
      <c r="H437" s="267"/>
      <c r="I437" s="262"/>
      <c r="J437" s="267"/>
      <c r="K437" s="262"/>
      <c r="L437" s="115"/>
      <c r="M437" s="9"/>
      <c r="N437" s="9"/>
      <c r="O437" s="9"/>
      <c r="P437" s="9"/>
      <c r="Q437" s="9"/>
      <c r="R437" s="9"/>
      <c r="S437" s="255"/>
      <c r="T437" s="255"/>
      <c r="U437" s="255"/>
      <c r="V437" s="255"/>
      <c r="W437" s="255"/>
      <c r="X437" s="255"/>
      <c r="Y437" s="255"/>
      <c r="Z437" s="255"/>
    </row>
    <row r="438" spans="1:26">
      <c r="A438" s="9"/>
      <c r="B438" s="9"/>
      <c r="C438" s="9"/>
      <c r="D438" s="9"/>
      <c r="E438" s="35"/>
      <c r="F438" s="35"/>
      <c r="G438" s="258"/>
      <c r="H438" s="267"/>
      <c r="I438" s="262"/>
      <c r="J438" s="267"/>
      <c r="K438" s="262"/>
      <c r="L438" s="115"/>
      <c r="M438" s="9"/>
      <c r="N438" s="9"/>
      <c r="O438" s="9"/>
      <c r="P438" s="9"/>
      <c r="Q438" s="9"/>
      <c r="R438" s="9"/>
      <c r="S438" s="255"/>
      <c r="T438" s="255"/>
      <c r="U438" s="255"/>
      <c r="V438" s="255"/>
      <c r="W438" s="255"/>
      <c r="X438" s="255"/>
      <c r="Y438" s="255"/>
      <c r="Z438" s="255"/>
    </row>
    <row r="439" spans="1:26">
      <c r="A439" s="9"/>
      <c r="B439" s="9"/>
      <c r="C439" s="9"/>
      <c r="D439" s="9"/>
      <c r="E439" s="35"/>
      <c r="F439" s="35"/>
      <c r="G439" s="258"/>
      <c r="H439" s="267"/>
      <c r="I439" s="262"/>
      <c r="J439" s="267"/>
      <c r="K439" s="262"/>
      <c r="L439" s="115"/>
      <c r="M439" s="9"/>
      <c r="N439" s="9"/>
      <c r="O439" s="9"/>
      <c r="P439" s="9"/>
      <c r="Q439" s="9"/>
      <c r="R439" s="9"/>
      <c r="S439" s="255"/>
      <c r="T439" s="255"/>
      <c r="U439" s="255"/>
      <c r="V439" s="255"/>
      <c r="W439" s="255"/>
      <c r="X439" s="255"/>
      <c r="Y439" s="255"/>
      <c r="Z439" s="255"/>
    </row>
    <row r="440" spans="1:26">
      <c r="A440" s="9"/>
      <c r="B440" s="9"/>
      <c r="C440" s="9"/>
      <c r="D440" s="9"/>
      <c r="E440" s="35"/>
      <c r="F440" s="35"/>
      <c r="G440" s="258"/>
      <c r="H440" s="267"/>
      <c r="I440" s="262"/>
      <c r="J440" s="267"/>
      <c r="K440" s="262"/>
      <c r="L440" s="115"/>
      <c r="M440" s="9"/>
      <c r="N440" s="9"/>
      <c r="O440" s="9"/>
      <c r="P440" s="9"/>
      <c r="Q440" s="9"/>
      <c r="R440" s="9"/>
      <c r="S440" s="255"/>
      <c r="T440" s="255"/>
      <c r="U440" s="255"/>
      <c r="V440" s="255"/>
      <c r="W440" s="255"/>
      <c r="X440" s="255"/>
      <c r="Y440" s="255"/>
      <c r="Z440" s="255"/>
    </row>
    <row r="441" spans="1:26">
      <c r="A441" s="9"/>
      <c r="B441" s="9"/>
      <c r="C441" s="9"/>
      <c r="D441" s="9"/>
      <c r="E441" s="35"/>
      <c r="F441" s="35"/>
      <c r="G441" s="258"/>
      <c r="H441" s="267"/>
      <c r="I441" s="262"/>
      <c r="J441" s="267"/>
      <c r="K441" s="262"/>
      <c r="L441" s="115"/>
      <c r="M441" s="9"/>
      <c r="N441" s="9"/>
      <c r="O441" s="9"/>
      <c r="P441" s="9"/>
      <c r="Q441" s="9"/>
      <c r="R441" s="9"/>
      <c r="S441" s="255"/>
      <c r="T441" s="255"/>
      <c r="U441" s="255"/>
      <c r="V441" s="255"/>
      <c r="W441" s="255"/>
      <c r="X441" s="255"/>
      <c r="Y441" s="255"/>
      <c r="Z441" s="255"/>
    </row>
    <row r="442" spans="1:26">
      <c r="A442" s="9"/>
      <c r="B442" s="9"/>
      <c r="C442" s="9"/>
      <c r="D442" s="9"/>
      <c r="E442" s="35"/>
      <c r="F442" s="35"/>
      <c r="G442" s="258"/>
      <c r="H442" s="267"/>
      <c r="I442" s="262"/>
      <c r="J442" s="267"/>
      <c r="K442" s="262"/>
      <c r="L442" s="115"/>
      <c r="M442" s="9"/>
      <c r="N442" s="9"/>
      <c r="O442" s="9"/>
      <c r="P442" s="9"/>
      <c r="Q442" s="9"/>
      <c r="R442" s="9"/>
      <c r="S442" s="255"/>
      <c r="T442" s="255"/>
      <c r="U442" s="255"/>
      <c r="V442" s="255"/>
      <c r="W442" s="255"/>
      <c r="X442" s="255"/>
      <c r="Y442" s="255"/>
      <c r="Z442" s="255"/>
    </row>
    <row r="443" spans="1:26">
      <c r="A443" s="9"/>
      <c r="B443" s="9"/>
      <c r="C443" s="9"/>
      <c r="D443" s="9"/>
      <c r="E443" s="35"/>
      <c r="F443" s="35"/>
      <c r="G443" s="258"/>
      <c r="H443" s="267"/>
      <c r="I443" s="262"/>
      <c r="J443" s="267"/>
      <c r="K443" s="262"/>
      <c r="L443" s="115"/>
      <c r="M443" s="9"/>
      <c r="N443" s="9"/>
      <c r="O443" s="9"/>
      <c r="P443" s="9"/>
      <c r="Q443" s="9"/>
      <c r="R443" s="9"/>
      <c r="S443" s="255"/>
      <c r="T443" s="255"/>
      <c r="U443" s="255"/>
      <c r="V443" s="255"/>
      <c r="W443" s="255"/>
      <c r="X443" s="255"/>
      <c r="Y443" s="255"/>
      <c r="Z443" s="255"/>
    </row>
    <row r="444" spans="1:26">
      <c r="A444" s="9"/>
      <c r="B444" s="9"/>
      <c r="C444" s="9"/>
      <c r="D444" s="9"/>
      <c r="E444" s="35"/>
      <c r="F444" s="35"/>
      <c r="G444" s="258"/>
      <c r="H444" s="267"/>
      <c r="I444" s="262"/>
      <c r="J444" s="267"/>
      <c r="K444" s="262"/>
      <c r="L444" s="115"/>
      <c r="M444" s="9"/>
      <c r="N444" s="9"/>
      <c r="O444" s="9"/>
      <c r="P444" s="9"/>
      <c r="Q444" s="9"/>
      <c r="R444" s="9"/>
      <c r="S444" s="255"/>
      <c r="T444" s="255"/>
      <c r="U444" s="255"/>
      <c r="V444" s="255"/>
      <c r="W444" s="255"/>
      <c r="X444" s="255"/>
      <c r="Y444" s="255"/>
      <c r="Z444" s="255"/>
    </row>
    <row r="445" spans="1:26">
      <c r="A445" s="9"/>
      <c r="B445" s="9"/>
      <c r="C445" s="9"/>
      <c r="D445" s="9"/>
      <c r="E445" s="35"/>
      <c r="F445" s="35"/>
      <c r="G445" s="258"/>
      <c r="H445" s="267"/>
      <c r="I445" s="262"/>
      <c r="J445" s="267"/>
      <c r="K445" s="262"/>
      <c r="L445" s="115"/>
      <c r="M445" s="9"/>
      <c r="N445" s="9"/>
      <c r="O445" s="9"/>
      <c r="P445" s="9"/>
      <c r="Q445" s="9"/>
      <c r="R445" s="9"/>
      <c r="S445" s="255"/>
      <c r="T445" s="255"/>
      <c r="U445" s="255"/>
      <c r="V445" s="255"/>
      <c r="W445" s="255"/>
      <c r="X445" s="255"/>
      <c r="Y445" s="255"/>
      <c r="Z445" s="255"/>
    </row>
    <row r="446" spans="1:26">
      <c r="A446" s="9"/>
      <c r="B446" s="9"/>
      <c r="C446" s="9"/>
      <c r="D446" s="9"/>
      <c r="E446" s="35"/>
      <c r="F446" s="35"/>
      <c r="G446" s="258"/>
      <c r="H446" s="267"/>
      <c r="I446" s="262"/>
      <c r="J446" s="267"/>
      <c r="K446" s="262"/>
      <c r="L446" s="115"/>
      <c r="M446" s="9"/>
      <c r="N446" s="9"/>
      <c r="O446" s="9"/>
      <c r="P446" s="9"/>
      <c r="Q446" s="9"/>
      <c r="R446" s="9"/>
      <c r="S446" s="255"/>
      <c r="T446" s="255"/>
      <c r="U446" s="255"/>
      <c r="V446" s="255"/>
      <c r="W446" s="255"/>
      <c r="X446" s="255"/>
      <c r="Y446" s="255"/>
      <c r="Z446" s="255"/>
    </row>
    <row r="447" spans="1:26">
      <c r="A447" s="9"/>
      <c r="B447" s="9"/>
      <c r="C447" s="9"/>
      <c r="D447" s="9"/>
      <c r="E447" s="35"/>
      <c r="F447" s="35"/>
      <c r="G447" s="258"/>
      <c r="H447" s="267"/>
      <c r="I447" s="262"/>
      <c r="J447" s="267"/>
      <c r="K447" s="262"/>
      <c r="L447" s="115"/>
      <c r="M447" s="9"/>
      <c r="N447" s="9"/>
      <c r="O447" s="9"/>
      <c r="P447" s="9"/>
      <c r="Q447" s="9"/>
      <c r="R447" s="9"/>
      <c r="S447" s="255"/>
      <c r="T447" s="255"/>
      <c r="U447" s="255"/>
      <c r="V447" s="255"/>
      <c r="W447" s="255"/>
      <c r="X447" s="255"/>
      <c r="Y447" s="255"/>
      <c r="Z447" s="255"/>
    </row>
    <row r="448" spans="1:26">
      <c r="A448" s="9"/>
      <c r="B448" s="9"/>
      <c r="C448" s="9"/>
      <c r="D448" s="9"/>
      <c r="E448" s="35"/>
      <c r="F448" s="35"/>
      <c r="G448" s="258"/>
      <c r="H448" s="267"/>
      <c r="I448" s="262"/>
      <c r="J448" s="267"/>
      <c r="K448" s="262"/>
      <c r="L448" s="115"/>
      <c r="M448" s="9"/>
      <c r="N448" s="9"/>
      <c r="O448" s="9"/>
      <c r="P448" s="9"/>
      <c r="Q448" s="9"/>
      <c r="R448" s="9"/>
      <c r="S448" s="255"/>
      <c r="T448" s="255"/>
      <c r="U448" s="255"/>
      <c r="V448" s="255"/>
      <c r="W448" s="255"/>
      <c r="X448" s="255"/>
      <c r="Y448" s="255"/>
      <c r="Z448" s="255"/>
    </row>
    <row r="449" spans="1:26">
      <c r="A449" s="9"/>
      <c r="B449" s="9"/>
      <c r="C449" s="9"/>
      <c r="D449" s="9"/>
      <c r="E449" s="35"/>
      <c r="F449" s="35"/>
      <c r="G449" s="258"/>
      <c r="H449" s="267"/>
      <c r="I449" s="262"/>
      <c r="J449" s="267"/>
      <c r="K449" s="262"/>
      <c r="L449" s="115"/>
      <c r="M449" s="9"/>
      <c r="N449" s="9"/>
      <c r="O449" s="9"/>
      <c r="P449" s="9"/>
      <c r="Q449" s="9"/>
      <c r="R449" s="9"/>
      <c r="S449" s="255"/>
      <c r="T449" s="255"/>
      <c r="U449" s="255"/>
      <c r="V449" s="255"/>
      <c r="W449" s="255"/>
      <c r="X449" s="255"/>
      <c r="Y449" s="255"/>
      <c r="Z449" s="255"/>
    </row>
    <row r="450" spans="1:26">
      <c r="A450" s="9"/>
      <c r="B450" s="9"/>
      <c r="C450" s="9"/>
      <c r="D450" s="9"/>
      <c r="E450" s="35"/>
      <c r="F450" s="35"/>
      <c r="G450" s="258"/>
      <c r="H450" s="267"/>
      <c r="I450" s="262"/>
      <c r="J450" s="267"/>
      <c r="K450" s="262"/>
      <c r="L450" s="115"/>
      <c r="M450" s="9"/>
      <c r="N450" s="9"/>
      <c r="O450" s="9"/>
      <c r="P450" s="9"/>
      <c r="Q450" s="9"/>
      <c r="R450" s="9"/>
      <c r="S450" s="255"/>
      <c r="T450" s="255"/>
      <c r="U450" s="255"/>
      <c r="V450" s="255"/>
      <c r="W450" s="255"/>
      <c r="X450" s="255"/>
      <c r="Y450" s="255"/>
      <c r="Z450" s="255"/>
    </row>
    <row r="451" spans="1:26">
      <c r="A451" s="9"/>
      <c r="B451" s="9"/>
      <c r="C451" s="9"/>
      <c r="D451" s="9"/>
      <c r="E451" s="35"/>
      <c r="F451" s="35"/>
      <c r="G451" s="258"/>
      <c r="H451" s="267"/>
      <c r="I451" s="262"/>
      <c r="J451" s="267"/>
      <c r="K451" s="262"/>
      <c r="L451" s="115"/>
      <c r="M451" s="9"/>
      <c r="N451" s="9"/>
      <c r="O451" s="9"/>
      <c r="P451" s="9"/>
      <c r="Q451" s="9"/>
      <c r="R451" s="9"/>
      <c r="S451" s="255"/>
      <c r="T451" s="255"/>
      <c r="U451" s="255"/>
      <c r="V451" s="255"/>
      <c r="W451" s="255"/>
      <c r="X451" s="255"/>
      <c r="Y451" s="255"/>
      <c r="Z451" s="255"/>
    </row>
    <row r="452" spans="1:26">
      <c r="A452" s="9"/>
      <c r="B452" s="9"/>
      <c r="C452" s="9"/>
      <c r="D452" s="9"/>
      <c r="E452" s="35"/>
      <c r="F452" s="35"/>
      <c r="G452" s="258"/>
      <c r="H452" s="267"/>
      <c r="I452" s="262"/>
      <c r="J452" s="267"/>
      <c r="K452" s="262"/>
      <c r="L452" s="115"/>
      <c r="M452" s="9"/>
      <c r="N452" s="9"/>
      <c r="O452" s="9"/>
      <c r="P452" s="9"/>
      <c r="Q452" s="9"/>
      <c r="R452" s="9"/>
      <c r="S452" s="255"/>
      <c r="T452" s="255"/>
      <c r="U452" s="255"/>
      <c r="V452" s="255"/>
      <c r="W452" s="255"/>
      <c r="X452" s="255"/>
      <c r="Y452" s="255"/>
      <c r="Z452" s="255"/>
    </row>
    <row r="453" spans="1:26">
      <c r="A453" s="9"/>
      <c r="B453" s="9"/>
      <c r="C453" s="9"/>
      <c r="D453" s="9"/>
      <c r="E453" s="35"/>
      <c r="F453" s="35"/>
      <c r="G453" s="258"/>
      <c r="H453" s="267"/>
      <c r="I453" s="262"/>
      <c r="J453" s="267"/>
      <c r="K453" s="262"/>
      <c r="L453" s="115"/>
      <c r="M453" s="9"/>
      <c r="N453" s="9"/>
      <c r="O453" s="9"/>
      <c r="P453" s="9"/>
      <c r="Q453" s="9"/>
      <c r="R453" s="9"/>
      <c r="S453" s="255"/>
      <c r="T453" s="255"/>
      <c r="U453" s="255"/>
      <c r="V453" s="255"/>
      <c r="W453" s="255"/>
      <c r="X453" s="255"/>
      <c r="Y453" s="255"/>
      <c r="Z453" s="255"/>
    </row>
    <row r="454" spans="1:26">
      <c r="A454" s="9"/>
      <c r="B454" s="9"/>
      <c r="C454" s="9"/>
      <c r="D454" s="9"/>
      <c r="E454" s="35"/>
      <c r="F454" s="35"/>
      <c r="G454" s="258"/>
      <c r="H454" s="267"/>
      <c r="I454" s="262"/>
      <c r="J454" s="267"/>
      <c r="K454" s="262"/>
      <c r="L454" s="115"/>
      <c r="M454" s="9"/>
      <c r="N454" s="9"/>
      <c r="O454" s="9"/>
      <c r="P454" s="9"/>
      <c r="Q454" s="9"/>
      <c r="R454" s="9"/>
      <c r="S454" s="255"/>
      <c r="T454" s="255"/>
      <c r="U454" s="255"/>
      <c r="V454" s="255"/>
      <c r="W454" s="255"/>
      <c r="X454" s="255"/>
      <c r="Y454" s="255"/>
      <c r="Z454" s="255"/>
    </row>
    <row r="455" spans="1:26">
      <c r="A455" s="9"/>
      <c r="B455" s="9"/>
      <c r="C455" s="9"/>
      <c r="D455" s="9"/>
      <c r="E455" s="35"/>
      <c r="F455" s="35"/>
      <c r="G455" s="258"/>
      <c r="H455" s="267"/>
      <c r="I455" s="262"/>
      <c r="J455" s="267"/>
      <c r="K455" s="262"/>
      <c r="L455" s="115"/>
      <c r="M455" s="9"/>
      <c r="N455" s="9"/>
      <c r="O455" s="9"/>
      <c r="P455" s="9"/>
      <c r="Q455" s="9"/>
      <c r="R455" s="9"/>
      <c r="S455" s="255"/>
      <c r="T455" s="255"/>
      <c r="U455" s="255"/>
      <c r="V455" s="255"/>
      <c r="W455" s="255"/>
      <c r="X455" s="255"/>
      <c r="Y455" s="255"/>
      <c r="Z455" s="255"/>
    </row>
    <row r="456" spans="1:26">
      <c r="A456" s="9"/>
      <c r="B456" s="9"/>
      <c r="C456" s="9"/>
      <c r="D456" s="9"/>
      <c r="E456" s="35"/>
      <c r="F456" s="35"/>
      <c r="G456" s="258"/>
      <c r="H456" s="267"/>
      <c r="I456" s="262"/>
      <c r="J456" s="267"/>
      <c r="K456" s="262"/>
      <c r="L456" s="115"/>
      <c r="M456" s="9"/>
      <c r="N456" s="9"/>
      <c r="O456" s="9"/>
      <c r="P456" s="9"/>
      <c r="Q456" s="9"/>
      <c r="R456" s="9"/>
      <c r="S456" s="255"/>
      <c r="T456" s="255"/>
      <c r="U456" s="255"/>
      <c r="V456" s="255"/>
      <c r="W456" s="255"/>
      <c r="X456" s="255"/>
      <c r="Y456" s="255"/>
      <c r="Z456" s="255"/>
    </row>
    <row r="457" spans="1:26">
      <c r="A457" s="9"/>
      <c r="B457" s="9"/>
      <c r="C457" s="9"/>
      <c r="D457" s="9"/>
      <c r="E457" s="35"/>
      <c r="F457" s="35"/>
      <c r="G457" s="258"/>
      <c r="H457" s="267"/>
      <c r="I457" s="262"/>
      <c r="J457" s="267"/>
      <c r="K457" s="262"/>
      <c r="L457" s="115"/>
      <c r="M457" s="9"/>
      <c r="N457" s="9"/>
      <c r="O457" s="9"/>
      <c r="P457" s="9"/>
      <c r="Q457" s="9"/>
      <c r="R457" s="9"/>
      <c r="S457" s="255"/>
      <c r="T457" s="255"/>
      <c r="U457" s="255"/>
      <c r="V457" s="255"/>
      <c r="W457" s="255"/>
      <c r="X457" s="255"/>
      <c r="Y457" s="255"/>
      <c r="Z457" s="255"/>
    </row>
    <row r="458" spans="1:26">
      <c r="A458" s="9"/>
      <c r="B458" s="9"/>
      <c r="C458" s="9"/>
      <c r="D458" s="9"/>
      <c r="E458" s="35"/>
      <c r="F458" s="35"/>
      <c r="G458" s="258"/>
      <c r="H458" s="267"/>
      <c r="I458" s="262"/>
      <c r="J458" s="267"/>
      <c r="K458" s="262"/>
      <c r="L458" s="115"/>
      <c r="M458" s="9"/>
      <c r="N458" s="9"/>
      <c r="O458" s="9"/>
      <c r="P458" s="9"/>
      <c r="Q458" s="9"/>
      <c r="R458" s="9"/>
      <c r="S458" s="255"/>
      <c r="T458" s="255"/>
      <c r="U458" s="255"/>
      <c r="V458" s="255"/>
      <c r="W458" s="255"/>
      <c r="X458" s="255"/>
      <c r="Y458" s="255"/>
      <c r="Z458" s="255"/>
    </row>
    <row r="459" spans="1:26">
      <c r="A459" s="9"/>
      <c r="B459" s="9"/>
      <c r="C459" s="9"/>
      <c r="D459" s="9"/>
      <c r="E459" s="35"/>
      <c r="F459" s="35"/>
      <c r="G459" s="258"/>
      <c r="H459" s="267"/>
      <c r="I459" s="262"/>
      <c r="J459" s="267"/>
      <c r="K459" s="262"/>
      <c r="L459" s="115"/>
      <c r="M459" s="9"/>
      <c r="N459" s="9"/>
      <c r="O459" s="9"/>
      <c r="P459" s="9"/>
      <c r="Q459" s="9"/>
      <c r="R459" s="9"/>
      <c r="S459" s="255"/>
      <c r="T459" s="255"/>
      <c r="U459" s="255"/>
      <c r="V459" s="255"/>
      <c r="W459" s="255"/>
      <c r="X459" s="255"/>
      <c r="Y459" s="255"/>
      <c r="Z459" s="255"/>
    </row>
    <row r="460" spans="1:26">
      <c r="A460" s="9"/>
      <c r="B460" s="9"/>
      <c r="C460" s="9"/>
      <c r="D460" s="9"/>
      <c r="E460" s="35"/>
      <c r="F460" s="35"/>
      <c r="G460" s="258"/>
      <c r="H460" s="267"/>
      <c r="I460" s="262"/>
      <c r="J460" s="267"/>
      <c r="K460" s="262"/>
      <c r="L460" s="115"/>
      <c r="M460" s="9"/>
      <c r="N460" s="9"/>
      <c r="O460" s="9"/>
      <c r="P460" s="9"/>
      <c r="Q460" s="9"/>
      <c r="R460" s="9"/>
      <c r="S460" s="255"/>
      <c r="T460" s="255"/>
      <c r="U460" s="255"/>
      <c r="V460" s="255"/>
      <c r="W460" s="255"/>
      <c r="X460" s="255"/>
      <c r="Y460" s="255"/>
      <c r="Z460" s="255"/>
    </row>
    <row r="461" spans="1:26">
      <c r="A461" s="9"/>
      <c r="B461" s="9"/>
      <c r="C461" s="9"/>
      <c r="D461" s="9"/>
      <c r="E461" s="35"/>
      <c r="F461" s="35"/>
      <c r="G461" s="258"/>
      <c r="H461" s="267"/>
      <c r="I461" s="262"/>
      <c r="J461" s="267"/>
      <c r="K461" s="262"/>
      <c r="L461" s="115"/>
      <c r="M461" s="9"/>
      <c r="N461" s="9"/>
      <c r="O461" s="9"/>
      <c r="P461" s="9"/>
      <c r="Q461" s="9"/>
      <c r="R461" s="9"/>
      <c r="S461" s="255"/>
      <c r="T461" s="255"/>
      <c r="U461" s="255"/>
      <c r="V461" s="255"/>
      <c r="W461" s="255"/>
      <c r="X461" s="255"/>
      <c r="Y461" s="255"/>
      <c r="Z461" s="255"/>
    </row>
    <row r="462" spans="1:26">
      <c r="A462" s="9"/>
      <c r="B462" s="9"/>
      <c r="C462" s="9"/>
      <c r="D462" s="9"/>
      <c r="E462" s="35"/>
      <c r="F462" s="35"/>
      <c r="G462" s="258"/>
      <c r="H462" s="267"/>
      <c r="I462" s="262"/>
      <c r="J462" s="267"/>
      <c r="K462" s="262"/>
      <c r="L462" s="115"/>
      <c r="M462" s="9"/>
      <c r="N462" s="9"/>
      <c r="O462" s="9"/>
      <c r="P462" s="9"/>
      <c r="Q462" s="9"/>
      <c r="R462" s="9"/>
      <c r="S462" s="255"/>
      <c r="T462" s="255"/>
      <c r="U462" s="255"/>
      <c r="V462" s="255"/>
      <c r="W462" s="255"/>
      <c r="X462" s="255"/>
      <c r="Y462" s="255"/>
      <c r="Z462" s="255"/>
    </row>
    <row r="463" spans="1:26">
      <c r="A463" s="9"/>
      <c r="B463" s="9"/>
      <c r="C463" s="9"/>
      <c r="D463" s="9"/>
      <c r="E463" s="35"/>
      <c r="F463" s="35"/>
      <c r="G463" s="258"/>
      <c r="H463" s="267"/>
      <c r="I463" s="262"/>
      <c r="J463" s="267"/>
      <c r="K463" s="262"/>
      <c r="L463" s="115"/>
      <c r="M463" s="9"/>
      <c r="N463" s="9"/>
      <c r="O463" s="9"/>
      <c r="P463" s="9"/>
      <c r="Q463" s="9"/>
      <c r="R463" s="9"/>
      <c r="S463" s="255"/>
      <c r="T463" s="255"/>
      <c r="U463" s="255"/>
      <c r="V463" s="255"/>
      <c r="W463" s="255"/>
      <c r="X463" s="255"/>
      <c r="Y463" s="255"/>
      <c r="Z463" s="255"/>
    </row>
    <row r="464" spans="1:26">
      <c r="A464" s="9"/>
      <c r="B464" s="9"/>
      <c r="C464" s="9"/>
      <c r="D464" s="9"/>
      <c r="E464" s="35"/>
      <c r="F464" s="35"/>
      <c r="G464" s="258"/>
      <c r="H464" s="267"/>
      <c r="I464" s="262"/>
      <c r="J464" s="267"/>
      <c r="K464" s="262"/>
      <c r="L464" s="115"/>
      <c r="M464" s="9"/>
      <c r="N464" s="9"/>
      <c r="O464" s="9"/>
      <c r="P464" s="9"/>
      <c r="Q464" s="9"/>
      <c r="R464" s="9"/>
      <c r="S464" s="255"/>
      <c r="T464" s="255"/>
      <c r="U464" s="255"/>
      <c r="V464" s="255"/>
      <c r="W464" s="255"/>
      <c r="X464" s="255"/>
      <c r="Y464" s="255"/>
      <c r="Z464" s="255"/>
    </row>
    <row r="465" spans="1:26">
      <c r="A465" s="9"/>
      <c r="B465" s="9"/>
      <c r="C465" s="9"/>
      <c r="D465" s="9"/>
      <c r="E465" s="35"/>
      <c r="F465" s="35"/>
      <c r="G465" s="258"/>
      <c r="H465" s="267"/>
      <c r="I465" s="262"/>
      <c r="J465" s="267"/>
      <c r="K465" s="262"/>
      <c r="L465" s="115"/>
      <c r="M465" s="9"/>
      <c r="N465" s="9"/>
      <c r="O465" s="9"/>
      <c r="P465" s="9"/>
      <c r="Q465" s="9"/>
      <c r="R465" s="9"/>
      <c r="S465" s="255"/>
      <c r="T465" s="255"/>
      <c r="U465" s="255"/>
      <c r="V465" s="255"/>
      <c r="W465" s="255"/>
      <c r="X465" s="255"/>
      <c r="Y465" s="255"/>
      <c r="Z465" s="255"/>
    </row>
    <row r="466" spans="1:26">
      <c r="A466" s="9"/>
      <c r="B466" s="9"/>
      <c r="C466" s="9"/>
      <c r="D466" s="9"/>
      <c r="E466" s="35"/>
      <c r="F466" s="35"/>
      <c r="G466" s="258"/>
      <c r="H466" s="267"/>
      <c r="I466" s="262"/>
      <c r="J466" s="267"/>
      <c r="K466" s="262"/>
      <c r="L466" s="115"/>
      <c r="M466" s="9"/>
      <c r="N466" s="9"/>
      <c r="O466" s="9"/>
      <c r="P466" s="9"/>
      <c r="Q466" s="9"/>
      <c r="R466" s="9"/>
      <c r="S466" s="255"/>
      <c r="T466" s="255"/>
      <c r="U466" s="255"/>
      <c r="V466" s="255"/>
      <c r="W466" s="255"/>
      <c r="X466" s="255"/>
      <c r="Y466" s="255"/>
      <c r="Z466" s="255"/>
    </row>
    <row r="467" spans="1:26">
      <c r="A467" s="9"/>
      <c r="B467" s="9"/>
      <c r="C467" s="9"/>
      <c r="D467" s="9"/>
      <c r="E467" s="35"/>
      <c r="F467" s="35"/>
      <c r="G467" s="258"/>
      <c r="H467" s="267"/>
      <c r="I467" s="262"/>
      <c r="J467" s="267"/>
      <c r="K467" s="262"/>
      <c r="L467" s="115"/>
      <c r="M467" s="9"/>
      <c r="N467" s="9"/>
      <c r="O467" s="9"/>
      <c r="P467" s="9"/>
      <c r="Q467" s="9"/>
      <c r="R467" s="9"/>
      <c r="S467" s="255"/>
      <c r="T467" s="255"/>
      <c r="U467" s="255"/>
      <c r="V467" s="255"/>
      <c r="W467" s="255"/>
      <c r="X467" s="255"/>
      <c r="Y467" s="255"/>
      <c r="Z467" s="255"/>
    </row>
    <row r="468" spans="1:26">
      <c r="A468" s="9"/>
      <c r="B468" s="9"/>
      <c r="C468" s="9"/>
      <c r="D468" s="9"/>
      <c r="E468" s="35"/>
      <c r="F468" s="35"/>
      <c r="G468" s="258"/>
      <c r="H468" s="267"/>
      <c r="I468" s="262"/>
      <c r="J468" s="267"/>
      <c r="K468" s="262"/>
      <c r="L468" s="115"/>
      <c r="M468" s="9"/>
      <c r="N468" s="9"/>
      <c r="O468" s="9"/>
      <c r="P468" s="9"/>
      <c r="Q468" s="9"/>
      <c r="R468" s="9"/>
      <c r="S468" s="255"/>
      <c r="T468" s="255"/>
      <c r="U468" s="255"/>
      <c r="V468" s="255"/>
      <c r="W468" s="255"/>
      <c r="X468" s="255"/>
      <c r="Y468" s="255"/>
      <c r="Z468" s="255"/>
    </row>
    <row r="469" spans="1:26">
      <c r="A469" s="9"/>
      <c r="B469" s="9"/>
      <c r="C469" s="9"/>
      <c r="D469" s="9"/>
      <c r="E469" s="35"/>
      <c r="F469" s="35"/>
      <c r="G469" s="258"/>
      <c r="H469" s="267"/>
      <c r="I469" s="262"/>
      <c r="J469" s="267"/>
      <c r="K469" s="262"/>
      <c r="L469" s="115"/>
      <c r="M469" s="9"/>
      <c r="N469" s="9"/>
      <c r="O469" s="9"/>
      <c r="P469" s="9"/>
      <c r="Q469" s="9"/>
      <c r="R469" s="9"/>
      <c r="S469" s="255"/>
      <c r="T469" s="255"/>
      <c r="U469" s="255"/>
      <c r="V469" s="255"/>
      <c r="W469" s="255"/>
      <c r="X469" s="255"/>
      <c r="Y469" s="255"/>
      <c r="Z469" s="255"/>
    </row>
    <row r="470" spans="1:26">
      <c r="A470" s="9"/>
      <c r="B470" s="9"/>
      <c r="C470" s="9"/>
      <c r="D470" s="9"/>
      <c r="E470" s="35"/>
      <c r="F470" s="35"/>
      <c r="G470" s="258"/>
      <c r="H470" s="267"/>
      <c r="I470" s="262"/>
      <c r="J470" s="267"/>
      <c r="K470" s="262"/>
      <c r="L470" s="115"/>
      <c r="M470" s="9"/>
      <c r="N470" s="9"/>
      <c r="O470" s="9"/>
      <c r="P470" s="9"/>
      <c r="Q470" s="9"/>
      <c r="R470" s="9"/>
      <c r="S470" s="255"/>
      <c r="T470" s="255"/>
      <c r="U470" s="255"/>
      <c r="V470" s="255"/>
      <c r="W470" s="255"/>
      <c r="X470" s="255"/>
      <c r="Y470" s="255"/>
      <c r="Z470" s="255"/>
    </row>
    <row r="471" spans="1:26">
      <c r="A471" s="9"/>
      <c r="B471" s="9"/>
      <c r="C471" s="9"/>
      <c r="D471" s="9"/>
      <c r="E471" s="35"/>
      <c r="F471" s="35"/>
      <c r="G471" s="258"/>
      <c r="H471" s="267"/>
      <c r="I471" s="262"/>
      <c r="J471" s="267"/>
      <c r="K471" s="262"/>
      <c r="L471" s="115"/>
      <c r="M471" s="9"/>
      <c r="N471" s="9"/>
      <c r="O471" s="9"/>
      <c r="P471" s="9"/>
      <c r="Q471" s="9"/>
      <c r="R471" s="9"/>
      <c r="S471" s="255"/>
      <c r="T471" s="255"/>
      <c r="U471" s="255"/>
      <c r="V471" s="255"/>
      <c r="W471" s="255"/>
      <c r="X471" s="255"/>
      <c r="Y471" s="255"/>
      <c r="Z471" s="255"/>
    </row>
    <row r="472" spans="1:26">
      <c r="A472" s="9"/>
      <c r="B472" s="9"/>
      <c r="C472" s="9"/>
      <c r="D472" s="9"/>
      <c r="E472" s="35"/>
      <c r="F472" s="35"/>
      <c r="G472" s="258"/>
      <c r="H472" s="267"/>
      <c r="I472" s="262"/>
      <c r="J472" s="267"/>
      <c r="K472" s="262"/>
      <c r="L472" s="115"/>
      <c r="M472" s="9"/>
      <c r="N472" s="9"/>
      <c r="O472" s="9"/>
      <c r="P472" s="9"/>
      <c r="Q472" s="9"/>
      <c r="R472" s="9"/>
      <c r="S472" s="255"/>
      <c r="T472" s="255"/>
      <c r="U472" s="255"/>
      <c r="V472" s="255"/>
      <c r="W472" s="255"/>
      <c r="X472" s="255"/>
      <c r="Y472" s="255"/>
      <c r="Z472" s="255"/>
    </row>
    <row r="473" spans="1:26">
      <c r="A473" s="9"/>
      <c r="B473" s="9"/>
      <c r="C473" s="9"/>
      <c r="D473" s="9"/>
      <c r="E473" s="35"/>
      <c r="F473" s="35"/>
      <c r="G473" s="258"/>
      <c r="H473" s="267"/>
      <c r="I473" s="262"/>
      <c r="J473" s="267"/>
      <c r="K473" s="262"/>
      <c r="L473" s="115"/>
      <c r="M473" s="9"/>
      <c r="N473" s="9"/>
      <c r="O473" s="9"/>
      <c r="P473" s="9"/>
      <c r="Q473" s="9"/>
      <c r="R473" s="9"/>
      <c r="S473" s="255"/>
      <c r="T473" s="255"/>
      <c r="U473" s="255"/>
      <c r="V473" s="255"/>
      <c r="W473" s="255"/>
      <c r="X473" s="255"/>
      <c r="Y473" s="255"/>
      <c r="Z473" s="255"/>
    </row>
    <row r="474" spans="1:26">
      <c r="A474" s="9"/>
      <c r="B474" s="9"/>
      <c r="C474" s="9"/>
      <c r="D474" s="9"/>
      <c r="E474" s="35"/>
      <c r="F474" s="35"/>
      <c r="G474" s="258"/>
      <c r="H474" s="267"/>
      <c r="I474" s="262"/>
      <c r="J474" s="267"/>
      <c r="K474" s="262"/>
      <c r="L474" s="115"/>
      <c r="M474" s="9"/>
      <c r="N474" s="9"/>
      <c r="O474" s="9"/>
      <c r="P474" s="9"/>
      <c r="Q474" s="9"/>
      <c r="R474" s="9"/>
      <c r="S474" s="255"/>
      <c r="T474" s="255"/>
      <c r="U474" s="255"/>
      <c r="V474" s="255"/>
      <c r="W474" s="255"/>
      <c r="X474" s="255"/>
      <c r="Y474" s="255"/>
      <c r="Z474" s="255"/>
    </row>
    <row r="475" spans="1:26">
      <c r="A475" s="9"/>
      <c r="B475" s="9"/>
      <c r="C475" s="9"/>
      <c r="D475" s="9"/>
      <c r="E475" s="35"/>
      <c r="F475" s="35"/>
      <c r="G475" s="258"/>
      <c r="H475" s="267"/>
      <c r="I475" s="262"/>
      <c r="J475" s="267"/>
      <c r="K475" s="262"/>
      <c r="L475" s="115"/>
      <c r="M475" s="9"/>
      <c r="N475" s="9"/>
      <c r="O475" s="9"/>
      <c r="P475" s="9"/>
      <c r="Q475" s="9"/>
      <c r="R475" s="9"/>
      <c r="S475" s="255"/>
      <c r="T475" s="255"/>
      <c r="U475" s="255"/>
      <c r="V475" s="255"/>
      <c r="W475" s="255"/>
      <c r="X475" s="255"/>
      <c r="Y475" s="255"/>
      <c r="Z475" s="255"/>
    </row>
    <row r="476" spans="1:26">
      <c r="A476" s="9"/>
      <c r="B476" s="9"/>
      <c r="C476" s="9"/>
      <c r="D476" s="9"/>
      <c r="E476" s="35"/>
      <c r="F476" s="35"/>
      <c r="G476" s="258"/>
      <c r="H476" s="267"/>
      <c r="I476" s="262"/>
      <c r="J476" s="267"/>
      <c r="K476" s="262"/>
      <c r="L476" s="115"/>
      <c r="M476" s="9"/>
      <c r="N476" s="9"/>
      <c r="O476" s="9"/>
      <c r="P476" s="9"/>
      <c r="Q476" s="9"/>
      <c r="R476" s="9"/>
      <c r="S476" s="255"/>
      <c r="T476" s="255"/>
      <c r="U476" s="255"/>
      <c r="V476" s="255"/>
      <c r="W476" s="255"/>
      <c r="X476" s="255"/>
      <c r="Y476" s="255"/>
      <c r="Z476" s="255"/>
    </row>
    <row r="477" spans="1:26">
      <c r="A477" s="9"/>
      <c r="B477" s="9"/>
      <c r="C477" s="9"/>
      <c r="D477" s="9"/>
      <c r="E477" s="35"/>
      <c r="F477" s="35"/>
      <c r="G477" s="258"/>
      <c r="H477" s="267"/>
      <c r="I477" s="262"/>
      <c r="J477" s="267"/>
      <c r="K477" s="262"/>
      <c r="L477" s="115"/>
      <c r="M477" s="9"/>
      <c r="N477" s="9"/>
      <c r="O477" s="9"/>
      <c r="P477" s="9"/>
      <c r="Q477" s="9"/>
      <c r="R477" s="9"/>
      <c r="S477" s="255"/>
      <c r="T477" s="255"/>
      <c r="U477" s="255"/>
      <c r="V477" s="255"/>
      <c r="W477" s="255"/>
      <c r="X477" s="255"/>
      <c r="Y477" s="255"/>
      <c r="Z477" s="255"/>
    </row>
    <row r="478" spans="1:26">
      <c r="A478" s="9"/>
      <c r="B478" s="9"/>
      <c r="C478" s="9"/>
      <c r="D478" s="9"/>
      <c r="E478" s="35"/>
      <c r="F478" s="35"/>
      <c r="G478" s="258"/>
      <c r="H478" s="267"/>
      <c r="I478" s="262"/>
      <c r="J478" s="267"/>
      <c r="K478" s="262"/>
      <c r="L478" s="115"/>
      <c r="M478" s="9"/>
      <c r="N478" s="9"/>
      <c r="O478" s="9"/>
      <c r="P478" s="9"/>
      <c r="Q478" s="9"/>
      <c r="R478" s="9"/>
      <c r="S478" s="255"/>
      <c r="T478" s="255"/>
      <c r="U478" s="255"/>
      <c r="V478" s="255"/>
      <c r="W478" s="255"/>
      <c r="X478" s="255"/>
      <c r="Y478" s="255"/>
      <c r="Z478" s="255"/>
    </row>
    <row r="479" spans="1:26">
      <c r="A479" s="9"/>
      <c r="B479" s="9"/>
      <c r="C479" s="9"/>
      <c r="D479" s="9"/>
      <c r="E479" s="35"/>
      <c r="F479" s="35"/>
      <c r="G479" s="258"/>
      <c r="H479" s="267"/>
      <c r="I479" s="262"/>
      <c r="J479" s="267"/>
      <c r="K479" s="262"/>
      <c r="L479" s="115"/>
      <c r="M479" s="9"/>
      <c r="N479" s="9"/>
      <c r="O479" s="9"/>
      <c r="P479" s="9"/>
      <c r="Q479" s="9"/>
      <c r="R479" s="9"/>
      <c r="S479" s="255"/>
      <c r="T479" s="255"/>
      <c r="U479" s="255"/>
      <c r="V479" s="255"/>
      <c r="W479" s="255"/>
      <c r="X479" s="255"/>
      <c r="Y479" s="255"/>
      <c r="Z479" s="255"/>
    </row>
    <row r="480" spans="1:26">
      <c r="A480" s="9"/>
      <c r="B480" s="9"/>
      <c r="C480" s="9"/>
      <c r="D480" s="9"/>
      <c r="E480" s="35"/>
      <c r="F480" s="35"/>
      <c r="G480" s="258"/>
      <c r="H480" s="267"/>
      <c r="I480" s="262"/>
      <c r="J480" s="267"/>
      <c r="K480" s="262"/>
      <c r="L480" s="115"/>
      <c r="M480" s="9"/>
      <c r="N480" s="9"/>
      <c r="O480" s="9"/>
      <c r="P480" s="9"/>
      <c r="Q480" s="9"/>
      <c r="R480" s="9"/>
      <c r="S480" s="255"/>
      <c r="T480" s="255"/>
      <c r="U480" s="255"/>
      <c r="V480" s="255"/>
      <c r="W480" s="255"/>
      <c r="X480" s="255"/>
      <c r="Y480" s="255"/>
      <c r="Z480" s="255"/>
    </row>
    <row r="481" spans="1:26">
      <c r="A481" s="9"/>
      <c r="B481" s="9"/>
      <c r="C481" s="9"/>
      <c r="D481" s="9"/>
      <c r="E481" s="35"/>
      <c r="F481" s="35"/>
      <c r="G481" s="258"/>
      <c r="H481" s="267"/>
      <c r="I481" s="262"/>
      <c r="J481" s="267"/>
      <c r="K481" s="262"/>
      <c r="L481" s="115"/>
      <c r="M481" s="9"/>
      <c r="N481" s="9"/>
      <c r="O481" s="9"/>
      <c r="P481" s="9"/>
      <c r="Q481" s="9"/>
      <c r="R481" s="9"/>
      <c r="S481" s="255"/>
      <c r="T481" s="255"/>
      <c r="U481" s="255"/>
      <c r="V481" s="255"/>
      <c r="W481" s="255"/>
      <c r="X481" s="255"/>
      <c r="Y481" s="255"/>
      <c r="Z481" s="255"/>
    </row>
    <row r="482" spans="1:26">
      <c r="A482" s="9"/>
      <c r="B482" s="9"/>
      <c r="C482" s="9"/>
      <c r="D482" s="9"/>
      <c r="E482" s="35"/>
      <c r="F482" s="35"/>
      <c r="G482" s="258"/>
      <c r="H482" s="267"/>
      <c r="I482" s="262"/>
      <c r="J482" s="267"/>
      <c r="K482" s="262"/>
      <c r="L482" s="115"/>
      <c r="M482" s="9"/>
      <c r="N482" s="9"/>
      <c r="O482" s="9"/>
      <c r="P482" s="9"/>
      <c r="Q482" s="9"/>
      <c r="R482" s="9"/>
      <c r="S482" s="255"/>
      <c r="T482" s="255"/>
      <c r="U482" s="255"/>
      <c r="V482" s="255"/>
      <c r="W482" s="255"/>
      <c r="X482" s="255"/>
      <c r="Y482" s="255"/>
      <c r="Z482" s="255"/>
    </row>
    <row r="483" spans="1:26">
      <c r="A483" s="9"/>
      <c r="B483" s="9"/>
      <c r="C483" s="9"/>
      <c r="D483" s="9"/>
      <c r="E483" s="35"/>
      <c r="F483" s="35"/>
      <c r="G483" s="258"/>
      <c r="H483" s="267"/>
      <c r="I483" s="262"/>
      <c r="J483" s="267"/>
      <c r="K483" s="262"/>
      <c r="L483" s="115"/>
      <c r="M483" s="9"/>
      <c r="N483" s="9"/>
      <c r="O483" s="9"/>
      <c r="P483" s="9"/>
      <c r="Q483" s="9"/>
      <c r="R483" s="9"/>
      <c r="S483" s="255"/>
      <c r="T483" s="255"/>
      <c r="U483" s="255"/>
      <c r="V483" s="255"/>
      <c r="W483" s="255"/>
      <c r="X483" s="255"/>
      <c r="Y483" s="255"/>
      <c r="Z483" s="255"/>
    </row>
    <row r="484" spans="1:26">
      <c r="A484" s="9"/>
      <c r="B484" s="9"/>
      <c r="C484" s="9"/>
      <c r="D484" s="9"/>
      <c r="E484" s="35"/>
      <c r="F484" s="35"/>
      <c r="G484" s="258"/>
      <c r="H484" s="267"/>
      <c r="I484" s="262"/>
      <c r="J484" s="267"/>
      <c r="K484" s="262"/>
      <c r="L484" s="115"/>
      <c r="M484" s="9"/>
      <c r="N484" s="9"/>
      <c r="O484" s="9"/>
      <c r="P484" s="9"/>
      <c r="Q484" s="9"/>
      <c r="R484" s="9"/>
      <c r="S484" s="255"/>
      <c r="T484" s="255"/>
      <c r="U484" s="255"/>
      <c r="V484" s="255"/>
      <c r="W484" s="255"/>
      <c r="X484" s="255"/>
      <c r="Y484" s="255"/>
      <c r="Z484" s="255"/>
    </row>
    <row r="485" spans="1:26">
      <c r="A485" s="9"/>
      <c r="B485" s="9"/>
      <c r="C485" s="9"/>
      <c r="D485" s="9"/>
      <c r="E485" s="35"/>
      <c r="F485" s="35"/>
      <c r="G485" s="258"/>
      <c r="H485" s="267"/>
      <c r="I485" s="262"/>
      <c r="J485" s="267"/>
      <c r="K485" s="262"/>
      <c r="L485" s="115"/>
      <c r="M485" s="9"/>
      <c r="N485" s="9"/>
      <c r="O485" s="9"/>
      <c r="P485" s="9"/>
      <c r="Q485" s="9"/>
      <c r="R485" s="9"/>
      <c r="S485" s="255"/>
      <c r="T485" s="255"/>
      <c r="U485" s="255"/>
      <c r="V485" s="255"/>
      <c r="W485" s="255"/>
      <c r="X485" s="255"/>
      <c r="Y485" s="255"/>
      <c r="Z485" s="255"/>
    </row>
    <row r="486" spans="1:26">
      <c r="A486" s="9"/>
      <c r="B486" s="9"/>
      <c r="C486" s="9"/>
      <c r="D486" s="9"/>
      <c r="E486" s="35"/>
      <c r="F486" s="35"/>
      <c r="G486" s="258"/>
      <c r="H486" s="267"/>
      <c r="I486" s="262"/>
      <c r="J486" s="267"/>
      <c r="K486" s="262"/>
      <c r="L486" s="115"/>
      <c r="M486" s="9"/>
      <c r="N486" s="9"/>
      <c r="O486" s="9"/>
      <c r="P486" s="9"/>
      <c r="Q486" s="9"/>
      <c r="R486" s="9"/>
      <c r="S486" s="255"/>
      <c r="T486" s="255"/>
      <c r="U486" s="255"/>
      <c r="V486" s="255"/>
      <c r="W486" s="255"/>
      <c r="X486" s="255"/>
      <c r="Y486" s="255"/>
      <c r="Z486" s="255"/>
    </row>
    <row r="487" spans="1:26">
      <c r="A487" s="9"/>
      <c r="B487" s="9"/>
      <c r="C487" s="9"/>
      <c r="D487" s="9"/>
      <c r="E487" s="35"/>
      <c r="F487" s="35"/>
      <c r="G487" s="258"/>
      <c r="H487" s="267"/>
      <c r="I487" s="262"/>
      <c r="J487" s="267"/>
      <c r="K487" s="262"/>
      <c r="L487" s="115"/>
      <c r="M487" s="9"/>
      <c r="N487" s="9"/>
      <c r="O487" s="9"/>
      <c r="P487" s="9"/>
      <c r="Q487" s="9"/>
      <c r="R487" s="9"/>
      <c r="S487" s="255"/>
      <c r="T487" s="255"/>
      <c r="U487" s="255"/>
      <c r="V487" s="255"/>
      <c r="W487" s="255"/>
      <c r="X487" s="255"/>
      <c r="Y487" s="255"/>
      <c r="Z487" s="255"/>
    </row>
    <row r="488" spans="1:26">
      <c r="A488" s="9"/>
      <c r="B488" s="9"/>
      <c r="C488" s="9"/>
      <c r="D488" s="9"/>
      <c r="E488" s="35"/>
      <c r="F488" s="35"/>
      <c r="G488" s="258"/>
      <c r="H488" s="267"/>
      <c r="I488" s="262"/>
      <c r="J488" s="267"/>
      <c r="K488" s="262"/>
      <c r="L488" s="115"/>
      <c r="M488" s="9"/>
      <c r="N488" s="9"/>
      <c r="O488" s="9"/>
      <c r="P488" s="9"/>
      <c r="Q488" s="9"/>
      <c r="R488" s="9"/>
      <c r="S488" s="255"/>
      <c r="T488" s="255"/>
      <c r="U488" s="255"/>
      <c r="V488" s="255"/>
      <c r="W488" s="255"/>
      <c r="X488" s="255"/>
      <c r="Y488" s="255"/>
      <c r="Z488" s="255"/>
    </row>
    <row r="489" spans="1:26">
      <c r="A489" s="9"/>
      <c r="B489" s="9"/>
      <c r="C489" s="9"/>
      <c r="D489" s="9"/>
      <c r="E489" s="35"/>
      <c r="F489" s="35"/>
      <c r="G489" s="258"/>
      <c r="H489" s="267"/>
      <c r="I489" s="262"/>
      <c r="J489" s="267"/>
      <c r="K489" s="262"/>
      <c r="L489" s="115"/>
      <c r="M489" s="9"/>
      <c r="N489" s="9"/>
      <c r="O489" s="9"/>
      <c r="P489" s="9"/>
      <c r="Q489" s="9"/>
      <c r="R489" s="9"/>
      <c r="S489" s="255"/>
      <c r="T489" s="255"/>
      <c r="U489" s="255"/>
      <c r="V489" s="255"/>
      <c r="W489" s="255"/>
      <c r="X489" s="255"/>
      <c r="Y489" s="255"/>
      <c r="Z489" s="255"/>
    </row>
    <row r="490" spans="1:26">
      <c r="A490" s="9"/>
      <c r="B490" s="9"/>
      <c r="C490" s="9"/>
      <c r="D490" s="9"/>
      <c r="E490" s="35"/>
      <c r="F490" s="35"/>
      <c r="G490" s="258"/>
      <c r="H490" s="267"/>
      <c r="I490" s="262"/>
      <c r="J490" s="267"/>
      <c r="K490" s="262"/>
      <c r="L490" s="115"/>
      <c r="M490" s="9"/>
      <c r="N490" s="9"/>
      <c r="O490" s="9"/>
      <c r="P490" s="9"/>
      <c r="Q490" s="9"/>
      <c r="R490" s="9"/>
      <c r="S490" s="255"/>
      <c r="T490" s="255"/>
      <c r="U490" s="255"/>
      <c r="V490" s="255"/>
      <c r="W490" s="255"/>
      <c r="X490" s="255"/>
      <c r="Y490" s="255"/>
      <c r="Z490" s="255"/>
    </row>
    <row r="491" spans="1:26">
      <c r="A491" s="9"/>
      <c r="B491" s="9"/>
      <c r="C491" s="9"/>
      <c r="D491" s="9"/>
      <c r="E491" s="35"/>
      <c r="F491" s="35"/>
      <c r="G491" s="258"/>
      <c r="H491" s="267"/>
      <c r="I491" s="262"/>
      <c r="J491" s="267"/>
      <c r="K491" s="262"/>
      <c r="L491" s="115"/>
      <c r="M491" s="9"/>
      <c r="N491" s="9"/>
      <c r="O491" s="9"/>
      <c r="P491" s="9"/>
      <c r="Q491" s="9"/>
      <c r="R491" s="9"/>
      <c r="S491" s="255"/>
      <c r="T491" s="255"/>
      <c r="U491" s="255"/>
      <c r="V491" s="255"/>
      <c r="W491" s="255"/>
      <c r="X491" s="255"/>
      <c r="Y491" s="255"/>
      <c r="Z491" s="255"/>
    </row>
    <row r="492" spans="1:26">
      <c r="A492" s="9"/>
      <c r="B492" s="9"/>
      <c r="C492" s="9"/>
      <c r="D492" s="9"/>
      <c r="E492" s="35"/>
      <c r="F492" s="35"/>
      <c r="G492" s="258"/>
      <c r="H492" s="267"/>
      <c r="I492" s="262"/>
      <c r="J492" s="267"/>
      <c r="K492" s="262"/>
      <c r="L492" s="115"/>
      <c r="M492" s="9"/>
      <c r="N492" s="9"/>
      <c r="O492" s="9"/>
      <c r="P492" s="9"/>
      <c r="Q492" s="9"/>
      <c r="R492" s="9"/>
      <c r="S492" s="255"/>
      <c r="T492" s="255"/>
      <c r="U492" s="255"/>
      <c r="V492" s="255"/>
      <c r="W492" s="255"/>
      <c r="X492" s="255"/>
      <c r="Y492" s="255"/>
      <c r="Z492" s="255"/>
    </row>
    <row r="493" spans="1:26">
      <c r="A493" s="9"/>
      <c r="B493" s="9"/>
      <c r="C493" s="9"/>
      <c r="D493" s="9"/>
      <c r="E493" s="35"/>
      <c r="F493" s="35"/>
      <c r="G493" s="258"/>
      <c r="H493" s="267"/>
      <c r="I493" s="262"/>
      <c r="J493" s="267"/>
      <c r="K493" s="262"/>
      <c r="L493" s="115"/>
      <c r="M493" s="9"/>
      <c r="N493" s="9"/>
      <c r="O493" s="9"/>
      <c r="P493" s="9"/>
      <c r="Q493" s="9"/>
      <c r="R493" s="9"/>
      <c r="S493" s="255"/>
      <c r="T493" s="255"/>
      <c r="U493" s="255"/>
      <c r="V493" s="255"/>
      <c r="W493" s="255"/>
      <c r="X493" s="255"/>
      <c r="Y493" s="255"/>
      <c r="Z493" s="255"/>
    </row>
    <row r="494" spans="1:26">
      <c r="A494" s="9"/>
      <c r="B494" s="9"/>
      <c r="C494" s="9"/>
      <c r="D494" s="9"/>
      <c r="E494" s="35"/>
      <c r="F494" s="35"/>
      <c r="G494" s="258"/>
      <c r="H494" s="267"/>
      <c r="I494" s="262"/>
      <c r="J494" s="267"/>
      <c r="K494" s="262"/>
      <c r="L494" s="115"/>
      <c r="M494" s="9"/>
      <c r="N494" s="9"/>
      <c r="O494" s="9"/>
      <c r="P494" s="9"/>
      <c r="Q494" s="9"/>
      <c r="R494" s="9"/>
      <c r="S494" s="255"/>
      <c r="T494" s="255"/>
      <c r="U494" s="255"/>
      <c r="V494" s="255"/>
      <c r="W494" s="255"/>
      <c r="X494" s="255"/>
      <c r="Y494" s="255"/>
      <c r="Z494" s="255"/>
    </row>
    <row r="495" spans="1:26">
      <c r="A495" s="9"/>
      <c r="B495" s="9"/>
      <c r="C495" s="9"/>
      <c r="D495" s="9"/>
      <c r="E495" s="35"/>
      <c r="F495" s="35"/>
      <c r="G495" s="258"/>
      <c r="H495" s="267"/>
      <c r="I495" s="262"/>
      <c r="J495" s="267"/>
      <c r="K495" s="262"/>
      <c r="L495" s="115"/>
      <c r="M495" s="9"/>
      <c r="N495" s="9"/>
      <c r="O495" s="9"/>
      <c r="P495" s="9"/>
      <c r="Q495" s="9"/>
      <c r="R495" s="9"/>
      <c r="S495" s="255"/>
      <c r="T495" s="255"/>
      <c r="U495" s="255"/>
      <c r="V495" s="255"/>
      <c r="W495" s="255"/>
      <c r="X495" s="255"/>
      <c r="Y495" s="255"/>
      <c r="Z495" s="255"/>
    </row>
    <row r="496" spans="1:26">
      <c r="A496" s="9"/>
      <c r="B496" s="9"/>
      <c r="C496" s="9"/>
      <c r="D496" s="9"/>
      <c r="E496" s="35"/>
      <c r="F496" s="35"/>
      <c r="G496" s="258"/>
      <c r="H496" s="267"/>
      <c r="I496" s="262"/>
      <c r="J496" s="267"/>
      <c r="K496" s="262"/>
      <c r="L496" s="115"/>
      <c r="M496" s="9"/>
      <c r="N496" s="9"/>
      <c r="O496" s="9"/>
      <c r="P496" s="9"/>
      <c r="Q496" s="9"/>
      <c r="R496" s="9"/>
      <c r="S496" s="255"/>
      <c r="T496" s="255"/>
      <c r="U496" s="255"/>
      <c r="V496" s="255"/>
      <c r="W496" s="255"/>
      <c r="X496" s="255"/>
      <c r="Y496" s="255"/>
      <c r="Z496" s="255"/>
    </row>
    <row r="497" spans="1:26">
      <c r="A497" s="9"/>
      <c r="B497" s="9"/>
      <c r="C497" s="9"/>
      <c r="D497" s="9"/>
      <c r="E497" s="35"/>
      <c r="F497" s="35"/>
      <c r="G497" s="258"/>
      <c r="H497" s="267"/>
      <c r="I497" s="262"/>
      <c r="J497" s="267"/>
      <c r="K497" s="262"/>
      <c r="L497" s="115"/>
      <c r="M497" s="9"/>
      <c r="N497" s="9"/>
      <c r="O497" s="9"/>
      <c r="P497" s="9"/>
      <c r="Q497" s="9"/>
      <c r="R497" s="9"/>
      <c r="S497" s="255"/>
      <c r="T497" s="255"/>
      <c r="U497" s="255"/>
      <c r="V497" s="255"/>
      <c r="W497" s="255"/>
      <c r="X497" s="255"/>
      <c r="Y497" s="255"/>
      <c r="Z497" s="255"/>
    </row>
    <row r="498" spans="1:26">
      <c r="A498" s="9"/>
      <c r="B498" s="9"/>
      <c r="C498" s="9"/>
      <c r="D498" s="9"/>
      <c r="E498" s="35"/>
      <c r="F498" s="35"/>
      <c r="G498" s="258"/>
      <c r="H498" s="267"/>
      <c r="I498" s="262"/>
      <c r="J498" s="267"/>
      <c r="K498" s="262"/>
      <c r="L498" s="115"/>
      <c r="M498" s="9"/>
      <c r="N498" s="9"/>
      <c r="O498" s="9"/>
      <c r="P498" s="9"/>
      <c r="Q498" s="9"/>
      <c r="R498" s="9"/>
      <c r="S498" s="255"/>
      <c r="T498" s="255"/>
      <c r="U498" s="255"/>
      <c r="V498" s="255"/>
      <c r="W498" s="255"/>
      <c r="X498" s="255"/>
      <c r="Y498" s="255"/>
      <c r="Z498" s="255"/>
    </row>
    <row r="499" spans="1:26">
      <c r="A499" s="9"/>
      <c r="B499" s="9"/>
      <c r="C499" s="9"/>
      <c r="D499" s="9"/>
      <c r="E499" s="35"/>
      <c r="F499" s="35"/>
      <c r="G499" s="258"/>
      <c r="H499" s="267"/>
      <c r="I499" s="262"/>
      <c r="J499" s="267"/>
      <c r="K499" s="262"/>
      <c r="L499" s="115"/>
      <c r="M499" s="9"/>
      <c r="N499" s="9"/>
      <c r="O499" s="9"/>
      <c r="P499" s="9"/>
      <c r="Q499" s="9"/>
      <c r="R499" s="9"/>
      <c r="S499" s="255"/>
      <c r="T499" s="255"/>
      <c r="U499" s="255"/>
      <c r="V499" s="255"/>
      <c r="W499" s="255"/>
      <c r="X499" s="255"/>
      <c r="Y499" s="255"/>
      <c r="Z499" s="255"/>
    </row>
    <row r="500" spans="1:26">
      <c r="A500" s="9"/>
      <c r="B500" s="9"/>
      <c r="C500" s="9"/>
      <c r="D500" s="9"/>
      <c r="E500" s="35"/>
      <c r="F500" s="35"/>
      <c r="G500" s="258"/>
      <c r="H500" s="267"/>
      <c r="I500" s="262"/>
      <c r="J500" s="267"/>
      <c r="K500" s="262"/>
      <c r="L500" s="115"/>
      <c r="M500" s="9"/>
      <c r="N500" s="9"/>
      <c r="O500" s="9"/>
      <c r="P500" s="9"/>
      <c r="Q500" s="9"/>
      <c r="R500" s="9"/>
      <c r="S500" s="255"/>
      <c r="T500" s="255"/>
      <c r="U500" s="255"/>
      <c r="V500" s="255"/>
      <c r="W500" s="255"/>
      <c r="X500" s="255"/>
      <c r="Y500" s="255"/>
      <c r="Z500" s="255"/>
    </row>
    <row r="501" spans="1:26">
      <c r="A501" s="9"/>
      <c r="B501" s="9"/>
      <c r="C501" s="9"/>
      <c r="D501" s="9"/>
      <c r="E501" s="35"/>
      <c r="F501" s="35"/>
      <c r="G501" s="258"/>
      <c r="H501" s="267"/>
      <c r="I501" s="262"/>
      <c r="J501" s="267"/>
      <c r="K501" s="262"/>
      <c r="L501" s="115"/>
      <c r="M501" s="9"/>
      <c r="N501" s="9"/>
      <c r="O501" s="9"/>
      <c r="P501" s="9"/>
      <c r="Q501" s="9"/>
      <c r="R501" s="9"/>
      <c r="S501" s="255"/>
      <c r="T501" s="255"/>
      <c r="U501" s="255"/>
      <c r="V501" s="255"/>
      <c r="W501" s="255"/>
      <c r="X501" s="255"/>
      <c r="Y501" s="255"/>
      <c r="Z501" s="255"/>
    </row>
    <row r="502" spans="1:26">
      <c r="A502" s="9"/>
      <c r="B502" s="9"/>
      <c r="C502" s="9"/>
      <c r="D502" s="9"/>
      <c r="E502" s="35"/>
      <c r="F502" s="35"/>
      <c r="G502" s="258"/>
      <c r="H502" s="267"/>
      <c r="I502" s="262"/>
      <c r="J502" s="267"/>
      <c r="K502" s="262"/>
      <c r="L502" s="115"/>
      <c r="M502" s="9"/>
      <c r="N502" s="9"/>
      <c r="O502" s="9"/>
      <c r="P502" s="9"/>
      <c r="Q502" s="9"/>
      <c r="R502" s="9"/>
      <c r="S502" s="255"/>
      <c r="T502" s="255"/>
      <c r="U502" s="255"/>
      <c r="V502" s="255"/>
      <c r="W502" s="255"/>
      <c r="X502" s="255"/>
      <c r="Y502" s="255"/>
      <c r="Z502" s="255"/>
    </row>
    <row r="503" spans="1:26">
      <c r="A503" s="9"/>
      <c r="B503" s="9"/>
      <c r="C503" s="9"/>
      <c r="D503" s="9"/>
      <c r="E503" s="35"/>
      <c r="F503" s="35"/>
      <c r="G503" s="258"/>
      <c r="H503" s="267"/>
      <c r="I503" s="262"/>
      <c r="J503" s="267"/>
      <c r="K503" s="262"/>
      <c r="L503" s="115"/>
      <c r="M503" s="9"/>
      <c r="N503" s="9"/>
      <c r="O503" s="9"/>
      <c r="P503" s="9"/>
      <c r="Q503" s="9"/>
      <c r="R503" s="9"/>
      <c r="S503" s="255"/>
      <c r="T503" s="255"/>
      <c r="U503" s="255"/>
      <c r="V503" s="255"/>
      <c r="W503" s="255"/>
      <c r="X503" s="255"/>
      <c r="Y503" s="255"/>
      <c r="Z503" s="255"/>
    </row>
    <row r="504" spans="1:26">
      <c r="A504" s="9"/>
      <c r="B504" s="9"/>
      <c r="C504" s="9"/>
      <c r="D504" s="9"/>
      <c r="E504" s="35"/>
      <c r="F504" s="35"/>
      <c r="G504" s="258"/>
      <c r="H504" s="267"/>
      <c r="I504" s="262"/>
      <c r="J504" s="267"/>
      <c r="K504" s="262"/>
      <c r="L504" s="115"/>
      <c r="M504" s="9"/>
      <c r="N504" s="9"/>
      <c r="O504" s="9"/>
      <c r="P504" s="9"/>
      <c r="Q504" s="9"/>
      <c r="R504" s="9"/>
      <c r="S504" s="255"/>
      <c r="T504" s="255"/>
      <c r="U504" s="255"/>
      <c r="V504" s="255"/>
      <c r="W504" s="255"/>
      <c r="X504" s="255"/>
      <c r="Y504" s="255"/>
      <c r="Z504" s="255"/>
    </row>
    <row r="505" spans="1:26">
      <c r="A505" s="9"/>
      <c r="B505" s="9"/>
      <c r="C505" s="9"/>
      <c r="D505" s="9"/>
      <c r="E505" s="35"/>
      <c r="F505" s="35"/>
      <c r="G505" s="258"/>
      <c r="H505" s="267"/>
      <c r="I505" s="262"/>
      <c r="J505" s="267"/>
      <c r="K505" s="262"/>
      <c r="L505" s="115"/>
      <c r="M505" s="9"/>
      <c r="N505" s="9"/>
      <c r="O505" s="9"/>
      <c r="P505" s="9"/>
      <c r="Q505" s="9"/>
      <c r="R505" s="9"/>
      <c r="S505" s="255"/>
      <c r="T505" s="255"/>
      <c r="U505" s="255"/>
      <c r="V505" s="255"/>
      <c r="W505" s="255"/>
      <c r="X505" s="255"/>
      <c r="Y505" s="255"/>
      <c r="Z505" s="255"/>
    </row>
    <row r="506" spans="1:26">
      <c r="A506" s="9"/>
      <c r="B506" s="9"/>
      <c r="C506" s="9"/>
      <c r="D506" s="9"/>
      <c r="E506" s="35"/>
      <c r="F506" s="35"/>
      <c r="G506" s="258"/>
      <c r="H506" s="267"/>
      <c r="I506" s="262"/>
      <c r="J506" s="267"/>
      <c r="K506" s="262"/>
      <c r="L506" s="115"/>
      <c r="M506" s="9"/>
      <c r="N506" s="9"/>
      <c r="O506" s="9"/>
      <c r="P506" s="9"/>
      <c r="Q506" s="9"/>
      <c r="R506" s="9"/>
      <c r="S506" s="255"/>
      <c r="T506" s="255"/>
      <c r="U506" s="255"/>
      <c r="V506" s="255"/>
      <c r="W506" s="255"/>
      <c r="X506" s="255"/>
      <c r="Y506" s="255"/>
      <c r="Z506" s="255"/>
    </row>
    <row r="507" spans="1:26">
      <c r="A507" s="9"/>
      <c r="B507" s="9"/>
      <c r="C507" s="9"/>
      <c r="D507" s="9"/>
      <c r="E507" s="35"/>
      <c r="F507" s="35"/>
      <c r="G507" s="258"/>
      <c r="H507" s="267"/>
      <c r="I507" s="262"/>
      <c r="J507" s="267"/>
      <c r="K507" s="262"/>
      <c r="L507" s="115"/>
      <c r="M507" s="9"/>
      <c r="N507" s="9"/>
      <c r="O507" s="9"/>
      <c r="P507" s="9"/>
      <c r="Q507" s="9"/>
      <c r="R507" s="9"/>
      <c r="S507" s="255"/>
      <c r="T507" s="255"/>
      <c r="U507" s="255"/>
      <c r="V507" s="255"/>
      <c r="W507" s="255"/>
      <c r="X507" s="255"/>
      <c r="Y507" s="255"/>
      <c r="Z507" s="255"/>
    </row>
    <row r="508" spans="1:26">
      <c r="A508" s="9"/>
      <c r="B508" s="9"/>
      <c r="C508" s="9"/>
      <c r="D508" s="9"/>
      <c r="E508" s="35"/>
      <c r="F508" s="35"/>
      <c r="G508" s="258"/>
      <c r="H508" s="267"/>
      <c r="I508" s="262"/>
      <c r="J508" s="267"/>
      <c r="K508" s="262"/>
      <c r="L508" s="115"/>
      <c r="M508" s="9"/>
      <c r="N508" s="9"/>
      <c r="O508" s="9"/>
      <c r="P508" s="9"/>
      <c r="Q508" s="9"/>
      <c r="R508" s="9"/>
      <c r="S508" s="255"/>
      <c r="T508" s="255"/>
      <c r="U508" s="255"/>
      <c r="V508" s="255"/>
      <c r="W508" s="255"/>
      <c r="X508" s="255"/>
      <c r="Y508" s="255"/>
      <c r="Z508" s="255"/>
    </row>
    <row r="509" spans="1:26">
      <c r="A509" s="9"/>
      <c r="B509" s="9"/>
      <c r="C509" s="9"/>
      <c r="D509" s="9"/>
      <c r="E509" s="35"/>
      <c r="F509" s="35"/>
      <c r="G509" s="258"/>
      <c r="H509" s="267"/>
      <c r="I509" s="262"/>
      <c r="J509" s="267"/>
      <c r="K509" s="262"/>
      <c r="L509" s="115"/>
      <c r="M509" s="9"/>
      <c r="N509" s="9"/>
      <c r="O509" s="9"/>
      <c r="P509" s="9"/>
      <c r="Q509" s="9"/>
      <c r="R509" s="9"/>
      <c r="S509" s="255"/>
      <c r="T509" s="255"/>
      <c r="U509" s="255"/>
      <c r="V509" s="255"/>
      <c r="W509" s="255"/>
      <c r="X509" s="255"/>
      <c r="Y509" s="255"/>
      <c r="Z509" s="255"/>
    </row>
    <row r="510" spans="1:26">
      <c r="A510" s="9"/>
      <c r="B510" s="9"/>
      <c r="C510" s="9"/>
      <c r="D510" s="9"/>
      <c r="E510" s="35"/>
      <c r="F510" s="35"/>
      <c r="G510" s="258"/>
      <c r="H510" s="267"/>
      <c r="I510" s="262"/>
      <c r="J510" s="267"/>
      <c r="K510" s="262"/>
      <c r="L510" s="115"/>
      <c r="M510" s="9"/>
      <c r="N510" s="9"/>
      <c r="O510" s="9"/>
      <c r="P510" s="9"/>
      <c r="Q510" s="9"/>
      <c r="R510" s="9"/>
      <c r="S510" s="255"/>
      <c r="T510" s="255"/>
      <c r="U510" s="255"/>
      <c r="V510" s="255"/>
      <c r="W510" s="255"/>
      <c r="X510" s="255"/>
      <c r="Y510" s="255"/>
      <c r="Z510" s="255"/>
    </row>
    <row r="511" spans="1:26">
      <c r="A511" s="9"/>
      <c r="B511" s="9"/>
      <c r="C511" s="9"/>
      <c r="D511" s="9"/>
      <c r="E511" s="35"/>
      <c r="F511" s="35"/>
      <c r="G511" s="258"/>
      <c r="H511" s="267"/>
      <c r="I511" s="262"/>
      <c r="J511" s="267"/>
      <c r="K511" s="262"/>
      <c r="L511" s="115"/>
      <c r="M511" s="9"/>
      <c r="N511" s="9"/>
      <c r="O511" s="9"/>
      <c r="P511" s="9"/>
      <c r="Q511" s="9"/>
      <c r="R511" s="9"/>
      <c r="S511" s="255"/>
      <c r="T511" s="255"/>
      <c r="U511" s="255"/>
      <c r="V511" s="255"/>
      <c r="W511" s="255"/>
      <c r="X511" s="255"/>
      <c r="Y511" s="255"/>
      <c r="Z511" s="255"/>
    </row>
    <row r="512" spans="1:26">
      <c r="A512" s="9"/>
      <c r="B512" s="9"/>
      <c r="C512" s="9"/>
      <c r="D512" s="9"/>
      <c r="E512" s="35"/>
      <c r="F512" s="35"/>
      <c r="G512" s="258"/>
      <c r="H512" s="267"/>
      <c r="I512" s="262"/>
      <c r="J512" s="267"/>
      <c r="K512" s="262"/>
      <c r="L512" s="115"/>
      <c r="M512" s="9"/>
      <c r="N512" s="9"/>
      <c r="O512" s="9"/>
      <c r="P512" s="9"/>
      <c r="Q512" s="9"/>
      <c r="R512" s="9"/>
      <c r="S512" s="255"/>
      <c r="T512" s="255"/>
      <c r="U512" s="255"/>
      <c r="V512" s="255"/>
      <c r="W512" s="255"/>
      <c r="X512" s="255"/>
      <c r="Y512" s="255"/>
      <c r="Z512" s="255"/>
    </row>
    <row r="513" spans="1:26">
      <c r="A513" s="9"/>
      <c r="B513" s="9"/>
      <c r="C513" s="9"/>
      <c r="D513" s="9"/>
      <c r="E513" s="35"/>
      <c r="F513" s="35"/>
      <c r="G513" s="258"/>
      <c r="H513" s="267"/>
      <c r="I513" s="262"/>
      <c r="J513" s="267"/>
      <c r="K513" s="262"/>
      <c r="L513" s="115"/>
      <c r="M513" s="9"/>
      <c r="N513" s="9"/>
      <c r="O513" s="9"/>
      <c r="P513" s="9"/>
      <c r="Q513" s="9"/>
      <c r="R513" s="9"/>
      <c r="S513" s="255"/>
      <c r="T513" s="255"/>
      <c r="U513" s="255"/>
      <c r="V513" s="255"/>
      <c r="W513" s="255"/>
      <c r="X513" s="255"/>
      <c r="Y513" s="255"/>
      <c r="Z513" s="255"/>
    </row>
    <row r="514" spans="1:26">
      <c r="A514" s="9"/>
      <c r="B514" s="9"/>
      <c r="C514" s="9"/>
      <c r="D514" s="9"/>
      <c r="E514" s="35"/>
      <c r="F514" s="35"/>
      <c r="G514" s="258"/>
      <c r="H514" s="267"/>
      <c r="I514" s="262"/>
      <c r="J514" s="267"/>
      <c r="K514" s="262"/>
      <c r="L514" s="115"/>
      <c r="M514" s="9"/>
      <c r="N514" s="9"/>
      <c r="O514" s="9"/>
      <c r="P514" s="9"/>
      <c r="Q514" s="9"/>
      <c r="R514" s="9"/>
      <c r="S514" s="255"/>
      <c r="T514" s="255"/>
      <c r="U514" s="255"/>
      <c r="V514" s="255"/>
      <c r="W514" s="255"/>
      <c r="X514" s="255"/>
      <c r="Y514" s="255"/>
      <c r="Z514" s="255"/>
    </row>
    <row r="515" spans="1:26">
      <c r="A515" s="9"/>
      <c r="B515" s="9"/>
      <c r="C515" s="9"/>
      <c r="D515" s="9"/>
      <c r="E515" s="35"/>
      <c r="F515" s="35"/>
      <c r="G515" s="258"/>
      <c r="H515" s="267"/>
      <c r="I515" s="262"/>
      <c r="J515" s="267"/>
      <c r="K515" s="262"/>
      <c r="L515" s="115"/>
      <c r="M515" s="9"/>
      <c r="N515" s="9"/>
      <c r="O515" s="9"/>
      <c r="P515" s="9"/>
      <c r="Q515" s="9"/>
      <c r="R515" s="9"/>
      <c r="S515" s="255"/>
      <c r="T515" s="255"/>
      <c r="U515" s="255"/>
      <c r="V515" s="255"/>
      <c r="W515" s="255"/>
      <c r="X515" s="255"/>
      <c r="Y515" s="255"/>
      <c r="Z515" s="255"/>
    </row>
    <row r="516" spans="1:26">
      <c r="A516" s="9"/>
      <c r="B516" s="9"/>
      <c r="C516" s="9"/>
      <c r="D516" s="9"/>
      <c r="E516" s="35"/>
      <c r="F516" s="35"/>
      <c r="G516" s="258"/>
      <c r="H516" s="267"/>
      <c r="I516" s="262"/>
      <c r="J516" s="267"/>
      <c r="K516" s="262"/>
      <c r="L516" s="115"/>
      <c r="M516" s="9"/>
      <c r="N516" s="9"/>
      <c r="O516" s="9"/>
      <c r="P516" s="9"/>
      <c r="Q516" s="9"/>
      <c r="R516" s="9"/>
      <c r="S516" s="255"/>
      <c r="T516" s="255"/>
      <c r="U516" s="255"/>
      <c r="V516" s="255"/>
      <c r="W516" s="255"/>
      <c r="X516" s="255"/>
      <c r="Y516" s="255"/>
      <c r="Z516" s="255"/>
    </row>
    <row r="517" spans="1:26">
      <c r="A517" s="9"/>
      <c r="B517" s="9"/>
      <c r="C517" s="9"/>
      <c r="D517" s="9"/>
      <c r="E517" s="35"/>
      <c r="F517" s="35"/>
      <c r="G517" s="258"/>
      <c r="H517" s="267"/>
      <c r="I517" s="262"/>
      <c r="J517" s="267"/>
      <c r="K517" s="262"/>
      <c r="L517" s="115"/>
      <c r="M517" s="9"/>
      <c r="N517" s="9"/>
      <c r="O517" s="9"/>
      <c r="P517" s="9"/>
      <c r="Q517" s="9"/>
      <c r="R517" s="9"/>
      <c r="S517" s="255"/>
      <c r="T517" s="255"/>
      <c r="U517" s="255"/>
      <c r="V517" s="255"/>
      <c r="W517" s="255"/>
      <c r="X517" s="255"/>
      <c r="Y517" s="255"/>
      <c r="Z517" s="255"/>
    </row>
    <row r="518" spans="1:26">
      <c r="A518" s="9"/>
      <c r="B518" s="9"/>
      <c r="C518" s="9"/>
      <c r="D518" s="9"/>
      <c r="E518" s="35"/>
      <c r="F518" s="35"/>
      <c r="G518" s="258"/>
      <c r="H518" s="267"/>
      <c r="I518" s="262"/>
      <c r="J518" s="267"/>
      <c r="K518" s="262"/>
      <c r="L518" s="115"/>
      <c r="M518" s="9"/>
      <c r="N518" s="9"/>
      <c r="O518" s="9"/>
      <c r="P518" s="9"/>
      <c r="Q518" s="9"/>
      <c r="R518" s="9"/>
      <c r="S518" s="255"/>
      <c r="T518" s="255"/>
      <c r="U518" s="255"/>
      <c r="V518" s="255"/>
      <c r="W518" s="255"/>
      <c r="X518" s="255"/>
      <c r="Y518" s="255"/>
      <c r="Z518" s="255"/>
    </row>
    <row r="519" spans="1:26">
      <c r="A519" s="9"/>
      <c r="B519" s="9"/>
      <c r="C519" s="9"/>
      <c r="D519" s="9"/>
      <c r="E519" s="35"/>
      <c r="F519" s="35"/>
      <c r="G519" s="258"/>
      <c r="H519" s="267"/>
      <c r="I519" s="262"/>
      <c r="J519" s="267"/>
      <c r="K519" s="262"/>
      <c r="L519" s="115"/>
      <c r="M519" s="9"/>
      <c r="N519" s="9"/>
      <c r="O519" s="9"/>
      <c r="P519" s="9"/>
      <c r="Q519" s="9"/>
      <c r="R519" s="9"/>
      <c r="S519" s="255"/>
      <c r="T519" s="255"/>
      <c r="U519" s="255"/>
      <c r="V519" s="255"/>
      <c r="W519" s="255"/>
      <c r="X519" s="255"/>
      <c r="Y519" s="255"/>
      <c r="Z519" s="255"/>
    </row>
    <row r="520" spans="1:26">
      <c r="A520" s="9"/>
      <c r="B520" s="9"/>
      <c r="C520" s="9"/>
      <c r="D520" s="9"/>
      <c r="E520" s="35"/>
      <c r="F520" s="35"/>
      <c r="G520" s="258"/>
      <c r="H520" s="267"/>
      <c r="I520" s="262"/>
      <c r="J520" s="267"/>
      <c r="K520" s="262"/>
      <c r="L520" s="115"/>
      <c r="M520" s="9"/>
      <c r="N520" s="9"/>
      <c r="O520" s="9"/>
      <c r="P520" s="9"/>
      <c r="Q520" s="9"/>
      <c r="R520" s="9"/>
      <c r="S520" s="255"/>
      <c r="T520" s="255"/>
      <c r="U520" s="255"/>
      <c r="V520" s="255"/>
      <c r="W520" s="255"/>
      <c r="X520" s="255"/>
      <c r="Y520" s="255"/>
      <c r="Z520" s="255"/>
    </row>
    <row r="521" spans="1:26">
      <c r="A521" s="9"/>
      <c r="B521" s="9"/>
      <c r="C521" s="9"/>
      <c r="D521" s="9"/>
      <c r="E521" s="35"/>
      <c r="F521" s="35"/>
      <c r="G521" s="258"/>
      <c r="H521" s="267"/>
      <c r="I521" s="262"/>
      <c r="J521" s="267"/>
      <c r="K521" s="262"/>
      <c r="L521" s="115"/>
      <c r="M521" s="9"/>
      <c r="N521" s="9"/>
      <c r="O521" s="9"/>
      <c r="P521" s="9"/>
      <c r="Q521" s="9"/>
      <c r="R521" s="9"/>
      <c r="S521" s="255"/>
      <c r="T521" s="255"/>
      <c r="U521" s="255"/>
      <c r="V521" s="255"/>
      <c r="W521" s="255"/>
      <c r="X521" s="255"/>
      <c r="Y521" s="255"/>
      <c r="Z521" s="255"/>
    </row>
    <row r="522" spans="1:26">
      <c r="A522" s="9"/>
      <c r="B522" s="9"/>
      <c r="C522" s="9"/>
      <c r="D522" s="9"/>
      <c r="E522" s="35"/>
      <c r="F522" s="35"/>
      <c r="G522" s="258"/>
      <c r="H522" s="267"/>
      <c r="I522" s="262"/>
      <c r="J522" s="267"/>
      <c r="K522" s="262"/>
      <c r="L522" s="115"/>
      <c r="M522" s="9"/>
      <c r="N522" s="9"/>
      <c r="O522" s="9"/>
      <c r="P522" s="9"/>
      <c r="Q522" s="9"/>
      <c r="R522" s="9"/>
      <c r="S522" s="255"/>
      <c r="T522" s="255"/>
      <c r="U522" s="255"/>
      <c r="V522" s="255"/>
      <c r="W522" s="255"/>
      <c r="X522" s="255"/>
      <c r="Y522" s="255"/>
      <c r="Z522" s="255"/>
    </row>
    <row r="523" spans="1:26">
      <c r="A523" s="9"/>
      <c r="B523" s="9"/>
      <c r="C523" s="9"/>
      <c r="D523" s="9"/>
      <c r="E523" s="35"/>
      <c r="F523" s="35"/>
      <c r="G523" s="258"/>
      <c r="H523" s="267"/>
      <c r="I523" s="262"/>
      <c r="J523" s="267"/>
      <c r="K523" s="262"/>
      <c r="L523" s="115"/>
      <c r="M523" s="9"/>
      <c r="N523" s="9"/>
      <c r="O523" s="9"/>
      <c r="P523" s="9"/>
      <c r="Q523" s="9"/>
      <c r="R523" s="9"/>
      <c r="S523" s="255"/>
      <c r="T523" s="255"/>
      <c r="U523" s="255"/>
      <c r="V523" s="255"/>
      <c r="W523" s="255"/>
      <c r="X523" s="255"/>
      <c r="Y523" s="255"/>
      <c r="Z523" s="255"/>
    </row>
    <row r="524" spans="1:26">
      <c r="A524" s="9"/>
      <c r="B524" s="9"/>
      <c r="C524" s="9"/>
      <c r="D524" s="9"/>
      <c r="E524" s="35"/>
      <c r="F524" s="35"/>
      <c r="G524" s="258"/>
      <c r="H524" s="267"/>
      <c r="I524" s="262"/>
      <c r="J524" s="267"/>
      <c r="K524" s="262"/>
      <c r="L524" s="115"/>
      <c r="M524" s="9"/>
      <c r="N524" s="9"/>
      <c r="O524" s="9"/>
      <c r="P524" s="9"/>
      <c r="Q524" s="9"/>
      <c r="R524" s="9"/>
      <c r="S524" s="255"/>
      <c r="T524" s="255"/>
      <c r="U524" s="255"/>
      <c r="V524" s="255"/>
      <c r="W524" s="255"/>
      <c r="X524" s="255"/>
      <c r="Y524" s="255"/>
      <c r="Z524" s="255"/>
    </row>
    <row r="525" spans="1:26">
      <c r="A525" s="9"/>
      <c r="B525" s="9"/>
      <c r="C525" s="9"/>
      <c r="D525" s="9"/>
      <c r="E525" s="35"/>
      <c r="F525" s="35"/>
      <c r="G525" s="258"/>
      <c r="H525" s="267"/>
      <c r="I525" s="262"/>
      <c r="J525" s="267"/>
      <c r="K525" s="262"/>
      <c r="L525" s="115"/>
      <c r="M525" s="9"/>
      <c r="N525" s="9"/>
      <c r="O525" s="9"/>
      <c r="P525" s="9"/>
      <c r="Q525" s="9"/>
      <c r="R525" s="9"/>
      <c r="S525" s="255"/>
      <c r="T525" s="255"/>
      <c r="U525" s="255"/>
      <c r="V525" s="255"/>
      <c r="W525" s="255"/>
      <c r="X525" s="255"/>
      <c r="Y525" s="255"/>
      <c r="Z525" s="255"/>
    </row>
    <row r="526" spans="1:26">
      <c r="A526" s="9"/>
      <c r="B526" s="9"/>
      <c r="C526" s="9"/>
      <c r="D526" s="9"/>
      <c r="E526" s="35"/>
      <c r="F526" s="35"/>
      <c r="G526" s="258"/>
      <c r="H526" s="267"/>
      <c r="I526" s="262"/>
      <c r="J526" s="267"/>
      <c r="K526" s="262"/>
      <c r="L526" s="115"/>
      <c r="M526" s="9"/>
      <c r="N526" s="9"/>
      <c r="O526" s="9"/>
      <c r="P526" s="9"/>
      <c r="Q526" s="9"/>
      <c r="R526" s="9"/>
      <c r="S526" s="255"/>
      <c r="T526" s="255"/>
      <c r="U526" s="255"/>
      <c r="V526" s="255"/>
      <c r="W526" s="255"/>
      <c r="X526" s="255"/>
      <c r="Y526" s="255"/>
      <c r="Z526" s="255"/>
    </row>
    <row r="527" spans="1:26">
      <c r="A527" s="9"/>
      <c r="B527" s="9"/>
      <c r="C527" s="9"/>
      <c r="D527" s="9"/>
      <c r="E527" s="35"/>
      <c r="F527" s="35"/>
      <c r="G527" s="258"/>
      <c r="H527" s="267"/>
      <c r="I527" s="262"/>
      <c r="J527" s="267"/>
      <c r="K527" s="262"/>
      <c r="L527" s="115"/>
      <c r="M527" s="9"/>
      <c r="N527" s="9"/>
      <c r="O527" s="9"/>
      <c r="P527" s="9"/>
      <c r="Q527" s="9"/>
      <c r="R527" s="9"/>
      <c r="S527" s="255"/>
      <c r="T527" s="255"/>
      <c r="U527" s="255"/>
      <c r="V527" s="255"/>
      <c r="W527" s="255"/>
      <c r="X527" s="255"/>
      <c r="Y527" s="255"/>
      <c r="Z527" s="255"/>
    </row>
    <row r="528" spans="1:26">
      <c r="A528" s="9"/>
      <c r="B528" s="9"/>
      <c r="C528" s="9"/>
      <c r="D528" s="9"/>
      <c r="E528" s="35"/>
      <c r="F528" s="35"/>
      <c r="G528" s="258"/>
      <c r="H528" s="267"/>
      <c r="I528" s="262"/>
      <c r="J528" s="267"/>
      <c r="K528" s="262"/>
      <c r="L528" s="115"/>
      <c r="M528" s="9"/>
      <c r="N528" s="9"/>
      <c r="O528" s="9"/>
      <c r="P528" s="9"/>
      <c r="Q528" s="9"/>
      <c r="R528" s="9"/>
      <c r="S528" s="255"/>
      <c r="T528" s="255"/>
      <c r="U528" s="255"/>
      <c r="V528" s="255"/>
      <c r="W528" s="255"/>
      <c r="X528" s="255"/>
      <c r="Y528" s="255"/>
      <c r="Z528" s="255"/>
    </row>
    <row r="529" spans="1:26">
      <c r="A529" s="9"/>
      <c r="B529" s="9"/>
      <c r="C529" s="9"/>
      <c r="D529" s="9"/>
      <c r="E529" s="35"/>
      <c r="F529" s="35"/>
      <c r="G529" s="258"/>
      <c r="H529" s="267"/>
      <c r="I529" s="262"/>
      <c r="J529" s="267"/>
      <c r="K529" s="262"/>
      <c r="L529" s="115"/>
      <c r="M529" s="9"/>
      <c r="N529" s="9"/>
      <c r="O529" s="9"/>
      <c r="P529" s="9"/>
      <c r="Q529" s="9"/>
      <c r="R529" s="9"/>
      <c r="S529" s="255"/>
      <c r="T529" s="255"/>
      <c r="U529" s="255"/>
      <c r="V529" s="255"/>
      <c r="W529" s="255"/>
      <c r="X529" s="255"/>
      <c r="Y529" s="255"/>
      <c r="Z529" s="255"/>
    </row>
    <row r="530" spans="1:26">
      <c r="A530" s="9"/>
      <c r="B530" s="9"/>
      <c r="C530" s="9"/>
      <c r="D530" s="9"/>
      <c r="E530" s="35"/>
      <c r="F530" s="35"/>
      <c r="G530" s="258"/>
      <c r="H530" s="267"/>
      <c r="I530" s="262"/>
      <c r="J530" s="267"/>
      <c r="K530" s="262"/>
      <c r="L530" s="115"/>
      <c r="M530" s="9"/>
      <c r="N530" s="9"/>
      <c r="O530" s="9"/>
      <c r="P530" s="9"/>
      <c r="Q530" s="9"/>
      <c r="R530" s="9"/>
      <c r="S530" s="255"/>
      <c r="T530" s="255"/>
      <c r="U530" s="255"/>
      <c r="V530" s="255"/>
      <c r="W530" s="255"/>
      <c r="X530" s="255"/>
      <c r="Y530" s="255"/>
      <c r="Z530" s="255"/>
    </row>
    <row r="531" spans="1:26">
      <c r="A531" s="9"/>
      <c r="B531" s="9"/>
      <c r="C531" s="9"/>
      <c r="D531" s="9"/>
      <c r="E531" s="35"/>
      <c r="F531" s="35"/>
      <c r="G531" s="258"/>
      <c r="H531" s="267"/>
      <c r="I531" s="262"/>
      <c r="J531" s="267"/>
      <c r="K531" s="262"/>
      <c r="L531" s="115"/>
      <c r="M531" s="9"/>
      <c r="N531" s="9"/>
      <c r="O531" s="9"/>
      <c r="P531" s="9"/>
      <c r="Q531" s="9"/>
      <c r="R531" s="9"/>
      <c r="S531" s="255"/>
      <c r="T531" s="255"/>
      <c r="U531" s="255"/>
      <c r="V531" s="255"/>
      <c r="W531" s="255"/>
      <c r="X531" s="255"/>
      <c r="Y531" s="255"/>
      <c r="Z531" s="255"/>
    </row>
    <row r="532" spans="1:26">
      <c r="A532" s="9"/>
      <c r="B532" s="9"/>
      <c r="C532" s="9"/>
      <c r="D532" s="9"/>
      <c r="E532" s="35"/>
      <c r="F532" s="35"/>
      <c r="G532" s="258"/>
      <c r="H532" s="267"/>
      <c r="I532" s="262"/>
      <c r="J532" s="267"/>
      <c r="K532" s="262"/>
      <c r="L532" s="115"/>
      <c r="M532" s="9"/>
      <c r="N532" s="9"/>
      <c r="O532" s="9"/>
      <c r="P532" s="9"/>
      <c r="Q532" s="9"/>
      <c r="R532" s="9"/>
      <c r="S532" s="255"/>
      <c r="T532" s="255"/>
      <c r="U532" s="255"/>
      <c r="V532" s="255"/>
      <c r="W532" s="255"/>
      <c r="X532" s="255"/>
      <c r="Y532" s="255"/>
      <c r="Z532" s="255"/>
    </row>
    <row r="533" spans="1:26">
      <c r="A533" s="9"/>
      <c r="B533" s="9"/>
      <c r="C533" s="9"/>
      <c r="D533" s="9"/>
      <c r="E533" s="35"/>
      <c r="F533" s="35"/>
      <c r="G533" s="258"/>
      <c r="H533" s="267"/>
      <c r="I533" s="262"/>
      <c r="J533" s="267"/>
      <c r="K533" s="262"/>
      <c r="L533" s="115"/>
      <c r="M533" s="9"/>
      <c r="N533" s="9"/>
      <c r="O533" s="9"/>
      <c r="P533" s="9"/>
      <c r="Q533" s="9"/>
      <c r="R533" s="9"/>
      <c r="S533" s="255"/>
      <c r="T533" s="255"/>
      <c r="U533" s="255"/>
      <c r="V533" s="255"/>
      <c r="W533" s="255"/>
      <c r="X533" s="255"/>
      <c r="Y533" s="255"/>
      <c r="Z533" s="255"/>
    </row>
    <row r="534" spans="1:26">
      <c r="A534" s="9"/>
      <c r="B534" s="9"/>
      <c r="C534" s="9"/>
      <c r="D534" s="9"/>
      <c r="E534" s="35"/>
      <c r="F534" s="35"/>
      <c r="G534" s="258"/>
      <c r="H534" s="267"/>
      <c r="I534" s="262"/>
      <c r="J534" s="267"/>
      <c r="K534" s="262"/>
      <c r="L534" s="115"/>
      <c r="M534" s="9"/>
      <c r="N534" s="9"/>
      <c r="O534" s="9"/>
      <c r="P534" s="9"/>
      <c r="Q534" s="9"/>
      <c r="R534" s="9"/>
      <c r="S534" s="255"/>
      <c r="T534" s="255"/>
      <c r="U534" s="255"/>
      <c r="V534" s="255"/>
      <c r="W534" s="255"/>
      <c r="X534" s="255"/>
      <c r="Y534" s="255"/>
      <c r="Z534" s="255"/>
    </row>
    <row r="535" spans="1:26">
      <c r="A535" s="9"/>
      <c r="B535" s="9"/>
      <c r="C535" s="9"/>
      <c r="D535" s="9"/>
      <c r="E535" s="35"/>
      <c r="F535" s="35"/>
      <c r="G535" s="258"/>
      <c r="H535" s="267"/>
      <c r="I535" s="262"/>
      <c r="J535" s="267"/>
      <c r="K535" s="262"/>
      <c r="L535" s="115"/>
      <c r="M535" s="9"/>
      <c r="N535" s="9"/>
      <c r="O535" s="9"/>
      <c r="P535" s="9"/>
      <c r="Q535" s="9"/>
      <c r="R535" s="9"/>
      <c r="S535" s="255"/>
      <c r="T535" s="255"/>
      <c r="U535" s="255"/>
      <c r="V535" s="255"/>
      <c r="W535" s="255"/>
      <c r="X535" s="255"/>
      <c r="Y535" s="255"/>
      <c r="Z535" s="255"/>
    </row>
    <row r="536" spans="1:26">
      <c r="A536" s="9"/>
      <c r="B536" s="9"/>
      <c r="C536" s="9"/>
      <c r="D536" s="9"/>
      <c r="E536" s="35"/>
      <c r="F536" s="35"/>
      <c r="G536" s="258"/>
      <c r="H536" s="267"/>
      <c r="I536" s="262"/>
      <c r="J536" s="267"/>
      <c r="K536" s="262"/>
      <c r="L536" s="115"/>
      <c r="M536" s="9"/>
      <c r="N536" s="9"/>
      <c r="O536" s="9"/>
      <c r="P536" s="9"/>
      <c r="Q536" s="9"/>
      <c r="R536" s="9"/>
      <c r="S536" s="255"/>
      <c r="T536" s="255"/>
      <c r="U536" s="255"/>
      <c r="V536" s="255"/>
      <c r="W536" s="255"/>
      <c r="X536" s="255"/>
      <c r="Y536" s="255"/>
      <c r="Z536" s="255"/>
    </row>
    <row r="537" spans="1:26">
      <c r="A537" s="9"/>
      <c r="B537" s="9"/>
      <c r="C537" s="9"/>
      <c r="D537" s="9"/>
      <c r="E537" s="35"/>
      <c r="F537" s="35"/>
      <c r="G537" s="258"/>
      <c r="H537" s="267"/>
      <c r="I537" s="262"/>
      <c r="J537" s="267"/>
      <c r="K537" s="262"/>
      <c r="L537" s="115"/>
      <c r="M537" s="9"/>
      <c r="N537" s="9"/>
      <c r="O537" s="9"/>
      <c r="P537" s="9"/>
      <c r="Q537" s="9"/>
      <c r="R537" s="9"/>
      <c r="S537" s="255"/>
      <c r="T537" s="255"/>
      <c r="U537" s="255"/>
      <c r="V537" s="255"/>
      <c r="W537" s="255"/>
      <c r="X537" s="255"/>
      <c r="Y537" s="255"/>
      <c r="Z537" s="255"/>
    </row>
    <row r="538" spans="1:26">
      <c r="A538" s="9"/>
      <c r="B538" s="9"/>
      <c r="C538" s="9"/>
      <c r="D538" s="9"/>
      <c r="E538" s="35"/>
      <c r="F538" s="35"/>
      <c r="G538" s="258"/>
      <c r="H538" s="267"/>
      <c r="I538" s="262"/>
      <c r="J538" s="267"/>
      <c r="K538" s="262"/>
      <c r="L538" s="115"/>
      <c r="M538" s="9"/>
      <c r="N538" s="9"/>
      <c r="O538" s="9"/>
      <c r="P538" s="9"/>
      <c r="Q538" s="9"/>
      <c r="R538" s="9"/>
      <c r="S538" s="255"/>
      <c r="T538" s="255"/>
      <c r="U538" s="255"/>
      <c r="V538" s="255"/>
      <c r="W538" s="255"/>
      <c r="X538" s="255"/>
      <c r="Y538" s="255"/>
      <c r="Z538" s="255"/>
    </row>
    <row r="539" spans="1:26">
      <c r="A539" s="9"/>
      <c r="B539" s="9"/>
      <c r="C539" s="9"/>
      <c r="D539" s="9"/>
      <c r="E539" s="35"/>
      <c r="F539" s="35"/>
      <c r="G539" s="258"/>
      <c r="H539" s="267"/>
      <c r="I539" s="262"/>
      <c r="J539" s="267"/>
      <c r="K539" s="262"/>
      <c r="L539" s="115"/>
      <c r="M539" s="9"/>
      <c r="N539" s="9"/>
      <c r="O539" s="9"/>
      <c r="P539" s="9"/>
      <c r="Q539" s="9"/>
      <c r="R539" s="9"/>
      <c r="S539" s="255"/>
      <c r="T539" s="255"/>
      <c r="U539" s="255"/>
      <c r="V539" s="255"/>
      <c r="W539" s="255"/>
      <c r="X539" s="255"/>
      <c r="Y539" s="255"/>
      <c r="Z539" s="255"/>
    </row>
    <row r="540" spans="1:26">
      <c r="A540" s="9"/>
      <c r="B540" s="9"/>
      <c r="C540" s="9"/>
      <c r="D540" s="9"/>
      <c r="E540" s="35"/>
      <c r="F540" s="35"/>
      <c r="G540" s="258"/>
      <c r="H540" s="267"/>
      <c r="I540" s="262"/>
      <c r="J540" s="267"/>
      <c r="K540" s="262"/>
      <c r="L540" s="115"/>
      <c r="M540" s="9"/>
      <c r="N540" s="9"/>
      <c r="O540" s="9"/>
      <c r="P540" s="9"/>
      <c r="Q540" s="9"/>
      <c r="R540" s="9"/>
      <c r="S540" s="255"/>
      <c r="T540" s="255"/>
      <c r="U540" s="255"/>
      <c r="V540" s="255"/>
      <c r="W540" s="255"/>
      <c r="X540" s="255"/>
      <c r="Y540" s="255"/>
      <c r="Z540" s="255"/>
    </row>
    <row r="541" spans="1:26">
      <c r="A541" s="9"/>
      <c r="B541" s="9"/>
      <c r="C541" s="9"/>
      <c r="D541" s="9"/>
      <c r="E541" s="35"/>
      <c r="F541" s="35"/>
      <c r="G541" s="258"/>
      <c r="H541" s="267"/>
      <c r="I541" s="262"/>
      <c r="J541" s="267"/>
      <c r="K541" s="262"/>
      <c r="L541" s="115"/>
      <c r="M541" s="9"/>
      <c r="N541" s="9"/>
      <c r="O541" s="9"/>
      <c r="P541" s="9"/>
      <c r="Q541" s="9"/>
      <c r="R541" s="9"/>
      <c r="S541" s="255"/>
      <c r="T541" s="255"/>
      <c r="U541" s="255"/>
      <c r="V541" s="255"/>
      <c r="W541" s="255"/>
      <c r="X541" s="255"/>
      <c r="Y541" s="255"/>
      <c r="Z541" s="255"/>
    </row>
    <row r="542" spans="1:26">
      <c r="A542" s="9"/>
      <c r="B542" s="9"/>
      <c r="C542" s="9"/>
      <c r="D542" s="9"/>
      <c r="E542" s="35"/>
      <c r="F542" s="35"/>
      <c r="G542" s="258"/>
      <c r="H542" s="267"/>
      <c r="I542" s="262"/>
      <c r="J542" s="267"/>
      <c r="K542" s="262"/>
      <c r="L542" s="115"/>
      <c r="M542" s="9"/>
      <c r="N542" s="9"/>
      <c r="O542" s="9"/>
      <c r="P542" s="9"/>
      <c r="Q542" s="9"/>
      <c r="R542" s="9"/>
      <c r="S542" s="255"/>
      <c r="T542" s="255"/>
      <c r="U542" s="255"/>
      <c r="V542" s="255"/>
      <c r="W542" s="255"/>
      <c r="X542" s="255"/>
      <c r="Y542" s="255"/>
      <c r="Z542" s="255"/>
    </row>
    <row r="543" spans="1:26">
      <c r="A543" s="9"/>
      <c r="B543" s="9"/>
      <c r="C543" s="9"/>
      <c r="D543" s="9"/>
      <c r="E543" s="35"/>
      <c r="F543" s="35"/>
      <c r="G543" s="258"/>
      <c r="H543" s="267"/>
      <c r="I543" s="262"/>
      <c r="J543" s="267"/>
      <c r="K543" s="262"/>
      <c r="L543" s="115"/>
      <c r="M543" s="9"/>
      <c r="N543" s="9"/>
      <c r="O543" s="9"/>
      <c r="P543" s="9"/>
      <c r="Q543" s="9"/>
      <c r="R543" s="9"/>
      <c r="S543" s="255"/>
      <c r="T543" s="255"/>
      <c r="U543" s="255"/>
      <c r="V543" s="255"/>
      <c r="W543" s="255"/>
      <c r="X543" s="255"/>
      <c r="Y543" s="255"/>
      <c r="Z543" s="255"/>
    </row>
    <row r="544" spans="1:26">
      <c r="A544" s="9"/>
      <c r="B544" s="9"/>
      <c r="C544" s="9"/>
      <c r="D544" s="9"/>
      <c r="E544" s="35"/>
      <c r="F544" s="35"/>
      <c r="G544" s="258"/>
      <c r="H544" s="267"/>
      <c r="I544" s="262"/>
      <c r="J544" s="267"/>
      <c r="K544" s="262"/>
      <c r="L544" s="115"/>
      <c r="M544" s="9"/>
      <c r="N544" s="9"/>
      <c r="O544" s="9"/>
      <c r="P544" s="9"/>
      <c r="Q544" s="9"/>
      <c r="R544" s="9"/>
      <c r="S544" s="255"/>
      <c r="T544" s="255"/>
      <c r="U544" s="255"/>
      <c r="V544" s="255"/>
      <c r="W544" s="255"/>
      <c r="X544" s="255"/>
      <c r="Y544" s="255"/>
      <c r="Z544" s="255"/>
    </row>
    <row r="545" spans="1:26">
      <c r="A545" s="9"/>
      <c r="B545" s="9"/>
      <c r="C545" s="9"/>
      <c r="D545" s="9"/>
      <c r="E545" s="35"/>
      <c r="F545" s="35"/>
      <c r="G545" s="258"/>
      <c r="H545" s="267"/>
      <c r="I545" s="262"/>
      <c r="J545" s="267"/>
      <c r="K545" s="262"/>
      <c r="L545" s="115"/>
      <c r="M545" s="9"/>
      <c r="N545" s="9"/>
      <c r="O545" s="9"/>
      <c r="P545" s="9"/>
      <c r="Q545" s="9"/>
      <c r="R545" s="9"/>
      <c r="S545" s="255"/>
      <c r="T545" s="255"/>
      <c r="U545" s="255"/>
      <c r="V545" s="255"/>
      <c r="W545" s="255"/>
      <c r="X545" s="255"/>
      <c r="Y545" s="255"/>
      <c r="Z545" s="255"/>
    </row>
    <row r="546" spans="1:26">
      <c r="A546" s="9"/>
      <c r="B546" s="9"/>
      <c r="C546" s="9"/>
      <c r="D546" s="9"/>
      <c r="E546" s="35"/>
      <c r="F546" s="35"/>
      <c r="G546" s="258"/>
      <c r="H546" s="267"/>
      <c r="I546" s="262"/>
      <c r="J546" s="267"/>
      <c r="K546" s="262"/>
      <c r="L546" s="115"/>
      <c r="M546" s="9"/>
      <c r="N546" s="9"/>
      <c r="O546" s="9"/>
      <c r="P546" s="9"/>
      <c r="Q546" s="9"/>
      <c r="R546" s="9"/>
      <c r="S546" s="255"/>
      <c r="T546" s="255"/>
      <c r="U546" s="255"/>
      <c r="V546" s="255"/>
      <c r="W546" s="255"/>
      <c r="X546" s="255"/>
      <c r="Y546" s="255"/>
      <c r="Z546" s="255"/>
    </row>
    <row r="547" spans="1:26">
      <c r="A547" s="9"/>
      <c r="B547" s="9"/>
      <c r="C547" s="9"/>
      <c r="D547" s="9"/>
      <c r="E547" s="35"/>
      <c r="F547" s="35"/>
      <c r="G547" s="258"/>
      <c r="H547" s="267"/>
      <c r="I547" s="262"/>
      <c r="J547" s="267"/>
      <c r="K547" s="262"/>
      <c r="L547" s="115"/>
      <c r="M547" s="9"/>
      <c r="N547" s="9"/>
      <c r="O547" s="9"/>
      <c r="P547" s="9"/>
      <c r="Q547" s="9"/>
      <c r="R547" s="9"/>
      <c r="S547" s="255"/>
      <c r="T547" s="255"/>
      <c r="U547" s="255"/>
      <c r="V547" s="255"/>
      <c r="W547" s="255"/>
      <c r="X547" s="255"/>
      <c r="Y547" s="255"/>
      <c r="Z547" s="255"/>
    </row>
    <row r="548" spans="1:26">
      <c r="A548" s="9"/>
      <c r="B548" s="9"/>
      <c r="C548" s="9"/>
      <c r="D548" s="9"/>
      <c r="E548" s="35"/>
      <c r="F548" s="35"/>
      <c r="G548" s="258"/>
      <c r="H548" s="267"/>
      <c r="I548" s="262"/>
      <c r="J548" s="267"/>
      <c r="K548" s="262"/>
      <c r="L548" s="115"/>
      <c r="M548" s="9"/>
      <c r="N548" s="9"/>
      <c r="O548" s="9"/>
      <c r="P548" s="9"/>
      <c r="Q548" s="9"/>
      <c r="R548" s="9"/>
      <c r="S548" s="255"/>
      <c r="T548" s="255"/>
      <c r="U548" s="255"/>
      <c r="V548" s="255"/>
      <c r="W548" s="255"/>
      <c r="X548" s="255"/>
      <c r="Y548" s="255"/>
      <c r="Z548" s="255"/>
    </row>
    <row r="549" spans="1:26">
      <c r="A549" s="9"/>
      <c r="B549" s="9"/>
      <c r="C549" s="9"/>
      <c r="D549" s="9"/>
      <c r="E549" s="35"/>
      <c r="F549" s="35"/>
      <c r="G549" s="258"/>
      <c r="H549" s="267"/>
      <c r="I549" s="262"/>
      <c r="J549" s="267"/>
      <c r="K549" s="262"/>
      <c r="L549" s="115"/>
      <c r="M549" s="9"/>
      <c r="N549" s="9"/>
      <c r="O549" s="9"/>
      <c r="P549" s="9"/>
      <c r="Q549" s="9"/>
      <c r="R549" s="9"/>
      <c r="S549" s="255"/>
      <c r="T549" s="255"/>
      <c r="U549" s="255"/>
      <c r="V549" s="255"/>
      <c r="W549" s="255"/>
      <c r="X549" s="255"/>
      <c r="Y549" s="255"/>
      <c r="Z549" s="255"/>
    </row>
    <row r="550" spans="1:26">
      <c r="A550" s="9"/>
      <c r="B550" s="9"/>
      <c r="C550" s="9"/>
      <c r="D550" s="9"/>
      <c r="E550" s="35"/>
      <c r="F550" s="35"/>
      <c r="G550" s="258"/>
      <c r="H550" s="267"/>
      <c r="I550" s="262"/>
      <c r="J550" s="267"/>
      <c r="K550" s="262"/>
      <c r="L550" s="115"/>
      <c r="M550" s="9"/>
      <c r="N550" s="9"/>
      <c r="O550" s="9"/>
      <c r="P550" s="9"/>
      <c r="Q550" s="9"/>
      <c r="R550" s="9"/>
      <c r="S550" s="255"/>
      <c r="T550" s="255"/>
      <c r="U550" s="255"/>
      <c r="V550" s="255"/>
      <c r="W550" s="255"/>
      <c r="X550" s="255"/>
      <c r="Y550" s="255"/>
      <c r="Z550" s="255"/>
    </row>
    <row r="551" spans="1:26">
      <c r="A551" s="9"/>
      <c r="B551" s="9"/>
      <c r="C551" s="9"/>
      <c r="D551" s="9"/>
      <c r="E551" s="35"/>
      <c r="F551" s="35"/>
      <c r="G551" s="258"/>
      <c r="H551" s="267"/>
      <c r="I551" s="262"/>
      <c r="J551" s="267"/>
      <c r="K551" s="262"/>
      <c r="L551" s="115"/>
      <c r="M551" s="9"/>
      <c r="N551" s="9"/>
      <c r="O551" s="9"/>
      <c r="P551" s="9"/>
      <c r="Q551" s="9"/>
      <c r="R551" s="9"/>
      <c r="S551" s="255"/>
      <c r="T551" s="255"/>
      <c r="U551" s="255"/>
      <c r="V551" s="255"/>
      <c r="W551" s="255"/>
      <c r="X551" s="255"/>
      <c r="Y551" s="255"/>
      <c r="Z551" s="255"/>
    </row>
    <row r="552" spans="1:26">
      <c r="A552" s="9"/>
      <c r="B552" s="9"/>
      <c r="C552" s="9"/>
      <c r="D552" s="9"/>
      <c r="E552" s="35"/>
      <c r="F552" s="35"/>
      <c r="G552" s="258"/>
      <c r="H552" s="267"/>
      <c r="I552" s="262"/>
      <c r="J552" s="267"/>
      <c r="K552" s="262"/>
      <c r="L552" s="115"/>
      <c r="M552" s="9"/>
      <c r="N552" s="9"/>
      <c r="O552" s="9"/>
      <c r="P552" s="9"/>
      <c r="Q552" s="9"/>
      <c r="R552" s="9"/>
      <c r="S552" s="255"/>
      <c r="T552" s="255"/>
      <c r="U552" s="255"/>
      <c r="V552" s="255"/>
      <c r="W552" s="255"/>
      <c r="X552" s="255"/>
      <c r="Y552" s="255"/>
      <c r="Z552" s="255"/>
    </row>
    <row r="553" spans="1:26">
      <c r="A553" s="9"/>
      <c r="B553" s="9"/>
      <c r="C553" s="9"/>
      <c r="D553" s="9"/>
      <c r="E553" s="35"/>
      <c r="F553" s="35"/>
      <c r="G553" s="258"/>
      <c r="H553" s="267"/>
      <c r="I553" s="262"/>
      <c r="J553" s="267"/>
      <c r="K553" s="262"/>
      <c r="L553" s="115"/>
      <c r="M553" s="9"/>
      <c r="N553" s="9"/>
      <c r="O553" s="9"/>
      <c r="P553" s="9"/>
      <c r="Q553" s="9"/>
      <c r="R553" s="9"/>
      <c r="S553" s="255"/>
      <c r="T553" s="255"/>
      <c r="U553" s="255"/>
      <c r="V553" s="255"/>
      <c r="W553" s="255"/>
      <c r="X553" s="255"/>
      <c r="Y553" s="255"/>
      <c r="Z553" s="255"/>
    </row>
    <row r="554" spans="1:26">
      <c r="A554" s="9"/>
      <c r="B554" s="9"/>
      <c r="C554" s="9"/>
      <c r="D554" s="9"/>
      <c r="E554" s="35"/>
      <c r="F554" s="35"/>
      <c r="G554" s="258"/>
      <c r="H554" s="267"/>
      <c r="I554" s="262"/>
      <c r="J554" s="267"/>
      <c r="K554" s="262"/>
      <c r="L554" s="115"/>
      <c r="M554" s="9"/>
      <c r="N554" s="9"/>
      <c r="O554" s="9"/>
      <c r="P554" s="9"/>
      <c r="Q554" s="9"/>
      <c r="R554" s="9"/>
      <c r="S554" s="255"/>
      <c r="T554" s="255"/>
      <c r="U554" s="255"/>
      <c r="V554" s="255"/>
      <c r="W554" s="255"/>
      <c r="X554" s="255"/>
      <c r="Y554" s="255"/>
      <c r="Z554" s="255"/>
    </row>
    <row r="555" spans="1:26">
      <c r="A555" s="9"/>
      <c r="B555" s="9"/>
      <c r="C555" s="9"/>
      <c r="D555" s="9"/>
      <c r="E555" s="35"/>
      <c r="F555" s="35"/>
      <c r="G555" s="258"/>
      <c r="H555" s="267"/>
      <c r="I555" s="262"/>
      <c r="J555" s="267"/>
      <c r="K555" s="262"/>
      <c r="L555" s="115"/>
      <c r="M555" s="9"/>
      <c r="N555" s="9"/>
      <c r="O555" s="9"/>
      <c r="P555" s="9"/>
      <c r="Q555" s="9"/>
      <c r="R555" s="9"/>
      <c r="S555" s="255"/>
      <c r="T555" s="255"/>
      <c r="U555" s="255"/>
      <c r="V555" s="255"/>
      <c r="W555" s="255"/>
      <c r="X555" s="255"/>
      <c r="Y555" s="255"/>
      <c r="Z555" s="255"/>
    </row>
    <row r="556" spans="1:26">
      <c r="A556" s="9"/>
      <c r="B556" s="9"/>
      <c r="C556" s="9"/>
      <c r="D556" s="9"/>
      <c r="E556" s="35"/>
      <c r="F556" s="35"/>
      <c r="G556" s="258"/>
      <c r="H556" s="267"/>
      <c r="I556" s="262"/>
      <c r="J556" s="267"/>
      <c r="K556" s="262"/>
      <c r="L556" s="115"/>
      <c r="M556" s="9"/>
      <c r="N556" s="9"/>
      <c r="O556" s="9"/>
      <c r="P556" s="9"/>
      <c r="Q556" s="9"/>
      <c r="R556" s="9"/>
      <c r="S556" s="255"/>
      <c r="T556" s="255"/>
      <c r="U556" s="255"/>
      <c r="V556" s="255"/>
      <c r="W556" s="255"/>
      <c r="X556" s="255"/>
      <c r="Y556" s="255"/>
      <c r="Z556" s="255"/>
    </row>
    <row r="557" spans="1:26">
      <c r="A557" s="9"/>
      <c r="B557" s="9"/>
      <c r="C557" s="9"/>
      <c r="D557" s="9"/>
      <c r="E557" s="35"/>
      <c r="F557" s="35"/>
      <c r="G557" s="258"/>
      <c r="H557" s="267"/>
      <c r="I557" s="262"/>
      <c r="J557" s="267"/>
      <c r="K557" s="262"/>
      <c r="L557" s="115"/>
      <c r="M557" s="9"/>
      <c r="N557" s="9"/>
      <c r="O557" s="9"/>
      <c r="P557" s="9"/>
      <c r="Q557" s="9"/>
      <c r="R557" s="9"/>
      <c r="S557" s="255"/>
      <c r="T557" s="255"/>
      <c r="U557" s="255"/>
      <c r="V557" s="255"/>
      <c r="W557" s="255"/>
      <c r="X557" s="255"/>
      <c r="Y557" s="255"/>
      <c r="Z557" s="255"/>
    </row>
    <row r="558" spans="1:26">
      <c r="A558" s="9"/>
      <c r="B558" s="9"/>
      <c r="C558" s="9"/>
      <c r="D558" s="9"/>
      <c r="E558" s="35"/>
      <c r="F558" s="35"/>
      <c r="G558" s="258"/>
      <c r="H558" s="267"/>
      <c r="I558" s="262"/>
      <c r="J558" s="267"/>
      <c r="K558" s="262"/>
      <c r="L558" s="115"/>
      <c r="M558" s="9"/>
      <c r="N558" s="9"/>
      <c r="O558" s="9"/>
      <c r="P558" s="9"/>
      <c r="Q558" s="9"/>
      <c r="R558" s="9"/>
      <c r="S558" s="255"/>
      <c r="T558" s="255"/>
      <c r="U558" s="255"/>
      <c r="V558" s="255"/>
      <c r="W558" s="255"/>
      <c r="X558" s="255"/>
      <c r="Y558" s="255"/>
      <c r="Z558" s="255"/>
    </row>
    <row r="559" spans="1:26">
      <c r="A559" s="9"/>
      <c r="B559" s="9"/>
      <c r="C559" s="9"/>
      <c r="D559" s="9"/>
      <c r="E559" s="35"/>
      <c r="F559" s="35"/>
      <c r="G559" s="258"/>
      <c r="H559" s="267"/>
      <c r="I559" s="262"/>
      <c r="J559" s="267"/>
      <c r="K559" s="262"/>
      <c r="L559" s="115"/>
      <c r="M559" s="9"/>
      <c r="N559" s="9"/>
      <c r="O559" s="9"/>
      <c r="P559" s="9"/>
      <c r="Q559" s="9"/>
      <c r="R559" s="9"/>
      <c r="S559" s="255"/>
      <c r="T559" s="255"/>
      <c r="U559" s="255"/>
      <c r="V559" s="255"/>
      <c r="W559" s="255"/>
      <c r="X559" s="255"/>
      <c r="Y559" s="255"/>
      <c r="Z559" s="255"/>
    </row>
    <row r="560" spans="1:26">
      <c r="A560" s="9"/>
      <c r="B560" s="9"/>
      <c r="C560" s="9"/>
      <c r="D560" s="9"/>
      <c r="E560" s="35"/>
      <c r="F560" s="35"/>
      <c r="G560" s="258"/>
      <c r="H560" s="267"/>
      <c r="I560" s="262"/>
      <c r="J560" s="267"/>
      <c r="K560" s="262"/>
      <c r="L560" s="115"/>
      <c r="M560" s="9"/>
      <c r="N560" s="9"/>
      <c r="O560" s="9"/>
      <c r="P560" s="9"/>
      <c r="Q560" s="9"/>
      <c r="R560" s="9"/>
      <c r="S560" s="255"/>
      <c r="T560" s="255"/>
      <c r="U560" s="255"/>
      <c r="V560" s="255"/>
      <c r="W560" s="255"/>
      <c r="X560" s="255"/>
      <c r="Y560" s="255"/>
      <c r="Z560" s="255"/>
    </row>
    <row r="561" spans="1:26">
      <c r="A561" s="9"/>
      <c r="B561" s="9"/>
      <c r="C561" s="9"/>
      <c r="D561" s="9"/>
      <c r="E561" s="35"/>
      <c r="F561" s="35"/>
      <c r="G561" s="258"/>
      <c r="H561" s="267"/>
      <c r="I561" s="262"/>
      <c r="J561" s="267"/>
      <c r="K561" s="262"/>
      <c r="L561" s="115"/>
      <c r="M561" s="9"/>
      <c r="N561" s="9"/>
      <c r="O561" s="9"/>
      <c r="P561" s="9"/>
      <c r="Q561" s="9"/>
      <c r="R561" s="9"/>
      <c r="S561" s="255"/>
      <c r="T561" s="255"/>
      <c r="U561" s="255"/>
      <c r="V561" s="255"/>
      <c r="W561" s="255"/>
      <c r="X561" s="255"/>
      <c r="Y561" s="255"/>
      <c r="Z561" s="255"/>
    </row>
    <row r="562" spans="1:26">
      <c r="A562" s="9"/>
      <c r="B562" s="9"/>
      <c r="C562" s="9"/>
      <c r="D562" s="9"/>
      <c r="E562" s="35"/>
      <c r="F562" s="35"/>
      <c r="G562" s="258"/>
      <c r="H562" s="267"/>
      <c r="I562" s="262"/>
      <c r="J562" s="267"/>
      <c r="K562" s="262"/>
      <c r="L562" s="115"/>
      <c r="M562" s="9"/>
      <c r="N562" s="9"/>
      <c r="O562" s="9"/>
      <c r="P562" s="9"/>
      <c r="Q562" s="9"/>
      <c r="R562" s="9"/>
      <c r="S562" s="255"/>
      <c r="T562" s="255"/>
      <c r="U562" s="255"/>
      <c r="V562" s="255"/>
      <c r="W562" s="255"/>
      <c r="X562" s="255"/>
      <c r="Y562" s="255"/>
      <c r="Z562" s="255"/>
    </row>
    <row r="563" spans="1:26">
      <c r="A563" s="9"/>
      <c r="B563" s="9"/>
      <c r="C563" s="9"/>
      <c r="D563" s="9"/>
      <c r="E563" s="35"/>
      <c r="F563" s="35"/>
      <c r="G563" s="258"/>
      <c r="H563" s="267"/>
      <c r="I563" s="262"/>
      <c r="J563" s="267"/>
      <c r="K563" s="262"/>
      <c r="L563" s="115"/>
      <c r="M563" s="9"/>
      <c r="N563" s="9"/>
      <c r="O563" s="9"/>
      <c r="P563" s="9"/>
      <c r="Q563" s="9"/>
      <c r="R563" s="9"/>
      <c r="S563" s="255"/>
      <c r="T563" s="255"/>
      <c r="U563" s="255"/>
      <c r="V563" s="255"/>
      <c r="W563" s="255"/>
      <c r="X563" s="255"/>
      <c r="Y563" s="255"/>
      <c r="Z563" s="255"/>
    </row>
    <row r="564" spans="1:26">
      <c r="A564" s="9"/>
      <c r="B564" s="9"/>
      <c r="C564" s="9"/>
      <c r="D564" s="9"/>
      <c r="E564" s="35"/>
      <c r="F564" s="35"/>
      <c r="G564" s="258"/>
      <c r="H564" s="267"/>
      <c r="I564" s="262"/>
      <c r="J564" s="267"/>
      <c r="K564" s="262"/>
      <c r="L564" s="115"/>
      <c r="M564" s="9"/>
      <c r="N564" s="9"/>
      <c r="O564" s="9"/>
      <c r="P564" s="9"/>
      <c r="Q564" s="9"/>
      <c r="R564" s="9"/>
      <c r="S564" s="255"/>
      <c r="T564" s="255"/>
      <c r="U564" s="255"/>
      <c r="V564" s="255"/>
      <c r="W564" s="255"/>
      <c r="X564" s="255"/>
      <c r="Y564" s="255"/>
      <c r="Z564" s="255"/>
    </row>
    <row r="565" spans="1:26">
      <c r="A565" s="9"/>
      <c r="B565" s="9"/>
      <c r="C565" s="9"/>
      <c r="D565" s="9"/>
      <c r="E565" s="35"/>
      <c r="F565" s="35"/>
      <c r="G565" s="258"/>
      <c r="H565" s="267"/>
      <c r="I565" s="262"/>
      <c r="J565" s="267"/>
      <c r="K565" s="262"/>
      <c r="L565" s="115"/>
      <c r="M565" s="9"/>
      <c r="N565" s="9"/>
      <c r="O565" s="9"/>
      <c r="P565" s="9"/>
      <c r="Q565" s="9"/>
      <c r="R565" s="9"/>
      <c r="S565" s="255"/>
      <c r="T565" s="255"/>
      <c r="U565" s="255"/>
      <c r="V565" s="255"/>
      <c r="W565" s="255"/>
      <c r="X565" s="255"/>
      <c r="Y565" s="255"/>
      <c r="Z565" s="255"/>
    </row>
    <row r="566" spans="1:26">
      <c r="A566" s="9"/>
      <c r="B566" s="9"/>
      <c r="C566" s="9"/>
      <c r="D566" s="9"/>
      <c r="E566" s="35"/>
      <c r="F566" s="35"/>
      <c r="G566" s="258"/>
      <c r="H566" s="267"/>
      <c r="I566" s="262"/>
      <c r="J566" s="267"/>
      <c r="K566" s="262"/>
      <c r="L566" s="115"/>
      <c r="M566" s="9"/>
      <c r="N566" s="9"/>
      <c r="O566" s="9"/>
      <c r="P566" s="9"/>
      <c r="Q566" s="9"/>
      <c r="R566" s="9"/>
      <c r="S566" s="255"/>
      <c r="T566" s="255"/>
      <c r="U566" s="255"/>
      <c r="V566" s="255"/>
      <c r="W566" s="255"/>
      <c r="X566" s="255"/>
      <c r="Y566" s="255"/>
      <c r="Z566" s="255"/>
    </row>
    <row r="567" spans="1:26">
      <c r="A567" s="9"/>
      <c r="B567" s="9"/>
      <c r="C567" s="9"/>
      <c r="D567" s="9"/>
      <c r="E567" s="35"/>
      <c r="F567" s="35"/>
      <c r="G567" s="258"/>
      <c r="H567" s="267"/>
      <c r="I567" s="262"/>
      <c r="J567" s="267"/>
      <c r="K567" s="262"/>
      <c r="L567" s="115"/>
      <c r="M567" s="9"/>
      <c r="N567" s="9"/>
      <c r="O567" s="9"/>
      <c r="P567" s="9"/>
      <c r="Q567" s="9"/>
      <c r="R567" s="9"/>
      <c r="S567" s="255"/>
      <c r="T567" s="255"/>
      <c r="U567" s="255"/>
      <c r="V567" s="255"/>
      <c r="W567" s="255"/>
      <c r="X567" s="255"/>
      <c r="Y567" s="255"/>
      <c r="Z567" s="255"/>
    </row>
    <row r="568" spans="1:26">
      <c r="A568" s="9"/>
      <c r="B568" s="9"/>
      <c r="C568" s="9"/>
      <c r="D568" s="9"/>
      <c r="E568" s="35"/>
      <c r="F568" s="35"/>
      <c r="G568" s="258"/>
      <c r="H568" s="267"/>
      <c r="I568" s="262"/>
      <c r="J568" s="267"/>
      <c r="K568" s="262"/>
      <c r="L568" s="115"/>
      <c r="M568" s="9"/>
      <c r="N568" s="9"/>
      <c r="O568" s="9"/>
      <c r="P568" s="9"/>
      <c r="Q568" s="9"/>
      <c r="R568" s="9"/>
      <c r="S568" s="255"/>
      <c r="T568" s="255"/>
      <c r="U568" s="255"/>
      <c r="V568" s="255"/>
      <c r="W568" s="255"/>
      <c r="X568" s="255"/>
      <c r="Y568" s="255"/>
      <c r="Z568" s="255"/>
    </row>
    <row r="569" spans="1:26">
      <c r="A569" s="9"/>
      <c r="B569" s="9"/>
      <c r="C569" s="9"/>
      <c r="D569" s="9"/>
      <c r="E569" s="35"/>
      <c r="F569" s="35"/>
      <c r="G569" s="258"/>
      <c r="H569" s="267"/>
      <c r="I569" s="262"/>
      <c r="J569" s="267"/>
      <c r="K569" s="262"/>
      <c r="L569" s="115"/>
      <c r="M569" s="9"/>
      <c r="N569" s="9"/>
      <c r="O569" s="9"/>
      <c r="P569" s="9"/>
      <c r="Q569" s="9"/>
      <c r="R569" s="9"/>
      <c r="S569" s="255"/>
      <c r="T569" s="255"/>
      <c r="U569" s="255"/>
      <c r="V569" s="255"/>
      <c r="W569" s="255"/>
      <c r="X569" s="255"/>
      <c r="Y569" s="255"/>
      <c r="Z569" s="255"/>
    </row>
    <row r="570" spans="1:26">
      <c r="A570" s="9"/>
      <c r="B570" s="9"/>
      <c r="C570" s="9"/>
      <c r="D570" s="9"/>
      <c r="E570" s="35"/>
      <c r="F570" s="35"/>
      <c r="G570" s="258"/>
      <c r="H570" s="267"/>
      <c r="I570" s="262"/>
      <c r="J570" s="267"/>
      <c r="K570" s="262"/>
      <c r="L570" s="115"/>
      <c r="M570" s="9"/>
      <c r="N570" s="9"/>
      <c r="O570" s="9"/>
      <c r="P570" s="9"/>
      <c r="Q570" s="9"/>
      <c r="R570" s="9"/>
      <c r="S570" s="255"/>
      <c r="T570" s="255"/>
      <c r="U570" s="255"/>
      <c r="V570" s="255"/>
      <c r="W570" s="255"/>
      <c r="X570" s="255"/>
      <c r="Y570" s="255"/>
      <c r="Z570" s="255"/>
    </row>
    <row r="571" spans="1:26">
      <c r="A571" s="9"/>
      <c r="B571" s="9"/>
      <c r="C571" s="9"/>
      <c r="D571" s="9"/>
      <c r="E571" s="35"/>
      <c r="F571" s="35"/>
      <c r="G571" s="258"/>
      <c r="H571" s="267"/>
      <c r="I571" s="262"/>
      <c r="J571" s="267"/>
      <c r="K571" s="262"/>
      <c r="L571" s="115"/>
      <c r="M571" s="9"/>
      <c r="N571" s="9"/>
      <c r="O571" s="9"/>
      <c r="P571" s="9"/>
      <c r="Q571" s="9"/>
      <c r="R571" s="9"/>
      <c r="S571" s="255"/>
      <c r="T571" s="255"/>
      <c r="U571" s="255"/>
      <c r="V571" s="255"/>
      <c r="W571" s="255"/>
      <c r="X571" s="255"/>
      <c r="Y571" s="255"/>
      <c r="Z571" s="255"/>
    </row>
    <row r="572" spans="1:26">
      <c r="A572" s="9"/>
      <c r="B572" s="9"/>
      <c r="C572" s="9"/>
      <c r="D572" s="9"/>
      <c r="E572" s="35"/>
      <c r="F572" s="35"/>
      <c r="G572" s="258"/>
      <c r="H572" s="267"/>
      <c r="I572" s="262"/>
      <c r="J572" s="267"/>
      <c r="K572" s="262"/>
      <c r="L572" s="115"/>
      <c r="M572" s="9"/>
      <c r="N572" s="9"/>
      <c r="O572" s="9"/>
      <c r="P572" s="9"/>
      <c r="Q572" s="9"/>
      <c r="R572" s="9"/>
      <c r="S572" s="255"/>
      <c r="T572" s="255"/>
      <c r="U572" s="255"/>
      <c r="V572" s="255"/>
      <c r="W572" s="255"/>
      <c r="X572" s="255"/>
      <c r="Y572" s="255"/>
      <c r="Z572" s="255"/>
    </row>
    <row r="573" spans="1:26">
      <c r="A573" s="9"/>
      <c r="B573" s="9"/>
      <c r="C573" s="9"/>
      <c r="D573" s="9"/>
      <c r="E573" s="35"/>
      <c r="F573" s="35"/>
      <c r="G573" s="258"/>
      <c r="H573" s="267"/>
      <c r="I573" s="262"/>
      <c r="J573" s="267"/>
      <c r="K573" s="262"/>
      <c r="L573" s="115"/>
      <c r="M573" s="9"/>
      <c r="N573" s="9"/>
      <c r="O573" s="9"/>
      <c r="P573" s="9"/>
      <c r="Q573" s="9"/>
      <c r="R573" s="9"/>
      <c r="S573" s="255"/>
      <c r="T573" s="255"/>
      <c r="U573" s="255"/>
      <c r="V573" s="255"/>
      <c r="W573" s="255"/>
      <c r="X573" s="255"/>
      <c r="Y573" s="255"/>
      <c r="Z573" s="255"/>
    </row>
    <row r="574" spans="1:26">
      <c r="A574" s="9"/>
      <c r="B574" s="9"/>
      <c r="C574" s="9"/>
      <c r="D574" s="9"/>
      <c r="E574" s="35"/>
      <c r="F574" s="35"/>
      <c r="G574" s="258"/>
      <c r="H574" s="267"/>
      <c r="I574" s="262"/>
      <c r="J574" s="267"/>
      <c r="K574" s="262"/>
      <c r="L574" s="115"/>
      <c r="M574" s="9"/>
      <c r="N574" s="9"/>
      <c r="O574" s="9"/>
      <c r="P574" s="9"/>
      <c r="Q574" s="9"/>
      <c r="R574" s="9"/>
      <c r="S574" s="255"/>
      <c r="T574" s="255"/>
      <c r="U574" s="255"/>
      <c r="V574" s="255"/>
      <c r="W574" s="255"/>
      <c r="X574" s="255"/>
      <c r="Y574" s="255"/>
      <c r="Z574" s="255"/>
    </row>
    <row r="575" spans="1:26">
      <c r="A575" s="9"/>
      <c r="B575" s="9"/>
      <c r="C575" s="9"/>
      <c r="D575" s="9"/>
      <c r="E575" s="35"/>
      <c r="F575" s="35"/>
      <c r="G575" s="258"/>
      <c r="H575" s="267"/>
      <c r="I575" s="262"/>
      <c r="J575" s="267"/>
      <c r="K575" s="262"/>
      <c r="L575" s="115"/>
      <c r="M575" s="9"/>
      <c r="N575" s="9"/>
      <c r="O575" s="9"/>
      <c r="P575" s="9"/>
      <c r="Q575" s="9"/>
      <c r="R575" s="9"/>
      <c r="S575" s="255"/>
      <c r="T575" s="255"/>
      <c r="U575" s="255"/>
      <c r="V575" s="255"/>
      <c r="W575" s="255"/>
      <c r="X575" s="255"/>
      <c r="Y575" s="255"/>
      <c r="Z575" s="255"/>
    </row>
    <row r="576" spans="1:26">
      <c r="A576" s="9"/>
      <c r="B576" s="9"/>
      <c r="C576" s="9"/>
      <c r="D576" s="9"/>
      <c r="E576" s="35"/>
      <c r="F576" s="35"/>
      <c r="G576" s="258"/>
      <c r="H576" s="267"/>
      <c r="I576" s="262"/>
      <c r="J576" s="267"/>
      <c r="K576" s="262"/>
      <c r="L576" s="115"/>
      <c r="M576" s="9"/>
      <c r="N576" s="9"/>
      <c r="O576" s="9"/>
      <c r="P576" s="9"/>
      <c r="Q576" s="9"/>
      <c r="R576" s="9"/>
      <c r="S576" s="255"/>
      <c r="T576" s="255"/>
      <c r="U576" s="255"/>
      <c r="V576" s="255"/>
      <c r="W576" s="255"/>
      <c r="X576" s="255"/>
      <c r="Y576" s="255"/>
      <c r="Z576" s="255"/>
    </row>
    <row r="577" spans="1:26">
      <c r="A577" s="9"/>
      <c r="B577" s="9"/>
      <c r="C577" s="9"/>
      <c r="D577" s="9"/>
      <c r="E577" s="35"/>
      <c r="F577" s="35"/>
      <c r="G577" s="258"/>
      <c r="H577" s="267"/>
      <c r="I577" s="262"/>
      <c r="J577" s="267"/>
      <c r="K577" s="262"/>
      <c r="L577" s="115"/>
      <c r="M577" s="9"/>
      <c r="N577" s="9"/>
      <c r="O577" s="9"/>
      <c r="P577" s="9"/>
      <c r="Q577" s="9"/>
      <c r="R577" s="9"/>
      <c r="S577" s="255"/>
      <c r="T577" s="255"/>
      <c r="U577" s="255"/>
      <c r="V577" s="255"/>
      <c r="W577" s="255"/>
      <c r="X577" s="255"/>
      <c r="Y577" s="255"/>
      <c r="Z577" s="255"/>
    </row>
    <row r="578" spans="1:26">
      <c r="A578" s="9"/>
      <c r="B578" s="9"/>
      <c r="C578" s="9"/>
      <c r="D578" s="9"/>
      <c r="E578" s="35"/>
      <c r="F578" s="35"/>
      <c r="G578" s="258"/>
      <c r="H578" s="267"/>
      <c r="I578" s="262"/>
      <c r="J578" s="267"/>
      <c r="K578" s="262"/>
      <c r="L578" s="115"/>
      <c r="M578" s="9"/>
      <c r="N578" s="9"/>
      <c r="O578" s="9"/>
      <c r="P578" s="9"/>
      <c r="Q578" s="9"/>
      <c r="R578" s="9"/>
      <c r="S578" s="255"/>
      <c r="T578" s="255"/>
      <c r="U578" s="255"/>
      <c r="V578" s="255"/>
      <c r="W578" s="255"/>
      <c r="X578" s="255"/>
      <c r="Y578" s="255"/>
      <c r="Z578" s="255"/>
    </row>
    <row r="579" spans="1:26">
      <c r="A579" s="9"/>
      <c r="B579" s="9"/>
      <c r="C579" s="9"/>
      <c r="D579" s="9"/>
      <c r="E579" s="35"/>
      <c r="F579" s="35"/>
      <c r="G579" s="258"/>
      <c r="H579" s="267"/>
      <c r="I579" s="262"/>
      <c r="J579" s="267"/>
      <c r="K579" s="262"/>
      <c r="L579" s="115"/>
      <c r="M579" s="9"/>
      <c r="N579" s="9"/>
      <c r="O579" s="9"/>
      <c r="P579" s="9"/>
      <c r="Q579" s="9"/>
      <c r="R579" s="9"/>
      <c r="S579" s="255"/>
      <c r="T579" s="255"/>
      <c r="U579" s="255"/>
      <c r="V579" s="255"/>
      <c r="W579" s="255"/>
      <c r="X579" s="255"/>
      <c r="Y579" s="255"/>
      <c r="Z579" s="255"/>
    </row>
    <row r="580" spans="1:26">
      <c r="A580" s="9"/>
      <c r="B580" s="9"/>
      <c r="C580" s="9"/>
      <c r="D580" s="9"/>
      <c r="E580" s="35"/>
      <c r="F580" s="35"/>
      <c r="G580" s="258"/>
      <c r="H580" s="267"/>
      <c r="I580" s="262"/>
      <c r="J580" s="267"/>
      <c r="K580" s="262"/>
      <c r="L580" s="115"/>
      <c r="M580" s="9"/>
      <c r="N580" s="9"/>
      <c r="O580" s="9"/>
      <c r="P580" s="9"/>
      <c r="Q580" s="9"/>
      <c r="R580" s="9"/>
      <c r="S580" s="255"/>
      <c r="T580" s="255"/>
      <c r="U580" s="255"/>
      <c r="V580" s="255"/>
      <c r="W580" s="255"/>
      <c r="X580" s="255"/>
      <c r="Y580" s="255"/>
      <c r="Z580" s="255"/>
    </row>
    <row r="581" spans="1:26">
      <c r="A581" s="9"/>
      <c r="B581" s="9"/>
      <c r="C581" s="9"/>
      <c r="D581" s="9"/>
      <c r="E581" s="35"/>
      <c r="F581" s="35"/>
      <c r="G581" s="258"/>
      <c r="H581" s="267"/>
      <c r="I581" s="262"/>
      <c r="J581" s="267"/>
      <c r="K581" s="262"/>
      <c r="L581" s="115"/>
      <c r="M581" s="9"/>
      <c r="N581" s="9"/>
      <c r="O581" s="9"/>
      <c r="P581" s="9"/>
      <c r="Q581" s="9"/>
      <c r="R581" s="9"/>
      <c r="S581" s="255"/>
      <c r="T581" s="255"/>
      <c r="U581" s="255"/>
      <c r="V581" s="255"/>
      <c r="W581" s="255"/>
      <c r="X581" s="255"/>
      <c r="Y581" s="255"/>
      <c r="Z581" s="255"/>
    </row>
    <row r="582" spans="1:26">
      <c r="A582" s="9"/>
      <c r="B582" s="9"/>
      <c r="C582" s="9"/>
      <c r="D582" s="9"/>
      <c r="E582" s="35"/>
      <c r="F582" s="35"/>
      <c r="G582" s="258"/>
      <c r="H582" s="267"/>
      <c r="I582" s="262"/>
      <c r="J582" s="267"/>
      <c r="K582" s="262"/>
      <c r="L582" s="115"/>
      <c r="M582" s="9"/>
      <c r="N582" s="9"/>
      <c r="O582" s="9"/>
      <c r="P582" s="9"/>
      <c r="Q582" s="9"/>
      <c r="R582" s="9"/>
      <c r="S582" s="255"/>
      <c r="T582" s="255"/>
      <c r="U582" s="255"/>
      <c r="V582" s="255"/>
      <c r="W582" s="255"/>
      <c r="X582" s="255"/>
      <c r="Y582" s="255"/>
      <c r="Z582" s="255"/>
    </row>
    <row r="583" spans="1:26">
      <c r="A583" s="9"/>
      <c r="B583" s="9"/>
      <c r="C583" s="9"/>
      <c r="D583" s="9"/>
      <c r="E583" s="35"/>
      <c r="F583" s="35"/>
      <c r="G583" s="258"/>
      <c r="H583" s="267"/>
      <c r="I583" s="262"/>
      <c r="J583" s="267"/>
      <c r="K583" s="262"/>
      <c r="L583" s="115"/>
      <c r="M583" s="9"/>
      <c r="N583" s="9"/>
      <c r="O583" s="9"/>
      <c r="P583" s="9"/>
      <c r="Q583" s="9"/>
      <c r="R583" s="9"/>
      <c r="S583" s="255"/>
      <c r="T583" s="255"/>
      <c r="U583" s="255"/>
      <c r="V583" s="255"/>
      <c r="W583" s="255"/>
      <c r="X583" s="255"/>
      <c r="Y583" s="255"/>
      <c r="Z583" s="255"/>
    </row>
    <row r="584" spans="1:26">
      <c r="A584" s="9"/>
      <c r="B584" s="9"/>
      <c r="C584" s="9"/>
      <c r="D584" s="9"/>
      <c r="E584" s="35"/>
      <c r="F584" s="35"/>
      <c r="G584" s="258"/>
      <c r="H584" s="267"/>
      <c r="I584" s="262"/>
      <c r="J584" s="267"/>
      <c r="K584" s="262"/>
      <c r="L584" s="115"/>
      <c r="M584" s="9"/>
      <c r="N584" s="9"/>
      <c r="O584" s="9"/>
      <c r="P584" s="9"/>
      <c r="Q584" s="9"/>
      <c r="R584" s="9"/>
      <c r="S584" s="255"/>
      <c r="T584" s="255"/>
      <c r="U584" s="255"/>
      <c r="V584" s="255"/>
      <c r="W584" s="255"/>
      <c r="X584" s="255"/>
      <c r="Y584" s="255"/>
      <c r="Z584" s="255"/>
    </row>
    <row r="585" spans="1:26">
      <c r="A585" s="9"/>
      <c r="B585" s="9"/>
      <c r="C585" s="9"/>
      <c r="D585" s="9"/>
      <c r="E585" s="35"/>
      <c r="F585" s="35"/>
      <c r="G585" s="258"/>
      <c r="H585" s="267"/>
      <c r="I585" s="262"/>
      <c r="J585" s="267"/>
      <c r="K585" s="262"/>
      <c r="L585" s="115"/>
      <c r="M585" s="9"/>
      <c r="N585" s="9"/>
      <c r="O585" s="9"/>
      <c r="P585" s="9"/>
      <c r="Q585" s="9"/>
      <c r="R585" s="9"/>
      <c r="S585" s="255"/>
      <c r="T585" s="255"/>
      <c r="U585" s="255"/>
      <c r="V585" s="255"/>
      <c r="W585" s="255"/>
      <c r="X585" s="255"/>
      <c r="Y585" s="255"/>
      <c r="Z585" s="255"/>
    </row>
    <row r="586" spans="1:26">
      <c r="A586" s="9"/>
      <c r="B586" s="9"/>
      <c r="C586" s="9"/>
      <c r="D586" s="9"/>
      <c r="E586" s="35"/>
      <c r="F586" s="35"/>
      <c r="G586" s="258"/>
      <c r="H586" s="267"/>
      <c r="I586" s="262"/>
      <c r="J586" s="267"/>
      <c r="K586" s="262"/>
      <c r="L586" s="115"/>
      <c r="M586" s="9"/>
      <c r="N586" s="9"/>
      <c r="O586" s="9"/>
      <c r="P586" s="9"/>
      <c r="Q586" s="9"/>
      <c r="R586" s="9"/>
      <c r="S586" s="255"/>
      <c r="T586" s="255"/>
      <c r="U586" s="255"/>
      <c r="V586" s="255"/>
      <c r="W586" s="255"/>
      <c r="X586" s="255"/>
      <c r="Y586" s="255"/>
      <c r="Z586" s="255"/>
    </row>
    <row r="587" spans="1:26">
      <c r="A587" s="9"/>
      <c r="B587" s="9"/>
      <c r="C587" s="9"/>
      <c r="D587" s="9"/>
      <c r="E587" s="35"/>
      <c r="F587" s="35"/>
      <c r="G587" s="258"/>
      <c r="H587" s="267"/>
      <c r="I587" s="262"/>
      <c r="J587" s="267"/>
      <c r="K587" s="262"/>
      <c r="L587" s="115"/>
      <c r="M587" s="9"/>
      <c r="N587" s="9"/>
      <c r="O587" s="9"/>
      <c r="P587" s="9"/>
      <c r="Q587" s="9"/>
      <c r="R587" s="9"/>
      <c r="S587" s="255"/>
      <c r="T587" s="255"/>
      <c r="U587" s="255"/>
      <c r="V587" s="255"/>
      <c r="W587" s="255"/>
      <c r="X587" s="255"/>
      <c r="Y587" s="255"/>
      <c r="Z587" s="255"/>
    </row>
    <row r="588" spans="1:26">
      <c r="A588" s="9"/>
      <c r="B588" s="9"/>
      <c r="C588" s="9"/>
      <c r="D588" s="9"/>
      <c r="E588" s="35"/>
      <c r="F588" s="35"/>
      <c r="G588" s="258"/>
      <c r="H588" s="267"/>
      <c r="I588" s="262"/>
      <c r="J588" s="267"/>
      <c r="K588" s="262"/>
      <c r="L588" s="115"/>
      <c r="M588" s="9"/>
      <c r="N588" s="9"/>
      <c r="O588" s="9"/>
      <c r="P588" s="9"/>
      <c r="Q588" s="9"/>
      <c r="R588" s="9"/>
      <c r="S588" s="255"/>
      <c r="T588" s="255"/>
      <c r="U588" s="255"/>
      <c r="V588" s="255"/>
      <c r="W588" s="255"/>
      <c r="X588" s="255"/>
      <c r="Y588" s="255"/>
      <c r="Z588" s="255"/>
    </row>
    <row r="589" spans="1:26">
      <c r="A589" s="9"/>
      <c r="B589" s="9"/>
      <c r="C589" s="9"/>
      <c r="D589" s="9"/>
      <c r="E589" s="35"/>
      <c r="F589" s="35"/>
      <c r="G589" s="258"/>
      <c r="H589" s="267"/>
      <c r="I589" s="262"/>
      <c r="J589" s="267"/>
      <c r="K589" s="262"/>
      <c r="L589" s="115"/>
      <c r="M589" s="9"/>
      <c r="N589" s="9"/>
      <c r="O589" s="9"/>
      <c r="P589" s="9"/>
      <c r="Q589" s="9"/>
      <c r="R589" s="9"/>
      <c r="S589" s="255"/>
      <c r="T589" s="255"/>
      <c r="U589" s="255"/>
      <c r="V589" s="255"/>
      <c r="W589" s="255"/>
      <c r="X589" s="255"/>
      <c r="Y589" s="255"/>
      <c r="Z589" s="255"/>
    </row>
    <row r="590" spans="1:26">
      <c r="A590" s="9"/>
      <c r="B590" s="9"/>
      <c r="C590" s="9"/>
      <c r="D590" s="9"/>
      <c r="E590" s="35"/>
      <c r="F590" s="35"/>
      <c r="G590" s="258"/>
      <c r="H590" s="267"/>
      <c r="I590" s="262"/>
      <c r="J590" s="267"/>
      <c r="K590" s="262"/>
      <c r="L590" s="115"/>
      <c r="M590" s="9"/>
      <c r="N590" s="9"/>
      <c r="O590" s="9"/>
      <c r="P590" s="9"/>
      <c r="Q590" s="9"/>
      <c r="R590" s="9"/>
      <c r="S590" s="255"/>
      <c r="T590" s="255"/>
      <c r="U590" s="255"/>
      <c r="V590" s="255"/>
      <c r="W590" s="255"/>
      <c r="X590" s="255"/>
      <c r="Y590" s="255"/>
      <c r="Z590" s="255"/>
    </row>
    <row r="591" spans="1:26">
      <c r="A591" s="9"/>
      <c r="B591" s="9"/>
      <c r="C591" s="9"/>
      <c r="D591" s="9"/>
      <c r="E591" s="35"/>
      <c r="F591" s="35"/>
      <c r="G591" s="258"/>
      <c r="H591" s="267"/>
      <c r="I591" s="262"/>
      <c r="J591" s="267"/>
      <c r="K591" s="262"/>
      <c r="L591" s="115"/>
      <c r="M591" s="9"/>
      <c r="N591" s="9"/>
      <c r="O591" s="9"/>
      <c r="P591" s="9"/>
      <c r="Q591" s="9"/>
      <c r="R591" s="9"/>
      <c r="S591" s="255"/>
      <c r="T591" s="255"/>
      <c r="U591" s="255"/>
      <c r="V591" s="255"/>
      <c r="W591" s="255"/>
      <c r="X591" s="255"/>
      <c r="Y591" s="255"/>
      <c r="Z591" s="255"/>
    </row>
    <row r="592" spans="1:26">
      <c r="A592" s="9"/>
      <c r="B592" s="9"/>
      <c r="C592" s="9"/>
      <c r="D592" s="9"/>
      <c r="E592" s="35"/>
      <c r="F592" s="35"/>
      <c r="G592" s="258"/>
      <c r="H592" s="267"/>
      <c r="I592" s="262"/>
      <c r="J592" s="267"/>
      <c r="K592" s="262"/>
      <c r="L592" s="115"/>
      <c r="M592" s="9"/>
      <c r="N592" s="9"/>
      <c r="O592" s="9"/>
      <c r="P592" s="9"/>
      <c r="Q592" s="9"/>
      <c r="R592" s="9"/>
      <c r="S592" s="255"/>
      <c r="T592" s="255"/>
      <c r="U592" s="255"/>
      <c r="V592" s="255"/>
      <c r="W592" s="255"/>
      <c r="X592" s="255"/>
      <c r="Y592" s="255"/>
      <c r="Z592" s="255"/>
    </row>
    <row r="593" spans="1:26">
      <c r="A593" s="9"/>
      <c r="B593" s="9"/>
      <c r="C593" s="9"/>
      <c r="D593" s="9"/>
      <c r="E593" s="35"/>
      <c r="F593" s="35"/>
      <c r="G593" s="258"/>
      <c r="H593" s="267"/>
      <c r="I593" s="262"/>
      <c r="J593" s="267"/>
      <c r="K593" s="262"/>
      <c r="L593" s="115"/>
      <c r="M593" s="9"/>
      <c r="N593" s="9"/>
      <c r="O593" s="9"/>
      <c r="P593" s="9"/>
      <c r="Q593" s="9"/>
      <c r="R593" s="9"/>
      <c r="S593" s="255"/>
      <c r="T593" s="255"/>
      <c r="U593" s="255"/>
      <c r="V593" s="255"/>
      <c r="W593" s="255"/>
      <c r="X593" s="255"/>
      <c r="Y593" s="255"/>
      <c r="Z593" s="255"/>
    </row>
    <row r="594" spans="1:26">
      <c r="A594" s="9"/>
      <c r="B594" s="9"/>
      <c r="C594" s="9"/>
      <c r="D594" s="9"/>
      <c r="E594" s="35"/>
      <c r="F594" s="35"/>
      <c r="G594" s="258"/>
      <c r="H594" s="267"/>
      <c r="I594" s="262"/>
      <c r="J594" s="267"/>
      <c r="K594" s="262"/>
      <c r="L594" s="115"/>
      <c r="M594" s="9"/>
      <c r="N594" s="9"/>
      <c r="O594" s="9"/>
      <c r="P594" s="9"/>
      <c r="Q594" s="9"/>
      <c r="R594" s="9"/>
      <c r="S594" s="255"/>
      <c r="T594" s="255"/>
      <c r="U594" s="255"/>
      <c r="V594" s="255"/>
      <c r="W594" s="255"/>
      <c r="X594" s="255"/>
      <c r="Y594" s="255"/>
      <c r="Z594" s="255"/>
    </row>
    <row r="595" spans="1:26">
      <c r="A595" s="9"/>
      <c r="B595" s="9"/>
      <c r="C595" s="9"/>
      <c r="D595" s="9"/>
      <c r="E595" s="35"/>
      <c r="F595" s="35"/>
      <c r="G595" s="258"/>
      <c r="H595" s="267"/>
      <c r="I595" s="262"/>
      <c r="J595" s="267"/>
      <c r="K595" s="262"/>
      <c r="L595" s="115"/>
      <c r="M595" s="9"/>
      <c r="N595" s="9"/>
      <c r="O595" s="9"/>
      <c r="P595" s="9"/>
      <c r="Q595" s="9"/>
      <c r="R595" s="9"/>
      <c r="S595" s="255"/>
      <c r="T595" s="255"/>
      <c r="U595" s="255"/>
      <c r="V595" s="255"/>
      <c r="W595" s="255"/>
      <c r="X595" s="255"/>
      <c r="Y595" s="255"/>
      <c r="Z595" s="255"/>
    </row>
    <row r="596" spans="1:26">
      <c r="A596" s="9"/>
      <c r="B596" s="9"/>
      <c r="C596" s="9"/>
      <c r="D596" s="9"/>
      <c r="E596" s="35"/>
      <c r="F596" s="35"/>
      <c r="G596" s="258"/>
      <c r="H596" s="267"/>
      <c r="I596" s="262"/>
      <c r="J596" s="267"/>
      <c r="K596" s="262"/>
      <c r="L596" s="115"/>
      <c r="M596" s="9"/>
      <c r="N596" s="9"/>
      <c r="O596" s="9"/>
      <c r="P596" s="9"/>
      <c r="Q596" s="9"/>
      <c r="R596" s="9"/>
      <c r="S596" s="255"/>
      <c r="T596" s="255"/>
      <c r="U596" s="255"/>
      <c r="V596" s="255"/>
      <c r="W596" s="255"/>
      <c r="X596" s="255"/>
      <c r="Y596" s="255"/>
      <c r="Z596" s="255"/>
    </row>
    <row r="597" spans="1:26">
      <c r="A597" s="9"/>
      <c r="B597" s="9"/>
      <c r="C597" s="9"/>
      <c r="D597" s="9"/>
      <c r="E597" s="35"/>
      <c r="F597" s="35"/>
      <c r="G597" s="258"/>
      <c r="H597" s="267"/>
      <c r="I597" s="262"/>
      <c r="J597" s="267"/>
      <c r="K597" s="262"/>
      <c r="L597" s="115"/>
      <c r="M597" s="9"/>
      <c r="N597" s="9"/>
      <c r="O597" s="9"/>
      <c r="P597" s="9"/>
      <c r="Q597" s="9"/>
      <c r="R597" s="9"/>
      <c r="S597" s="255"/>
      <c r="T597" s="255"/>
      <c r="U597" s="255"/>
      <c r="V597" s="255"/>
      <c r="W597" s="255"/>
      <c r="X597" s="255"/>
      <c r="Y597" s="255"/>
      <c r="Z597" s="255"/>
    </row>
    <row r="598" spans="1:26">
      <c r="A598" s="9"/>
      <c r="B598" s="9"/>
      <c r="C598" s="9"/>
      <c r="D598" s="9"/>
      <c r="E598" s="35"/>
      <c r="F598" s="35"/>
      <c r="G598" s="258"/>
      <c r="H598" s="267"/>
      <c r="I598" s="262"/>
      <c r="J598" s="267"/>
      <c r="K598" s="262"/>
      <c r="L598" s="115"/>
      <c r="M598" s="9"/>
      <c r="N598" s="9"/>
      <c r="O598" s="9"/>
      <c r="P598" s="9"/>
      <c r="Q598" s="9"/>
      <c r="R598" s="9"/>
      <c r="S598" s="255"/>
      <c r="T598" s="255"/>
      <c r="U598" s="255"/>
      <c r="V598" s="255"/>
      <c r="W598" s="255"/>
      <c r="X598" s="255"/>
      <c r="Y598" s="255"/>
      <c r="Z598" s="255"/>
    </row>
    <row r="599" spans="1:26">
      <c r="A599" s="9"/>
      <c r="B599" s="9"/>
      <c r="C599" s="9"/>
      <c r="D599" s="9"/>
      <c r="E599" s="35"/>
      <c r="F599" s="35"/>
      <c r="G599" s="258"/>
      <c r="H599" s="267"/>
      <c r="I599" s="262"/>
      <c r="J599" s="267"/>
      <c r="K599" s="262"/>
      <c r="L599" s="115"/>
      <c r="M599" s="9"/>
      <c r="N599" s="9"/>
      <c r="O599" s="9"/>
      <c r="P599" s="9"/>
      <c r="Q599" s="9"/>
      <c r="R599" s="9"/>
      <c r="S599" s="255"/>
      <c r="T599" s="255"/>
      <c r="U599" s="255"/>
      <c r="V599" s="255"/>
      <c r="W599" s="255"/>
      <c r="X599" s="255"/>
      <c r="Y599" s="255"/>
      <c r="Z599" s="255"/>
    </row>
    <row r="600" spans="1:26">
      <c r="A600" s="9"/>
      <c r="B600" s="9"/>
      <c r="C600" s="9"/>
      <c r="D600" s="9"/>
      <c r="E600" s="35"/>
      <c r="F600" s="35"/>
      <c r="G600" s="258"/>
      <c r="H600" s="267"/>
      <c r="I600" s="262"/>
      <c r="J600" s="267"/>
      <c r="K600" s="262"/>
      <c r="L600" s="115"/>
      <c r="M600" s="9"/>
      <c r="N600" s="9"/>
      <c r="O600" s="9"/>
      <c r="P600" s="9"/>
      <c r="Q600" s="9"/>
      <c r="R600" s="9"/>
      <c r="S600" s="255"/>
      <c r="T600" s="255"/>
      <c r="U600" s="255"/>
      <c r="V600" s="255"/>
      <c r="W600" s="255"/>
      <c r="X600" s="255"/>
      <c r="Y600" s="255"/>
      <c r="Z600" s="255"/>
    </row>
    <row r="601" spans="1:26">
      <c r="A601" s="9"/>
      <c r="B601" s="9"/>
      <c r="C601" s="9"/>
      <c r="D601" s="9"/>
      <c r="E601" s="35"/>
      <c r="F601" s="35"/>
      <c r="G601" s="258"/>
      <c r="H601" s="267"/>
      <c r="I601" s="262"/>
      <c r="J601" s="267"/>
      <c r="K601" s="262"/>
      <c r="L601" s="115"/>
      <c r="M601" s="9"/>
      <c r="N601" s="9"/>
      <c r="O601" s="9"/>
      <c r="P601" s="9"/>
      <c r="Q601" s="9"/>
      <c r="R601" s="9"/>
      <c r="S601" s="255"/>
      <c r="T601" s="255"/>
      <c r="U601" s="255"/>
      <c r="V601" s="255"/>
      <c r="W601" s="255"/>
      <c r="X601" s="255"/>
      <c r="Y601" s="255"/>
      <c r="Z601" s="255"/>
    </row>
    <row r="602" spans="1:26">
      <c r="A602" s="9"/>
      <c r="B602" s="9"/>
      <c r="C602" s="9"/>
      <c r="D602" s="9"/>
      <c r="E602" s="35"/>
      <c r="F602" s="35"/>
      <c r="G602" s="258"/>
      <c r="H602" s="267"/>
      <c r="I602" s="262"/>
      <c r="J602" s="267"/>
      <c r="K602" s="262"/>
      <c r="L602" s="115"/>
      <c r="M602" s="9"/>
      <c r="N602" s="9"/>
      <c r="O602" s="9"/>
      <c r="P602" s="9"/>
      <c r="Q602" s="9"/>
      <c r="R602" s="9"/>
      <c r="S602" s="255"/>
      <c r="T602" s="255"/>
      <c r="U602" s="255"/>
      <c r="V602" s="255"/>
      <c r="W602" s="255"/>
      <c r="X602" s="255"/>
      <c r="Y602" s="255"/>
      <c r="Z602" s="255"/>
    </row>
    <row r="603" spans="1:26">
      <c r="A603" s="9"/>
      <c r="B603" s="9"/>
      <c r="C603" s="9"/>
      <c r="D603" s="9"/>
      <c r="E603" s="35"/>
      <c r="F603" s="35"/>
      <c r="G603" s="258"/>
      <c r="H603" s="267"/>
      <c r="I603" s="262"/>
      <c r="J603" s="267"/>
      <c r="K603" s="262"/>
      <c r="L603" s="115"/>
      <c r="M603" s="9"/>
      <c r="N603" s="9"/>
      <c r="O603" s="9"/>
      <c r="P603" s="9"/>
      <c r="Q603" s="9"/>
      <c r="R603" s="9"/>
      <c r="S603" s="255"/>
      <c r="T603" s="255"/>
      <c r="U603" s="255"/>
      <c r="V603" s="255"/>
      <c r="W603" s="255"/>
      <c r="X603" s="255"/>
      <c r="Y603" s="255"/>
      <c r="Z603" s="255"/>
    </row>
    <row r="604" spans="1:26">
      <c r="A604" s="9"/>
      <c r="B604" s="9"/>
      <c r="C604" s="9"/>
      <c r="D604" s="9"/>
      <c r="E604" s="35"/>
      <c r="F604" s="35"/>
      <c r="G604" s="258"/>
      <c r="H604" s="267"/>
      <c r="I604" s="262"/>
      <c r="J604" s="267"/>
      <c r="K604" s="262"/>
      <c r="L604" s="115"/>
      <c r="M604" s="9"/>
      <c r="N604" s="9"/>
      <c r="O604" s="9"/>
      <c r="P604" s="9"/>
      <c r="Q604" s="9"/>
      <c r="R604" s="9"/>
      <c r="S604" s="255"/>
      <c r="T604" s="255"/>
      <c r="U604" s="255"/>
      <c r="V604" s="255"/>
      <c r="W604" s="255"/>
      <c r="X604" s="255"/>
      <c r="Y604" s="255"/>
      <c r="Z604" s="255"/>
    </row>
    <row r="605" spans="1:26">
      <c r="A605" s="9"/>
      <c r="B605" s="9"/>
      <c r="C605" s="9"/>
      <c r="D605" s="9"/>
      <c r="E605" s="35"/>
      <c r="F605" s="35"/>
      <c r="G605" s="258"/>
      <c r="H605" s="267"/>
      <c r="I605" s="262"/>
      <c r="J605" s="267"/>
      <c r="K605" s="262"/>
      <c r="L605" s="115"/>
      <c r="M605" s="9"/>
      <c r="N605" s="9"/>
      <c r="O605" s="9"/>
      <c r="P605" s="9"/>
      <c r="Q605" s="9"/>
      <c r="R605" s="9"/>
      <c r="S605" s="255"/>
      <c r="T605" s="255"/>
      <c r="U605" s="255"/>
      <c r="V605" s="255"/>
      <c r="W605" s="255"/>
      <c r="X605" s="255"/>
      <c r="Y605" s="255"/>
      <c r="Z605" s="255"/>
    </row>
    <row r="606" spans="1:26">
      <c r="A606" s="9"/>
      <c r="B606" s="9"/>
      <c r="C606" s="9"/>
      <c r="D606" s="9"/>
      <c r="E606" s="35"/>
      <c r="F606" s="35"/>
      <c r="G606" s="258"/>
      <c r="H606" s="267"/>
      <c r="I606" s="262"/>
      <c r="J606" s="267"/>
      <c r="K606" s="262"/>
      <c r="L606" s="115"/>
      <c r="M606" s="9"/>
      <c r="N606" s="9"/>
      <c r="O606" s="9"/>
      <c r="P606" s="9"/>
      <c r="Q606" s="9"/>
      <c r="R606" s="9"/>
      <c r="S606" s="255"/>
      <c r="T606" s="255"/>
      <c r="U606" s="255"/>
      <c r="V606" s="255"/>
      <c r="W606" s="255"/>
      <c r="X606" s="255"/>
      <c r="Y606" s="255"/>
      <c r="Z606" s="255"/>
    </row>
    <row r="607" spans="1:26">
      <c r="A607" s="9"/>
      <c r="B607" s="9"/>
      <c r="C607" s="9"/>
      <c r="D607" s="9"/>
      <c r="E607" s="35"/>
      <c r="F607" s="35"/>
      <c r="G607" s="258"/>
      <c r="H607" s="267"/>
      <c r="I607" s="262"/>
      <c r="J607" s="267"/>
      <c r="K607" s="262"/>
      <c r="L607" s="115"/>
      <c r="M607" s="9"/>
      <c r="N607" s="9"/>
      <c r="O607" s="9"/>
      <c r="P607" s="9"/>
      <c r="Q607" s="9"/>
      <c r="R607" s="9"/>
      <c r="S607" s="255"/>
      <c r="T607" s="255"/>
      <c r="U607" s="255"/>
      <c r="V607" s="255"/>
      <c r="W607" s="255"/>
      <c r="X607" s="255"/>
      <c r="Y607" s="255"/>
      <c r="Z607" s="255"/>
    </row>
    <row r="608" spans="1:26">
      <c r="A608" s="9"/>
      <c r="B608" s="9"/>
      <c r="C608" s="9"/>
      <c r="D608" s="9"/>
      <c r="E608" s="35"/>
      <c r="F608" s="35"/>
      <c r="G608" s="258"/>
      <c r="H608" s="267"/>
      <c r="I608" s="262"/>
      <c r="J608" s="267"/>
      <c r="K608" s="262"/>
      <c r="L608" s="115"/>
      <c r="M608" s="9"/>
      <c r="N608" s="9"/>
      <c r="O608" s="9"/>
      <c r="P608" s="9"/>
      <c r="Q608" s="9"/>
      <c r="R608" s="9"/>
      <c r="S608" s="255"/>
      <c r="T608" s="255"/>
      <c r="U608" s="255"/>
      <c r="V608" s="255"/>
      <c r="W608" s="255"/>
      <c r="X608" s="255"/>
      <c r="Y608" s="255"/>
      <c r="Z608" s="255"/>
    </row>
    <row r="609" spans="1:26">
      <c r="A609" s="9"/>
      <c r="B609" s="9"/>
      <c r="C609" s="9"/>
      <c r="D609" s="9"/>
      <c r="E609" s="35"/>
      <c r="F609" s="35"/>
      <c r="G609" s="258"/>
      <c r="H609" s="267"/>
      <c r="I609" s="262"/>
      <c r="J609" s="267"/>
      <c r="K609" s="262"/>
      <c r="L609" s="115"/>
      <c r="M609" s="9"/>
      <c r="N609" s="9"/>
      <c r="O609" s="9"/>
      <c r="P609" s="9"/>
      <c r="Q609" s="9"/>
      <c r="R609" s="9"/>
      <c r="S609" s="255"/>
      <c r="T609" s="255"/>
      <c r="U609" s="255"/>
      <c r="V609" s="255"/>
      <c r="W609" s="255"/>
      <c r="X609" s="255"/>
      <c r="Y609" s="255"/>
      <c r="Z609" s="255"/>
    </row>
    <row r="610" spans="1:26">
      <c r="A610" s="9"/>
      <c r="B610" s="9"/>
      <c r="C610" s="9"/>
      <c r="D610" s="9"/>
      <c r="E610" s="35"/>
      <c r="F610" s="35"/>
      <c r="G610" s="258"/>
      <c r="H610" s="267"/>
      <c r="I610" s="262"/>
      <c r="J610" s="267"/>
      <c r="K610" s="262"/>
      <c r="L610" s="115"/>
      <c r="M610" s="9"/>
      <c r="N610" s="9"/>
      <c r="O610" s="9"/>
      <c r="P610" s="9"/>
      <c r="Q610" s="9"/>
      <c r="R610" s="9"/>
      <c r="S610" s="255"/>
      <c r="T610" s="255"/>
      <c r="U610" s="255"/>
      <c r="V610" s="255"/>
      <c r="W610" s="255"/>
      <c r="X610" s="255"/>
      <c r="Y610" s="255"/>
      <c r="Z610" s="255"/>
    </row>
    <row r="611" spans="1:26">
      <c r="A611" s="9"/>
      <c r="B611" s="9"/>
      <c r="C611" s="9"/>
      <c r="D611" s="9"/>
      <c r="E611" s="35"/>
      <c r="F611" s="35"/>
      <c r="G611" s="258"/>
      <c r="H611" s="267"/>
      <c r="I611" s="262"/>
      <c r="J611" s="267"/>
      <c r="K611" s="262"/>
      <c r="L611" s="115"/>
      <c r="M611" s="9"/>
      <c r="N611" s="9"/>
      <c r="O611" s="9"/>
      <c r="P611" s="9"/>
      <c r="Q611" s="9"/>
      <c r="R611" s="9"/>
      <c r="S611" s="255"/>
      <c r="T611" s="255"/>
      <c r="U611" s="255"/>
      <c r="V611" s="255"/>
      <c r="W611" s="255"/>
      <c r="X611" s="255"/>
      <c r="Y611" s="255"/>
      <c r="Z611" s="255"/>
    </row>
    <row r="612" spans="1:26">
      <c r="A612" s="9"/>
      <c r="B612" s="9"/>
      <c r="C612" s="9"/>
      <c r="D612" s="9"/>
      <c r="E612" s="35"/>
      <c r="F612" s="35"/>
      <c r="G612" s="258"/>
      <c r="H612" s="267"/>
      <c r="I612" s="262"/>
      <c r="J612" s="267"/>
      <c r="K612" s="262"/>
      <c r="L612" s="115"/>
      <c r="M612" s="9"/>
      <c r="N612" s="9"/>
      <c r="O612" s="9"/>
      <c r="P612" s="9"/>
      <c r="Q612" s="9"/>
      <c r="R612" s="9"/>
      <c r="S612" s="255"/>
      <c r="T612" s="255"/>
      <c r="U612" s="255"/>
      <c r="V612" s="255"/>
      <c r="W612" s="255"/>
      <c r="X612" s="255"/>
      <c r="Y612" s="255"/>
      <c r="Z612" s="255"/>
    </row>
    <row r="613" spans="1:26">
      <c r="A613" s="9"/>
      <c r="B613" s="9"/>
      <c r="C613" s="9"/>
      <c r="D613" s="9"/>
      <c r="E613" s="35"/>
      <c r="F613" s="35"/>
      <c r="G613" s="258"/>
      <c r="H613" s="267"/>
      <c r="I613" s="262"/>
      <c r="J613" s="267"/>
      <c r="K613" s="262"/>
      <c r="L613" s="115"/>
      <c r="M613" s="9"/>
      <c r="N613" s="9"/>
      <c r="O613" s="9"/>
      <c r="P613" s="9"/>
      <c r="Q613" s="9"/>
      <c r="R613" s="9"/>
      <c r="S613" s="255"/>
      <c r="T613" s="255"/>
      <c r="U613" s="255"/>
      <c r="V613" s="255"/>
      <c r="W613" s="255"/>
      <c r="X613" s="255"/>
      <c r="Y613" s="255"/>
      <c r="Z613" s="255"/>
    </row>
    <row r="614" spans="1:26">
      <c r="A614" s="9"/>
      <c r="B614" s="9"/>
      <c r="C614" s="9"/>
      <c r="D614" s="9"/>
      <c r="E614" s="35"/>
      <c r="F614" s="35"/>
      <c r="G614" s="258"/>
      <c r="H614" s="267"/>
      <c r="I614" s="262"/>
      <c r="J614" s="267"/>
      <c r="K614" s="262"/>
      <c r="L614" s="115"/>
      <c r="M614" s="9"/>
      <c r="N614" s="9"/>
      <c r="O614" s="9"/>
      <c r="P614" s="9"/>
      <c r="Q614" s="9"/>
      <c r="R614" s="9"/>
      <c r="S614" s="255"/>
      <c r="T614" s="255"/>
      <c r="U614" s="255"/>
      <c r="V614" s="255"/>
      <c r="W614" s="255"/>
      <c r="X614" s="255"/>
      <c r="Y614" s="255"/>
      <c r="Z614" s="255"/>
    </row>
    <row r="615" spans="1:26">
      <c r="A615" s="9"/>
      <c r="B615" s="9"/>
      <c r="C615" s="9"/>
      <c r="D615" s="9"/>
      <c r="E615" s="35"/>
      <c r="F615" s="35"/>
      <c r="G615" s="258"/>
      <c r="H615" s="267"/>
      <c r="I615" s="262"/>
      <c r="J615" s="267"/>
      <c r="K615" s="262"/>
      <c r="L615" s="115"/>
      <c r="M615" s="9"/>
      <c r="N615" s="9"/>
      <c r="O615" s="9"/>
      <c r="P615" s="9"/>
      <c r="Q615" s="9"/>
      <c r="R615" s="9"/>
      <c r="S615" s="255"/>
      <c r="T615" s="255"/>
      <c r="U615" s="255"/>
      <c r="V615" s="255"/>
      <c r="W615" s="255"/>
      <c r="X615" s="255"/>
      <c r="Y615" s="255"/>
      <c r="Z615" s="255"/>
    </row>
    <row r="616" spans="1:26">
      <c r="A616" s="9"/>
      <c r="B616" s="9"/>
      <c r="C616" s="9"/>
      <c r="D616" s="9"/>
      <c r="E616" s="35"/>
      <c r="F616" s="35"/>
      <c r="G616" s="258"/>
      <c r="H616" s="267"/>
      <c r="I616" s="262"/>
      <c r="J616" s="267"/>
      <c r="K616" s="262"/>
      <c r="L616" s="115"/>
      <c r="M616" s="9"/>
      <c r="N616" s="9"/>
      <c r="O616" s="9"/>
      <c r="P616" s="9"/>
      <c r="Q616" s="9"/>
      <c r="R616" s="9"/>
      <c r="S616" s="255"/>
      <c r="T616" s="255"/>
      <c r="U616" s="255"/>
      <c r="V616" s="255"/>
      <c r="W616" s="255"/>
      <c r="X616" s="255"/>
      <c r="Y616" s="255"/>
      <c r="Z616" s="255"/>
    </row>
    <row r="617" spans="1:26">
      <c r="A617" s="9"/>
      <c r="B617" s="9"/>
      <c r="C617" s="9"/>
      <c r="D617" s="9"/>
      <c r="E617" s="35"/>
      <c r="F617" s="35"/>
      <c r="G617" s="258"/>
      <c r="H617" s="267"/>
      <c r="I617" s="262"/>
      <c r="J617" s="267"/>
      <c r="K617" s="262"/>
      <c r="L617" s="115"/>
      <c r="M617" s="9"/>
      <c r="N617" s="9"/>
      <c r="O617" s="9"/>
      <c r="P617" s="9"/>
      <c r="Q617" s="9"/>
      <c r="R617" s="9"/>
      <c r="S617" s="255"/>
      <c r="T617" s="255"/>
      <c r="U617" s="255"/>
      <c r="V617" s="255"/>
      <c r="W617" s="255"/>
      <c r="X617" s="255"/>
      <c r="Y617" s="255"/>
      <c r="Z617" s="255"/>
    </row>
    <row r="618" spans="1:26">
      <c r="A618" s="9"/>
      <c r="B618" s="9"/>
      <c r="C618" s="9"/>
      <c r="D618" s="9"/>
      <c r="E618" s="35"/>
      <c r="F618" s="35"/>
      <c r="G618" s="258"/>
      <c r="H618" s="267"/>
      <c r="I618" s="262"/>
      <c r="J618" s="267"/>
      <c r="K618" s="262"/>
      <c r="L618" s="115"/>
      <c r="M618" s="9"/>
      <c r="N618" s="9"/>
      <c r="O618" s="9"/>
      <c r="P618" s="9"/>
      <c r="Q618" s="9"/>
      <c r="R618" s="9"/>
      <c r="S618" s="255"/>
      <c r="T618" s="255"/>
      <c r="U618" s="255"/>
      <c r="V618" s="255"/>
      <c r="W618" s="255"/>
      <c r="X618" s="255"/>
      <c r="Y618" s="255"/>
      <c r="Z618" s="255"/>
    </row>
    <row r="619" spans="1:26">
      <c r="A619" s="9"/>
      <c r="B619" s="9"/>
      <c r="C619" s="9"/>
      <c r="D619" s="9"/>
      <c r="E619" s="35"/>
      <c r="F619" s="35"/>
      <c r="G619" s="258"/>
      <c r="H619" s="267"/>
      <c r="I619" s="262"/>
      <c r="J619" s="267"/>
      <c r="K619" s="262"/>
      <c r="L619" s="115"/>
      <c r="M619" s="9"/>
      <c r="N619" s="9"/>
      <c r="O619" s="9"/>
      <c r="P619" s="9"/>
      <c r="Q619" s="9"/>
      <c r="R619" s="9"/>
      <c r="S619" s="255"/>
      <c r="T619" s="255"/>
      <c r="U619" s="255"/>
      <c r="V619" s="255"/>
      <c r="W619" s="255"/>
      <c r="X619" s="255"/>
      <c r="Y619" s="255"/>
      <c r="Z619" s="255"/>
    </row>
    <row r="620" spans="1:26">
      <c r="A620" s="9"/>
      <c r="B620" s="9"/>
      <c r="C620" s="9"/>
      <c r="D620" s="9"/>
      <c r="E620" s="35"/>
      <c r="F620" s="35"/>
      <c r="G620" s="258"/>
      <c r="H620" s="267"/>
      <c r="I620" s="262"/>
      <c r="J620" s="267"/>
      <c r="K620" s="262"/>
      <c r="L620" s="115"/>
      <c r="M620" s="9"/>
      <c r="N620" s="9"/>
      <c r="O620" s="9"/>
      <c r="P620" s="9"/>
      <c r="Q620" s="9"/>
      <c r="R620" s="9"/>
      <c r="S620" s="255"/>
      <c r="T620" s="255"/>
      <c r="U620" s="255"/>
      <c r="V620" s="255"/>
      <c r="W620" s="255"/>
      <c r="X620" s="255"/>
      <c r="Y620" s="255"/>
      <c r="Z620" s="255"/>
    </row>
    <row r="621" spans="1:26">
      <c r="A621" s="9"/>
      <c r="B621" s="9"/>
      <c r="C621" s="9"/>
      <c r="D621" s="9"/>
      <c r="E621" s="35"/>
      <c r="F621" s="35"/>
      <c r="G621" s="258"/>
      <c r="H621" s="267"/>
      <c r="I621" s="262"/>
      <c r="J621" s="267"/>
      <c r="K621" s="262"/>
      <c r="L621" s="115"/>
      <c r="M621" s="9"/>
      <c r="N621" s="9"/>
      <c r="O621" s="9"/>
      <c r="P621" s="9"/>
      <c r="Q621" s="9"/>
      <c r="R621" s="9"/>
      <c r="S621" s="255"/>
      <c r="T621" s="255"/>
      <c r="U621" s="255"/>
      <c r="V621" s="255"/>
      <c r="W621" s="255"/>
      <c r="X621" s="255"/>
      <c r="Y621" s="255"/>
      <c r="Z621" s="255"/>
    </row>
    <row r="622" spans="1:26">
      <c r="A622" s="9"/>
      <c r="B622" s="9"/>
      <c r="C622" s="9"/>
      <c r="D622" s="9"/>
      <c r="E622" s="35"/>
      <c r="F622" s="35"/>
      <c r="G622" s="258"/>
      <c r="H622" s="267"/>
      <c r="I622" s="262"/>
      <c r="J622" s="267"/>
      <c r="K622" s="262"/>
      <c r="L622" s="115"/>
      <c r="M622" s="9"/>
      <c r="N622" s="9"/>
      <c r="O622" s="9"/>
      <c r="P622" s="9"/>
      <c r="Q622" s="9"/>
      <c r="R622" s="9"/>
      <c r="S622" s="255"/>
      <c r="T622" s="255"/>
      <c r="U622" s="255"/>
      <c r="V622" s="255"/>
      <c r="W622" s="255"/>
      <c r="X622" s="255"/>
      <c r="Y622" s="255"/>
      <c r="Z622" s="255"/>
    </row>
    <row r="623" spans="1:26">
      <c r="A623" s="9"/>
      <c r="B623" s="9"/>
      <c r="C623" s="9"/>
      <c r="D623" s="9"/>
      <c r="E623" s="35"/>
      <c r="F623" s="35"/>
      <c r="G623" s="258"/>
      <c r="H623" s="267"/>
      <c r="I623" s="262"/>
      <c r="J623" s="267"/>
      <c r="K623" s="262"/>
      <c r="L623" s="115"/>
      <c r="M623" s="9"/>
      <c r="N623" s="9"/>
      <c r="O623" s="9"/>
      <c r="P623" s="9"/>
      <c r="Q623" s="9"/>
      <c r="R623" s="9"/>
      <c r="S623" s="255"/>
      <c r="T623" s="255"/>
      <c r="U623" s="255"/>
      <c r="V623" s="255"/>
      <c r="W623" s="255"/>
      <c r="X623" s="255"/>
      <c r="Y623" s="255"/>
      <c r="Z623" s="255"/>
    </row>
    <row r="624" spans="1:26">
      <c r="A624" s="9"/>
      <c r="B624" s="9"/>
      <c r="C624" s="9"/>
      <c r="D624" s="9"/>
      <c r="E624" s="35"/>
      <c r="F624" s="35"/>
      <c r="G624" s="258"/>
      <c r="H624" s="267"/>
      <c r="I624" s="262"/>
      <c r="J624" s="267"/>
      <c r="K624" s="262"/>
      <c r="L624" s="115"/>
      <c r="M624" s="9"/>
      <c r="N624" s="9"/>
      <c r="O624" s="9"/>
      <c r="P624" s="9"/>
      <c r="Q624" s="9"/>
      <c r="R624" s="9"/>
      <c r="S624" s="255"/>
      <c r="T624" s="255"/>
      <c r="U624" s="255"/>
      <c r="V624" s="255"/>
      <c r="W624" s="255"/>
      <c r="X624" s="255"/>
      <c r="Y624" s="255"/>
      <c r="Z624" s="255"/>
    </row>
    <row r="625" spans="1:26">
      <c r="A625" s="9"/>
      <c r="B625" s="9"/>
      <c r="C625" s="9"/>
      <c r="D625" s="9"/>
      <c r="E625" s="35"/>
      <c r="F625" s="35"/>
      <c r="G625" s="258"/>
      <c r="H625" s="267"/>
      <c r="I625" s="262"/>
      <c r="J625" s="267"/>
      <c r="K625" s="262"/>
      <c r="L625" s="115"/>
      <c r="M625" s="9"/>
      <c r="N625" s="9"/>
      <c r="O625" s="9"/>
      <c r="P625" s="9"/>
      <c r="Q625" s="9"/>
      <c r="R625" s="9"/>
      <c r="S625" s="255"/>
      <c r="T625" s="255"/>
      <c r="U625" s="255"/>
      <c r="V625" s="255"/>
      <c r="W625" s="255"/>
      <c r="X625" s="255"/>
      <c r="Y625" s="255"/>
      <c r="Z625" s="255"/>
    </row>
    <row r="626" spans="1:26">
      <c r="A626" s="9"/>
      <c r="B626" s="9"/>
      <c r="C626" s="9"/>
      <c r="D626" s="9"/>
      <c r="E626" s="35"/>
      <c r="F626" s="35"/>
      <c r="G626" s="258"/>
      <c r="H626" s="267"/>
      <c r="I626" s="262"/>
      <c r="J626" s="267"/>
      <c r="K626" s="262"/>
      <c r="L626" s="115"/>
      <c r="M626" s="9"/>
      <c r="N626" s="9"/>
      <c r="O626" s="9"/>
      <c r="P626" s="9"/>
      <c r="Q626" s="9"/>
      <c r="R626" s="9"/>
      <c r="S626" s="255"/>
      <c r="T626" s="255"/>
      <c r="U626" s="255"/>
      <c r="V626" s="255"/>
      <c r="W626" s="255"/>
      <c r="X626" s="255"/>
      <c r="Y626" s="255"/>
      <c r="Z626" s="255"/>
    </row>
    <row r="627" spans="1:26">
      <c r="A627" s="9"/>
      <c r="B627" s="9"/>
      <c r="C627" s="9"/>
      <c r="D627" s="9"/>
      <c r="E627" s="35"/>
      <c r="F627" s="35"/>
      <c r="G627" s="258"/>
      <c r="H627" s="267"/>
      <c r="I627" s="262"/>
      <c r="J627" s="267"/>
      <c r="K627" s="262"/>
      <c r="L627" s="115"/>
      <c r="M627" s="9"/>
      <c r="N627" s="9"/>
      <c r="O627" s="9"/>
      <c r="P627" s="9"/>
      <c r="Q627" s="9"/>
      <c r="R627" s="9"/>
      <c r="S627" s="255"/>
      <c r="T627" s="255"/>
      <c r="U627" s="255"/>
      <c r="V627" s="255"/>
      <c r="W627" s="255"/>
      <c r="X627" s="255"/>
      <c r="Y627" s="255"/>
      <c r="Z627" s="255"/>
    </row>
    <row r="628" spans="1:26">
      <c r="A628" s="9"/>
      <c r="B628" s="9"/>
      <c r="C628" s="9"/>
      <c r="D628" s="9"/>
      <c r="E628" s="35"/>
      <c r="F628" s="35"/>
      <c r="G628" s="258"/>
      <c r="H628" s="267"/>
      <c r="I628" s="262"/>
      <c r="J628" s="267"/>
      <c r="K628" s="262"/>
      <c r="L628" s="115"/>
      <c r="M628" s="9"/>
      <c r="N628" s="9"/>
      <c r="O628" s="9"/>
      <c r="P628" s="9"/>
      <c r="Q628" s="9"/>
      <c r="R628" s="9"/>
      <c r="S628" s="255"/>
      <c r="T628" s="255"/>
      <c r="U628" s="255"/>
      <c r="V628" s="255"/>
      <c r="W628" s="255"/>
      <c r="X628" s="255"/>
      <c r="Y628" s="255"/>
      <c r="Z628" s="255"/>
    </row>
    <row r="629" spans="1:26">
      <c r="A629" s="9"/>
      <c r="B629" s="9"/>
      <c r="C629" s="9"/>
      <c r="D629" s="9"/>
      <c r="E629" s="35"/>
      <c r="F629" s="35"/>
      <c r="G629" s="258"/>
      <c r="H629" s="267"/>
      <c r="I629" s="262"/>
      <c r="J629" s="267"/>
      <c r="K629" s="262"/>
      <c r="L629" s="115"/>
      <c r="M629" s="9"/>
      <c r="N629" s="9"/>
      <c r="O629" s="9"/>
      <c r="P629" s="9"/>
      <c r="Q629" s="9"/>
      <c r="R629" s="9"/>
      <c r="S629" s="255"/>
      <c r="T629" s="255"/>
      <c r="U629" s="255"/>
      <c r="V629" s="255"/>
      <c r="W629" s="255"/>
      <c r="X629" s="255"/>
      <c r="Y629" s="255"/>
      <c r="Z629" s="255"/>
    </row>
    <row r="630" spans="1:26">
      <c r="A630" s="9"/>
      <c r="B630" s="9"/>
      <c r="C630" s="9"/>
      <c r="D630" s="9"/>
      <c r="E630" s="35"/>
      <c r="F630" s="35"/>
      <c r="G630" s="258"/>
      <c r="H630" s="267"/>
      <c r="I630" s="262"/>
      <c r="J630" s="267"/>
      <c r="K630" s="262"/>
      <c r="L630" s="115"/>
      <c r="M630" s="9"/>
      <c r="N630" s="9"/>
      <c r="O630" s="9"/>
      <c r="P630" s="9"/>
      <c r="Q630" s="9"/>
      <c r="R630" s="9"/>
      <c r="S630" s="255"/>
      <c r="T630" s="255"/>
      <c r="U630" s="255"/>
      <c r="V630" s="255"/>
      <c r="W630" s="255"/>
      <c r="X630" s="255"/>
      <c r="Y630" s="255"/>
      <c r="Z630" s="255"/>
    </row>
    <row r="631" spans="1:26">
      <c r="A631" s="9"/>
      <c r="B631" s="9"/>
      <c r="C631" s="9"/>
      <c r="D631" s="9"/>
      <c r="E631" s="35"/>
      <c r="F631" s="35"/>
      <c r="G631" s="258"/>
      <c r="H631" s="267"/>
      <c r="I631" s="262"/>
      <c r="J631" s="267"/>
      <c r="K631" s="262"/>
      <c r="L631" s="115"/>
      <c r="M631" s="9"/>
      <c r="N631" s="9"/>
      <c r="O631" s="9"/>
      <c r="P631" s="9"/>
      <c r="Q631" s="9"/>
      <c r="R631" s="9"/>
      <c r="S631" s="255"/>
      <c r="T631" s="255"/>
      <c r="U631" s="255"/>
      <c r="V631" s="255"/>
      <c r="W631" s="255"/>
      <c r="X631" s="255"/>
      <c r="Y631" s="255"/>
      <c r="Z631" s="255"/>
    </row>
    <row r="632" spans="1:26">
      <c r="A632" s="9"/>
      <c r="B632" s="9"/>
      <c r="C632" s="9"/>
      <c r="D632" s="9"/>
      <c r="E632" s="35"/>
      <c r="F632" s="35"/>
      <c r="G632" s="258"/>
      <c r="H632" s="267"/>
      <c r="I632" s="262"/>
      <c r="J632" s="267"/>
      <c r="K632" s="262"/>
      <c r="L632" s="115"/>
      <c r="M632" s="9"/>
      <c r="N632" s="9"/>
      <c r="O632" s="9"/>
      <c r="P632" s="9"/>
      <c r="Q632" s="9"/>
      <c r="R632" s="9"/>
      <c r="S632" s="9"/>
      <c r="T632" s="9"/>
      <c r="U632" s="9"/>
      <c r="V632" s="9"/>
      <c r="W632" s="9"/>
      <c r="X632" s="9"/>
      <c r="Y632" s="9"/>
      <c r="Z632" s="9"/>
    </row>
    <row r="633" spans="1:26">
      <c r="A633" s="9"/>
      <c r="B633" s="9"/>
      <c r="C633" s="9"/>
      <c r="D633" s="9"/>
      <c r="E633" s="35"/>
      <c r="F633" s="35"/>
      <c r="G633" s="258"/>
      <c r="H633" s="267"/>
      <c r="I633" s="262"/>
      <c r="J633" s="267"/>
      <c r="K633" s="262"/>
      <c r="L633" s="115"/>
      <c r="M633" s="9"/>
      <c r="N633" s="9"/>
      <c r="O633" s="9"/>
      <c r="P633" s="9"/>
      <c r="Q633" s="9"/>
      <c r="R633" s="9"/>
      <c r="S633" s="9"/>
      <c r="T633" s="9"/>
      <c r="U633" s="9"/>
      <c r="V633" s="9"/>
      <c r="W633" s="9"/>
      <c r="X633" s="9"/>
      <c r="Y633" s="9"/>
      <c r="Z633" s="9"/>
    </row>
    <row r="634" spans="1:26">
      <c r="A634" s="9"/>
      <c r="B634" s="9"/>
      <c r="C634" s="9"/>
      <c r="D634" s="9"/>
      <c r="E634" s="35"/>
      <c r="F634" s="35"/>
      <c r="G634" s="258"/>
      <c r="H634" s="267"/>
      <c r="I634" s="262"/>
      <c r="J634" s="267"/>
      <c r="K634" s="262"/>
      <c r="L634" s="115"/>
      <c r="M634" s="9"/>
      <c r="N634" s="9"/>
      <c r="O634" s="9"/>
      <c r="P634" s="9"/>
      <c r="Q634" s="9"/>
      <c r="R634" s="9"/>
      <c r="S634" s="9"/>
      <c r="T634" s="9"/>
      <c r="U634" s="9"/>
      <c r="V634" s="9"/>
      <c r="W634" s="9"/>
      <c r="X634" s="9"/>
      <c r="Y634" s="9"/>
      <c r="Z634" s="9"/>
    </row>
    <row r="635" spans="1:26">
      <c r="A635" s="9"/>
      <c r="B635" s="9"/>
      <c r="C635" s="9"/>
      <c r="D635" s="9"/>
      <c r="E635" s="35"/>
      <c r="F635" s="35"/>
      <c r="G635" s="258"/>
      <c r="H635" s="267"/>
      <c r="I635" s="262"/>
      <c r="J635" s="267"/>
      <c r="K635" s="262"/>
      <c r="L635" s="115"/>
      <c r="M635" s="9"/>
      <c r="N635" s="9"/>
      <c r="O635" s="9"/>
      <c r="P635" s="9"/>
      <c r="Q635" s="9"/>
      <c r="R635" s="9"/>
      <c r="S635" s="9"/>
      <c r="T635" s="9"/>
      <c r="U635" s="9"/>
      <c r="V635" s="9"/>
      <c r="W635" s="9"/>
      <c r="X635" s="9"/>
      <c r="Y635" s="9"/>
      <c r="Z635" s="9"/>
    </row>
    <row r="636" spans="1:26">
      <c r="A636" s="9"/>
      <c r="B636" s="9"/>
      <c r="C636" s="9"/>
      <c r="D636" s="9"/>
      <c r="E636" s="35"/>
      <c r="F636" s="35"/>
      <c r="G636" s="258"/>
      <c r="H636" s="267"/>
      <c r="I636" s="262"/>
      <c r="J636" s="267"/>
      <c r="K636" s="262"/>
      <c r="L636" s="115"/>
      <c r="M636" s="9"/>
      <c r="N636" s="9"/>
      <c r="O636" s="9"/>
      <c r="P636" s="9"/>
      <c r="Q636" s="9"/>
      <c r="R636" s="9"/>
      <c r="S636" s="9"/>
      <c r="T636" s="9"/>
      <c r="U636" s="9"/>
      <c r="V636" s="9"/>
      <c r="W636" s="9"/>
      <c r="X636" s="9"/>
      <c r="Y636" s="9"/>
      <c r="Z636" s="9"/>
    </row>
    <row r="637" spans="1:26">
      <c r="A637" s="9"/>
      <c r="B637" s="9"/>
      <c r="C637" s="9"/>
      <c r="D637" s="9"/>
      <c r="E637" s="35"/>
      <c r="F637" s="35"/>
      <c r="G637" s="258"/>
      <c r="H637" s="267"/>
      <c r="I637" s="262"/>
      <c r="J637" s="267"/>
      <c r="K637" s="262"/>
      <c r="L637" s="115"/>
      <c r="M637" s="9"/>
      <c r="N637" s="9"/>
      <c r="O637" s="9"/>
      <c r="P637" s="9"/>
      <c r="Q637" s="9"/>
      <c r="R637" s="9"/>
      <c r="S637" s="9"/>
      <c r="T637" s="9"/>
      <c r="U637" s="9"/>
      <c r="V637" s="9"/>
      <c r="W637" s="9"/>
      <c r="X637" s="9"/>
      <c r="Y637" s="9"/>
      <c r="Z637" s="9"/>
    </row>
    <row r="638" spans="1:26">
      <c r="A638" s="9"/>
      <c r="B638" s="9"/>
      <c r="C638" s="9"/>
      <c r="D638" s="9"/>
      <c r="E638" s="35"/>
      <c r="F638" s="35"/>
      <c r="G638" s="258"/>
      <c r="H638" s="267"/>
      <c r="I638" s="262"/>
      <c r="J638" s="267"/>
      <c r="K638" s="262"/>
      <c r="L638" s="115"/>
      <c r="M638" s="9"/>
      <c r="N638" s="9"/>
      <c r="O638" s="9"/>
      <c r="P638" s="9"/>
      <c r="Q638" s="9"/>
      <c r="R638" s="9"/>
      <c r="S638" s="9"/>
      <c r="T638" s="9"/>
      <c r="U638" s="9"/>
      <c r="V638" s="9"/>
      <c r="W638" s="9"/>
      <c r="X638" s="9"/>
      <c r="Y638" s="9"/>
      <c r="Z638" s="9"/>
    </row>
    <row r="639" spans="1:26">
      <c r="A639" s="9"/>
      <c r="B639" s="9"/>
      <c r="C639" s="9"/>
      <c r="D639" s="9"/>
      <c r="E639" s="35"/>
      <c r="F639" s="35"/>
      <c r="G639" s="258"/>
      <c r="H639" s="267"/>
      <c r="I639" s="262"/>
      <c r="J639" s="267"/>
      <c r="K639" s="262"/>
      <c r="L639" s="115"/>
      <c r="M639" s="9"/>
      <c r="N639" s="9"/>
      <c r="O639" s="9"/>
      <c r="P639" s="9"/>
      <c r="Q639" s="9"/>
      <c r="R639" s="9"/>
      <c r="S639" s="9"/>
      <c r="T639" s="9"/>
      <c r="U639" s="9"/>
      <c r="V639" s="9"/>
      <c r="W639" s="9"/>
      <c r="X639" s="9"/>
      <c r="Y639" s="9"/>
      <c r="Z639" s="9"/>
    </row>
    <row r="640" spans="1:26">
      <c r="A640" s="9"/>
      <c r="B640" s="9"/>
      <c r="C640" s="9"/>
      <c r="D640" s="9"/>
      <c r="E640" s="35"/>
      <c r="F640" s="35"/>
      <c r="G640" s="258"/>
      <c r="H640" s="267"/>
      <c r="I640" s="262"/>
      <c r="J640" s="267"/>
      <c r="K640" s="262"/>
      <c r="L640" s="115"/>
      <c r="M640" s="9"/>
      <c r="N640" s="9"/>
      <c r="O640" s="9"/>
      <c r="P640" s="9"/>
      <c r="Q640" s="9"/>
      <c r="R640" s="9"/>
      <c r="S640" s="9"/>
      <c r="T640" s="9"/>
      <c r="U640" s="9"/>
      <c r="V640" s="9"/>
      <c r="W640" s="9"/>
      <c r="X640" s="9"/>
      <c r="Y640" s="9"/>
      <c r="Z640" s="9"/>
    </row>
    <row r="641" spans="1:26">
      <c r="A641" s="9"/>
      <c r="B641" s="9"/>
      <c r="C641" s="9"/>
      <c r="D641" s="9"/>
      <c r="E641" s="35"/>
      <c r="F641" s="35"/>
      <c r="G641" s="258"/>
      <c r="H641" s="267"/>
      <c r="I641" s="262"/>
      <c r="J641" s="267"/>
      <c r="K641" s="262"/>
      <c r="L641" s="115"/>
      <c r="M641" s="9"/>
      <c r="N641" s="9"/>
      <c r="O641" s="9"/>
      <c r="P641" s="9"/>
      <c r="Q641" s="9"/>
      <c r="R641" s="9"/>
      <c r="S641" s="9"/>
      <c r="T641" s="9"/>
      <c r="U641" s="9"/>
      <c r="V641" s="9"/>
      <c r="W641" s="9"/>
      <c r="X641" s="9"/>
      <c r="Y641" s="9"/>
      <c r="Z641" s="9"/>
    </row>
    <row r="642" spans="1:26">
      <c r="A642" s="9"/>
      <c r="B642" s="9"/>
      <c r="C642" s="9"/>
      <c r="D642" s="9"/>
      <c r="E642" s="35"/>
      <c r="F642" s="35"/>
      <c r="G642" s="258"/>
      <c r="H642" s="267"/>
      <c r="I642" s="262"/>
      <c r="J642" s="267"/>
      <c r="K642" s="262"/>
      <c r="L642" s="115"/>
      <c r="M642" s="9"/>
      <c r="N642" s="9"/>
      <c r="O642" s="9"/>
      <c r="P642" s="9"/>
      <c r="Q642" s="9"/>
      <c r="R642" s="9"/>
      <c r="S642" s="9"/>
      <c r="T642" s="9"/>
      <c r="U642" s="9"/>
      <c r="V642" s="9"/>
      <c r="W642" s="9"/>
      <c r="X642" s="9"/>
      <c r="Y642" s="9"/>
      <c r="Z642" s="9"/>
    </row>
    <row r="643" spans="1:26">
      <c r="A643" s="9"/>
      <c r="B643" s="9"/>
      <c r="C643" s="9"/>
      <c r="D643" s="9"/>
      <c r="E643" s="35"/>
      <c r="F643" s="35"/>
      <c r="G643" s="258"/>
      <c r="H643" s="267"/>
      <c r="I643" s="262"/>
      <c r="J643" s="267"/>
      <c r="K643" s="262"/>
      <c r="L643" s="115"/>
      <c r="M643" s="9"/>
      <c r="N643" s="9"/>
      <c r="O643" s="9"/>
      <c r="P643" s="9"/>
      <c r="Q643" s="9"/>
      <c r="R643" s="9"/>
      <c r="S643" s="9"/>
      <c r="T643" s="9"/>
      <c r="U643" s="9"/>
      <c r="V643" s="9"/>
      <c r="W643" s="9"/>
      <c r="X643" s="9"/>
      <c r="Y643" s="9"/>
      <c r="Z643" s="9"/>
    </row>
    <row r="644" spans="1:26">
      <c r="A644" s="9"/>
      <c r="B644" s="9"/>
      <c r="C644" s="9"/>
      <c r="D644" s="9"/>
      <c r="E644" s="35"/>
      <c r="F644" s="35"/>
      <c r="G644" s="258"/>
      <c r="H644" s="267"/>
      <c r="I644" s="262"/>
      <c r="J644" s="267"/>
      <c r="K644" s="262"/>
      <c r="L644" s="115"/>
      <c r="M644" s="9"/>
      <c r="N644" s="9"/>
      <c r="O644" s="9"/>
      <c r="P644" s="9"/>
      <c r="Q644" s="9"/>
      <c r="R644" s="9"/>
      <c r="S644" s="9"/>
      <c r="T644" s="9"/>
      <c r="U644" s="9"/>
      <c r="V644" s="9"/>
      <c r="W644" s="9"/>
      <c r="X644" s="9"/>
      <c r="Y644" s="9"/>
      <c r="Z644" s="9"/>
    </row>
    <row r="645" spans="1:26">
      <c r="A645" s="9"/>
      <c r="B645" s="9"/>
      <c r="C645" s="9"/>
      <c r="D645" s="9"/>
      <c r="E645" s="35"/>
      <c r="F645" s="35"/>
      <c r="G645" s="258"/>
      <c r="H645" s="267"/>
      <c r="I645" s="262"/>
      <c r="J645" s="267"/>
      <c r="K645" s="262"/>
      <c r="L645" s="115"/>
      <c r="M645" s="9"/>
      <c r="N645" s="9"/>
      <c r="O645" s="9"/>
      <c r="P645" s="9"/>
      <c r="Q645" s="9"/>
      <c r="R645" s="9"/>
      <c r="S645" s="9"/>
      <c r="T645" s="9"/>
      <c r="U645" s="9"/>
      <c r="V645" s="9"/>
      <c r="W645" s="9"/>
      <c r="X645" s="9"/>
      <c r="Y645" s="9"/>
      <c r="Z645" s="9"/>
    </row>
    <row r="646" spans="1:26">
      <c r="A646" s="9"/>
      <c r="B646" s="9"/>
      <c r="C646" s="9"/>
      <c r="D646" s="9"/>
      <c r="E646" s="35"/>
      <c r="F646" s="35"/>
      <c r="G646" s="258"/>
      <c r="H646" s="267"/>
      <c r="I646" s="262"/>
      <c r="J646" s="267"/>
      <c r="K646" s="262"/>
      <c r="L646" s="115"/>
      <c r="M646" s="9"/>
      <c r="N646" s="9"/>
      <c r="O646" s="9"/>
      <c r="P646" s="9"/>
      <c r="Q646" s="9"/>
      <c r="R646" s="9"/>
      <c r="S646" s="9"/>
      <c r="T646" s="9"/>
      <c r="U646" s="9"/>
      <c r="V646" s="9"/>
      <c r="W646" s="9"/>
      <c r="X646" s="9"/>
      <c r="Y646" s="9"/>
      <c r="Z646" s="9"/>
    </row>
    <row r="647" spans="1:26">
      <c r="A647" s="9"/>
      <c r="B647" s="9"/>
      <c r="C647" s="9"/>
      <c r="D647" s="9"/>
      <c r="E647" s="35"/>
      <c r="F647" s="35"/>
      <c r="G647" s="258"/>
      <c r="H647" s="267"/>
      <c r="I647" s="262"/>
      <c r="J647" s="267"/>
      <c r="K647" s="262"/>
      <c r="L647" s="115"/>
      <c r="M647" s="9"/>
      <c r="N647" s="9"/>
      <c r="O647" s="9"/>
      <c r="P647" s="9"/>
      <c r="Q647" s="9"/>
      <c r="R647" s="9"/>
      <c r="S647" s="9"/>
      <c r="T647" s="9"/>
      <c r="U647" s="9"/>
      <c r="V647" s="9"/>
      <c r="W647" s="9"/>
      <c r="X647" s="9"/>
      <c r="Y647" s="9"/>
      <c r="Z647" s="9"/>
    </row>
    <row r="648" spans="1:26">
      <c r="A648" s="9"/>
      <c r="B648" s="9"/>
      <c r="C648" s="9"/>
      <c r="D648" s="9"/>
      <c r="E648" s="35"/>
      <c r="F648" s="35"/>
      <c r="G648" s="258"/>
      <c r="H648" s="267"/>
      <c r="I648" s="262"/>
      <c r="J648" s="267"/>
      <c r="K648" s="262"/>
      <c r="L648" s="115"/>
      <c r="M648" s="9"/>
      <c r="N648" s="9"/>
      <c r="O648" s="9"/>
      <c r="P648" s="9"/>
      <c r="Q648" s="9"/>
      <c r="R648" s="9"/>
      <c r="S648" s="9"/>
      <c r="T648" s="9"/>
      <c r="U648" s="9"/>
      <c r="V648" s="9"/>
      <c r="W648" s="9"/>
      <c r="X648" s="9"/>
      <c r="Y648" s="9"/>
      <c r="Z648" s="9"/>
    </row>
    <row r="649" spans="1:26">
      <c r="A649" s="9"/>
      <c r="B649" s="9"/>
      <c r="C649" s="9"/>
      <c r="D649" s="9"/>
      <c r="E649" s="35"/>
      <c r="F649" s="35"/>
      <c r="G649" s="258"/>
      <c r="H649" s="267"/>
      <c r="I649" s="262"/>
      <c r="J649" s="267"/>
      <c r="K649" s="262"/>
      <c r="L649" s="115"/>
      <c r="M649" s="9"/>
      <c r="N649" s="9"/>
      <c r="O649" s="9"/>
      <c r="P649" s="9"/>
      <c r="Q649" s="9"/>
      <c r="R649" s="9"/>
      <c r="S649" s="9"/>
      <c r="T649" s="9"/>
      <c r="U649" s="9"/>
      <c r="V649" s="9"/>
      <c r="W649" s="9"/>
      <c r="X649" s="9"/>
      <c r="Y649" s="9"/>
      <c r="Z649" s="9"/>
    </row>
    <row r="650" spans="1:26">
      <c r="A650" s="9"/>
      <c r="B650" s="9"/>
      <c r="C650" s="9"/>
      <c r="D650" s="9"/>
      <c r="E650" s="35"/>
      <c r="F650" s="35"/>
      <c r="G650" s="258"/>
      <c r="H650" s="267"/>
      <c r="I650" s="262"/>
      <c r="J650" s="267"/>
      <c r="K650" s="262"/>
      <c r="L650" s="115"/>
      <c r="M650" s="9"/>
      <c r="N650" s="9"/>
      <c r="O650" s="9"/>
      <c r="P650" s="9"/>
      <c r="Q650" s="9"/>
      <c r="R650" s="9"/>
      <c r="S650" s="9"/>
      <c r="T650" s="9"/>
      <c r="U650" s="9"/>
      <c r="V650" s="9"/>
      <c r="W650" s="9"/>
      <c r="X650" s="9"/>
      <c r="Y650" s="9"/>
      <c r="Z650" s="9"/>
    </row>
    <row r="651" spans="1:26">
      <c r="A651" s="9"/>
      <c r="B651" s="9"/>
      <c r="C651" s="9"/>
      <c r="D651" s="9"/>
      <c r="E651" s="35"/>
      <c r="F651" s="35"/>
      <c r="G651" s="258"/>
      <c r="H651" s="267"/>
      <c r="I651" s="262"/>
      <c r="J651" s="267"/>
      <c r="K651" s="262"/>
      <c r="L651" s="115"/>
      <c r="M651" s="9"/>
      <c r="N651" s="9"/>
      <c r="O651" s="9"/>
      <c r="P651" s="9"/>
      <c r="Q651" s="9"/>
      <c r="R651" s="9"/>
      <c r="S651" s="9"/>
      <c r="T651" s="9"/>
      <c r="U651" s="9"/>
      <c r="V651" s="9"/>
      <c r="W651" s="9"/>
      <c r="X651" s="9"/>
      <c r="Y651" s="9"/>
      <c r="Z651" s="9"/>
    </row>
    <row r="652" spans="1:26">
      <c r="A652" s="9"/>
      <c r="B652" s="9"/>
      <c r="C652" s="9"/>
      <c r="D652" s="9"/>
      <c r="E652" s="35"/>
      <c r="F652" s="35"/>
      <c r="G652" s="258"/>
      <c r="H652" s="267"/>
      <c r="I652" s="262"/>
      <c r="J652" s="267"/>
      <c r="K652" s="262"/>
      <c r="L652" s="115"/>
      <c r="M652" s="9"/>
      <c r="N652" s="9"/>
      <c r="O652" s="9"/>
      <c r="P652" s="9"/>
      <c r="Q652" s="9"/>
      <c r="R652" s="9"/>
      <c r="S652" s="9"/>
      <c r="T652" s="9"/>
      <c r="U652" s="9"/>
      <c r="V652" s="9"/>
      <c r="W652" s="9"/>
      <c r="X652" s="9"/>
      <c r="Y652" s="9"/>
      <c r="Z652" s="9"/>
    </row>
    <row r="653" spans="1:26">
      <c r="A653" s="9"/>
      <c r="B653" s="9"/>
      <c r="C653" s="9"/>
      <c r="D653" s="9"/>
      <c r="E653" s="35"/>
      <c r="F653" s="35"/>
      <c r="G653" s="258"/>
      <c r="H653" s="267"/>
      <c r="I653" s="262"/>
      <c r="J653" s="267"/>
      <c r="K653" s="262"/>
      <c r="L653" s="115"/>
      <c r="M653" s="9"/>
      <c r="N653" s="9"/>
      <c r="O653" s="9"/>
      <c r="P653" s="9"/>
      <c r="Q653" s="9"/>
      <c r="R653" s="9"/>
      <c r="S653" s="9"/>
      <c r="T653" s="9"/>
      <c r="U653" s="9"/>
      <c r="V653" s="9"/>
      <c r="W653" s="9"/>
      <c r="X653" s="9"/>
      <c r="Y653" s="9"/>
      <c r="Z653" s="9"/>
    </row>
    <row r="654" spans="1:26">
      <c r="A654" s="9"/>
      <c r="B654" s="9"/>
      <c r="C654" s="9"/>
      <c r="D654" s="9"/>
      <c r="E654" s="35"/>
      <c r="F654" s="35"/>
      <c r="G654" s="258"/>
      <c r="H654" s="267"/>
      <c r="I654" s="262"/>
      <c r="J654" s="267"/>
      <c r="K654" s="262"/>
      <c r="L654" s="115"/>
      <c r="M654" s="9"/>
      <c r="N654" s="9"/>
      <c r="O654" s="9"/>
      <c r="P654" s="9"/>
      <c r="Q654" s="9"/>
      <c r="R654" s="9"/>
      <c r="S654" s="9"/>
      <c r="T654" s="9"/>
      <c r="U654" s="9"/>
      <c r="V654" s="9"/>
      <c r="W654" s="9"/>
      <c r="X654" s="9"/>
      <c r="Y654" s="9"/>
      <c r="Z654" s="9"/>
    </row>
    <row r="655" spans="1:26">
      <c r="A655" s="9"/>
      <c r="B655" s="9"/>
      <c r="C655" s="9"/>
      <c r="D655" s="9"/>
      <c r="E655" s="35"/>
      <c r="F655" s="35"/>
      <c r="G655" s="258"/>
      <c r="H655" s="267"/>
      <c r="I655" s="262"/>
      <c r="J655" s="267"/>
      <c r="K655" s="262"/>
      <c r="L655" s="115"/>
      <c r="M655" s="9"/>
      <c r="N655" s="9"/>
      <c r="O655" s="9"/>
      <c r="P655" s="9"/>
      <c r="Q655" s="9"/>
      <c r="R655" s="9"/>
      <c r="S655" s="9"/>
      <c r="T655" s="9"/>
      <c r="U655" s="9"/>
      <c r="V655" s="9"/>
      <c r="W655" s="9"/>
      <c r="X655" s="9"/>
      <c r="Y655" s="9"/>
      <c r="Z655" s="9"/>
    </row>
    <row r="656" spans="1:26">
      <c r="A656" s="9"/>
      <c r="B656" s="9"/>
      <c r="C656" s="9"/>
      <c r="D656" s="9"/>
      <c r="E656" s="35"/>
      <c r="F656" s="35"/>
      <c r="G656" s="258"/>
      <c r="H656" s="267"/>
      <c r="I656" s="262"/>
      <c r="J656" s="267"/>
      <c r="K656" s="262"/>
      <c r="L656" s="115"/>
      <c r="M656" s="9"/>
      <c r="N656" s="9"/>
      <c r="O656" s="9"/>
      <c r="P656" s="9"/>
      <c r="Q656" s="9"/>
      <c r="R656" s="9"/>
      <c r="S656" s="9"/>
      <c r="T656" s="9"/>
      <c r="U656" s="9"/>
      <c r="V656" s="9"/>
      <c r="W656" s="9"/>
      <c r="X656" s="9"/>
      <c r="Y656" s="9"/>
      <c r="Z656" s="9"/>
    </row>
    <row r="657" spans="1:26">
      <c r="A657" s="9"/>
      <c r="B657" s="9"/>
      <c r="C657" s="9"/>
      <c r="D657" s="9"/>
      <c r="E657" s="35"/>
      <c r="F657" s="35"/>
      <c r="G657" s="258"/>
      <c r="H657" s="267"/>
      <c r="I657" s="262"/>
      <c r="J657" s="267"/>
      <c r="K657" s="262"/>
      <c r="L657" s="115"/>
      <c r="M657" s="9"/>
      <c r="N657" s="9"/>
      <c r="O657" s="9"/>
      <c r="P657" s="9"/>
      <c r="Q657" s="9"/>
      <c r="R657" s="9"/>
      <c r="S657" s="9"/>
      <c r="T657" s="9"/>
      <c r="U657" s="9"/>
      <c r="V657" s="9"/>
      <c r="W657" s="9"/>
      <c r="X657" s="9"/>
      <c r="Y657" s="9"/>
      <c r="Z657" s="9"/>
    </row>
    <row r="658" spans="1:26">
      <c r="A658" s="9"/>
      <c r="B658" s="9"/>
      <c r="C658" s="9"/>
      <c r="D658" s="9"/>
      <c r="E658" s="35"/>
      <c r="F658" s="35"/>
      <c r="G658" s="258"/>
      <c r="H658" s="267"/>
      <c r="I658" s="262"/>
      <c r="J658" s="267"/>
      <c r="K658" s="262"/>
      <c r="L658" s="115"/>
      <c r="M658" s="9"/>
      <c r="N658" s="9"/>
      <c r="O658" s="9"/>
      <c r="P658" s="9"/>
      <c r="Q658" s="9"/>
      <c r="R658" s="9"/>
      <c r="S658" s="9"/>
      <c r="T658" s="9"/>
      <c r="U658" s="9"/>
      <c r="V658" s="9"/>
      <c r="W658" s="9"/>
      <c r="X658" s="9"/>
      <c r="Y658" s="9"/>
      <c r="Z658" s="9"/>
    </row>
    <row r="659" spans="1:26">
      <c r="A659" s="9"/>
      <c r="B659" s="9"/>
      <c r="C659" s="9"/>
      <c r="D659" s="9"/>
      <c r="E659" s="35"/>
      <c r="F659" s="35"/>
      <c r="G659" s="258"/>
      <c r="H659" s="267"/>
      <c r="I659" s="262"/>
      <c r="J659" s="267"/>
      <c r="K659" s="262"/>
      <c r="L659" s="115"/>
      <c r="M659" s="9"/>
      <c r="N659" s="9"/>
      <c r="O659" s="9"/>
      <c r="P659" s="9"/>
      <c r="Q659" s="9"/>
      <c r="R659" s="9"/>
      <c r="S659" s="9"/>
      <c r="T659" s="9"/>
      <c r="U659" s="9"/>
      <c r="V659" s="9"/>
      <c r="W659" s="9"/>
      <c r="X659" s="9"/>
      <c r="Y659" s="9"/>
      <c r="Z659" s="9"/>
    </row>
    <row r="660" spans="1:26">
      <c r="A660" s="9"/>
      <c r="B660" s="9"/>
      <c r="C660" s="9"/>
      <c r="D660" s="9"/>
      <c r="E660" s="35"/>
      <c r="F660" s="35"/>
      <c r="G660" s="258"/>
      <c r="H660" s="267"/>
      <c r="I660" s="262"/>
      <c r="J660" s="267"/>
      <c r="K660" s="262"/>
      <c r="L660" s="115"/>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9:H18"/>
    <mergeCell ref="H23:H32"/>
    <mergeCell ref="H149:H158"/>
    <mergeCell ref="H37:H46"/>
    <mergeCell ref="H51:H60"/>
    <mergeCell ref="H65:H74"/>
    <mergeCell ref="H79:H88"/>
    <mergeCell ref="H93:H102"/>
    <mergeCell ref="H121:H130"/>
    <mergeCell ref="H135:H14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C274:D274"/>
    <mergeCell ref="C261:C270"/>
    <mergeCell ref="H275:H284"/>
    <mergeCell ref="C303:C312"/>
    <mergeCell ref="H303:H312"/>
    <mergeCell ref="C288:D288"/>
    <mergeCell ref="C289:C298"/>
    <mergeCell ref="H289:H298"/>
    <mergeCell ref="C302:D302"/>
    <mergeCell ref="C275:C284"/>
  </mergeCells>
  <phoneticPr fontId="16" type="noConversion"/>
  <pageMargins left="0.7" right="0.7" top="0.75" bottom="0.75" header="0.3" footer="0.3"/>
  <pageSetup paperSize="9" scale="59" orientation="portrait" r:id="rId1"/>
  <colBreaks count="1" manualBreakCount="1">
    <brk id="15" max="51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E300"/>
  <sheetViews>
    <sheetView topLeftCell="A261" zoomScaleNormal="100" workbookViewId="0">
      <selection activeCell="H135" sqref="H135"/>
    </sheetView>
  </sheetViews>
  <sheetFormatPr defaultRowHeight="12.75" outlineLevelRow="1"/>
  <cols>
    <col min="1" max="1" width="39.7109375" customWidth="1"/>
    <col min="2" max="2" width="12" customWidth="1"/>
    <col min="3" max="3" width="16.85546875" customWidth="1"/>
    <col min="4" max="4" width="11.42578125" customWidth="1"/>
    <col min="5" max="5" width="11.140625" customWidth="1"/>
    <col min="6" max="6" width="11.28515625" customWidth="1"/>
    <col min="8" max="8" width="10.42578125" customWidth="1"/>
    <col min="257" max="257" width="31.140625" customWidth="1"/>
    <col min="258" max="258" width="12" customWidth="1"/>
    <col min="259" max="259" width="16.85546875" customWidth="1"/>
    <col min="260" max="260" width="11.42578125" customWidth="1"/>
    <col min="513" max="513" width="31.140625" customWidth="1"/>
    <col min="514" max="514" width="12" customWidth="1"/>
    <col min="515" max="515" width="16.85546875" customWidth="1"/>
    <col min="516" max="516" width="11.42578125" customWidth="1"/>
    <col min="769" max="769" width="31.140625" customWidth="1"/>
    <col min="770" max="770" width="12" customWidth="1"/>
    <col min="771" max="771" width="16.85546875" customWidth="1"/>
    <col min="772" max="772" width="11.42578125" customWidth="1"/>
    <col min="1025" max="1025" width="31.140625" customWidth="1"/>
    <col min="1026" max="1026" width="12" customWidth="1"/>
    <col min="1027" max="1027" width="16.85546875" customWidth="1"/>
    <col min="1028" max="1028" width="11.42578125" customWidth="1"/>
    <col min="1281" max="1281" width="31.140625" customWidth="1"/>
    <col min="1282" max="1282" width="12" customWidth="1"/>
    <col min="1283" max="1283" width="16.85546875" customWidth="1"/>
    <col min="1284" max="1284" width="11.42578125" customWidth="1"/>
    <col min="1537" max="1537" width="31.140625" customWidth="1"/>
    <col min="1538" max="1538" width="12" customWidth="1"/>
    <col min="1539" max="1539" width="16.85546875" customWidth="1"/>
    <col min="1540" max="1540" width="11.42578125" customWidth="1"/>
    <col min="1793" max="1793" width="31.140625" customWidth="1"/>
    <col min="1794" max="1794" width="12" customWidth="1"/>
    <col min="1795" max="1795" width="16.85546875" customWidth="1"/>
    <col min="1796" max="1796" width="11.42578125" customWidth="1"/>
    <col min="2049" max="2049" width="31.140625" customWidth="1"/>
    <col min="2050" max="2050" width="12" customWidth="1"/>
    <col min="2051" max="2051" width="16.85546875" customWidth="1"/>
    <col min="2052" max="2052" width="11.42578125" customWidth="1"/>
    <col min="2305" max="2305" width="31.140625" customWidth="1"/>
    <col min="2306" max="2306" width="12" customWidth="1"/>
    <col min="2307" max="2307" width="16.85546875" customWidth="1"/>
    <col min="2308" max="2308" width="11.42578125" customWidth="1"/>
    <col min="2561" max="2561" width="31.140625" customWidth="1"/>
    <col min="2562" max="2562" width="12" customWidth="1"/>
    <col min="2563" max="2563" width="16.85546875" customWidth="1"/>
    <col min="2564" max="2564" width="11.42578125" customWidth="1"/>
    <col min="2817" max="2817" width="31.140625" customWidth="1"/>
    <col min="2818" max="2818" width="12" customWidth="1"/>
    <col min="2819" max="2819" width="16.85546875" customWidth="1"/>
    <col min="2820" max="2820" width="11.42578125" customWidth="1"/>
    <col min="3073" max="3073" width="31.140625" customWidth="1"/>
    <col min="3074" max="3074" width="12" customWidth="1"/>
    <col min="3075" max="3075" width="16.85546875" customWidth="1"/>
    <col min="3076" max="3076" width="11.42578125" customWidth="1"/>
    <col min="3329" max="3329" width="31.140625" customWidth="1"/>
    <col min="3330" max="3330" width="12" customWidth="1"/>
    <col min="3331" max="3331" width="16.85546875" customWidth="1"/>
    <col min="3332" max="3332" width="11.42578125" customWidth="1"/>
    <col min="3585" max="3585" width="31.140625" customWidth="1"/>
    <col min="3586" max="3586" width="12" customWidth="1"/>
    <col min="3587" max="3587" width="16.85546875" customWidth="1"/>
    <col min="3588" max="3588" width="11.42578125" customWidth="1"/>
    <col min="3841" max="3841" width="31.140625" customWidth="1"/>
    <col min="3842" max="3842" width="12" customWidth="1"/>
    <col min="3843" max="3843" width="16.85546875" customWidth="1"/>
    <col min="3844" max="3844" width="11.42578125" customWidth="1"/>
    <col min="4097" max="4097" width="31.140625" customWidth="1"/>
    <col min="4098" max="4098" width="12" customWidth="1"/>
    <col min="4099" max="4099" width="16.85546875" customWidth="1"/>
    <col min="4100" max="4100" width="11.42578125" customWidth="1"/>
    <col min="4353" max="4353" width="31.140625" customWidth="1"/>
    <col min="4354" max="4354" width="12" customWidth="1"/>
    <col min="4355" max="4355" width="16.85546875" customWidth="1"/>
    <col min="4356" max="4356" width="11.42578125" customWidth="1"/>
    <col min="4609" max="4609" width="31.140625" customWidth="1"/>
    <col min="4610" max="4610" width="12" customWidth="1"/>
    <col min="4611" max="4611" width="16.85546875" customWidth="1"/>
    <col min="4612" max="4612" width="11.42578125" customWidth="1"/>
    <col min="4865" max="4865" width="31.140625" customWidth="1"/>
    <col min="4866" max="4866" width="12" customWidth="1"/>
    <col min="4867" max="4867" width="16.85546875" customWidth="1"/>
    <col min="4868" max="4868" width="11.42578125" customWidth="1"/>
    <col min="5121" max="5121" width="31.140625" customWidth="1"/>
    <col min="5122" max="5122" width="12" customWidth="1"/>
    <col min="5123" max="5123" width="16.85546875" customWidth="1"/>
    <col min="5124" max="5124" width="11.42578125" customWidth="1"/>
    <col min="5377" max="5377" width="31.140625" customWidth="1"/>
    <col min="5378" max="5378" width="12" customWidth="1"/>
    <col min="5379" max="5379" width="16.85546875" customWidth="1"/>
    <col min="5380" max="5380" width="11.42578125" customWidth="1"/>
    <col min="5633" max="5633" width="31.140625" customWidth="1"/>
    <col min="5634" max="5634" width="12" customWidth="1"/>
    <col min="5635" max="5635" width="16.85546875" customWidth="1"/>
    <col min="5636" max="5636" width="11.42578125" customWidth="1"/>
    <col min="5889" max="5889" width="31.140625" customWidth="1"/>
    <col min="5890" max="5890" width="12" customWidth="1"/>
    <col min="5891" max="5891" width="16.85546875" customWidth="1"/>
    <col min="5892" max="5892" width="11.42578125" customWidth="1"/>
    <col min="6145" max="6145" width="31.140625" customWidth="1"/>
    <col min="6146" max="6146" width="12" customWidth="1"/>
    <col min="6147" max="6147" width="16.85546875" customWidth="1"/>
    <col min="6148" max="6148" width="11.42578125" customWidth="1"/>
    <col min="6401" max="6401" width="31.140625" customWidth="1"/>
    <col min="6402" max="6402" width="12" customWidth="1"/>
    <col min="6403" max="6403" width="16.85546875" customWidth="1"/>
    <col min="6404" max="6404" width="11.42578125" customWidth="1"/>
    <col min="6657" max="6657" width="31.140625" customWidth="1"/>
    <col min="6658" max="6658" width="12" customWidth="1"/>
    <col min="6659" max="6659" width="16.85546875" customWidth="1"/>
    <col min="6660" max="6660" width="11.42578125" customWidth="1"/>
    <col min="6913" max="6913" width="31.140625" customWidth="1"/>
    <col min="6914" max="6914" width="12" customWidth="1"/>
    <col min="6915" max="6915" width="16.85546875" customWidth="1"/>
    <col min="6916" max="6916" width="11.42578125" customWidth="1"/>
    <col min="7169" max="7169" width="31.140625" customWidth="1"/>
    <col min="7170" max="7170" width="12" customWidth="1"/>
    <col min="7171" max="7171" width="16.85546875" customWidth="1"/>
    <col min="7172" max="7172" width="11.42578125" customWidth="1"/>
    <col min="7425" max="7425" width="31.140625" customWidth="1"/>
    <col min="7426" max="7426" width="12" customWidth="1"/>
    <col min="7427" max="7427" width="16.85546875" customWidth="1"/>
    <col min="7428" max="7428" width="11.42578125" customWidth="1"/>
    <col min="7681" max="7681" width="31.140625" customWidth="1"/>
    <col min="7682" max="7682" width="12" customWidth="1"/>
    <col min="7683" max="7683" width="16.85546875" customWidth="1"/>
    <col min="7684" max="7684" width="11.42578125" customWidth="1"/>
    <col min="7937" max="7937" width="31.140625" customWidth="1"/>
    <col min="7938" max="7938" width="12" customWidth="1"/>
    <col min="7939" max="7939" width="16.85546875" customWidth="1"/>
    <col min="7940" max="7940" width="11.42578125" customWidth="1"/>
    <col min="8193" max="8193" width="31.140625" customWidth="1"/>
    <col min="8194" max="8194" width="12" customWidth="1"/>
    <col min="8195" max="8195" width="16.85546875" customWidth="1"/>
    <col min="8196" max="8196" width="11.42578125" customWidth="1"/>
    <col min="8449" max="8449" width="31.140625" customWidth="1"/>
    <col min="8450" max="8450" width="12" customWidth="1"/>
    <col min="8451" max="8451" width="16.85546875" customWidth="1"/>
    <col min="8452" max="8452" width="11.42578125" customWidth="1"/>
    <col min="8705" max="8705" width="31.140625" customWidth="1"/>
    <col min="8706" max="8706" width="12" customWidth="1"/>
    <col min="8707" max="8707" width="16.85546875" customWidth="1"/>
    <col min="8708" max="8708" width="11.42578125" customWidth="1"/>
    <col min="8961" max="8961" width="31.140625" customWidth="1"/>
    <col min="8962" max="8962" width="12" customWidth="1"/>
    <col min="8963" max="8963" width="16.85546875" customWidth="1"/>
    <col min="8964" max="8964" width="11.42578125" customWidth="1"/>
    <col min="9217" max="9217" width="31.140625" customWidth="1"/>
    <col min="9218" max="9218" width="12" customWidth="1"/>
    <col min="9219" max="9219" width="16.85546875" customWidth="1"/>
    <col min="9220" max="9220" width="11.42578125" customWidth="1"/>
    <col min="9473" max="9473" width="31.140625" customWidth="1"/>
    <col min="9474" max="9474" width="12" customWidth="1"/>
    <col min="9475" max="9475" width="16.85546875" customWidth="1"/>
    <col min="9476" max="9476" width="11.42578125" customWidth="1"/>
    <col min="9729" max="9729" width="31.140625" customWidth="1"/>
    <col min="9730" max="9730" width="12" customWidth="1"/>
    <col min="9731" max="9731" width="16.85546875" customWidth="1"/>
    <col min="9732" max="9732" width="11.42578125" customWidth="1"/>
    <col min="9985" max="9985" width="31.140625" customWidth="1"/>
    <col min="9986" max="9986" width="12" customWidth="1"/>
    <col min="9987" max="9987" width="16.85546875" customWidth="1"/>
    <col min="9988" max="9988" width="11.42578125" customWidth="1"/>
    <col min="10241" max="10241" width="31.140625" customWidth="1"/>
    <col min="10242" max="10242" width="12" customWidth="1"/>
    <col min="10243" max="10243" width="16.85546875" customWidth="1"/>
    <col min="10244" max="10244" width="11.42578125" customWidth="1"/>
    <col min="10497" max="10497" width="31.140625" customWidth="1"/>
    <col min="10498" max="10498" width="12" customWidth="1"/>
    <col min="10499" max="10499" width="16.85546875" customWidth="1"/>
    <col min="10500" max="10500" width="11.42578125" customWidth="1"/>
    <col min="10753" max="10753" width="31.140625" customWidth="1"/>
    <col min="10754" max="10754" width="12" customWidth="1"/>
    <col min="10755" max="10755" width="16.85546875" customWidth="1"/>
    <col min="10756" max="10756" width="11.42578125" customWidth="1"/>
    <col min="11009" max="11009" width="31.140625" customWidth="1"/>
    <col min="11010" max="11010" width="12" customWidth="1"/>
    <col min="11011" max="11011" width="16.85546875" customWidth="1"/>
    <col min="11012" max="11012" width="11.42578125" customWidth="1"/>
    <col min="11265" max="11265" width="31.140625" customWidth="1"/>
    <col min="11266" max="11266" width="12" customWidth="1"/>
    <col min="11267" max="11267" width="16.85546875" customWidth="1"/>
    <col min="11268" max="11268" width="11.42578125" customWidth="1"/>
    <col min="11521" max="11521" width="31.140625" customWidth="1"/>
    <col min="11522" max="11522" width="12" customWidth="1"/>
    <col min="11523" max="11523" width="16.85546875" customWidth="1"/>
    <col min="11524" max="11524" width="11.42578125" customWidth="1"/>
    <col min="11777" max="11777" width="31.140625" customWidth="1"/>
    <col min="11778" max="11778" width="12" customWidth="1"/>
    <col min="11779" max="11779" width="16.85546875" customWidth="1"/>
    <col min="11780" max="11780" width="11.42578125" customWidth="1"/>
    <col min="12033" max="12033" width="31.140625" customWidth="1"/>
    <col min="12034" max="12034" width="12" customWidth="1"/>
    <col min="12035" max="12035" width="16.85546875" customWidth="1"/>
    <col min="12036" max="12036" width="11.42578125" customWidth="1"/>
    <col min="12289" max="12289" width="31.140625" customWidth="1"/>
    <col min="12290" max="12290" width="12" customWidth="1"/>
    <col min="12291" max="12291" width="16.85546875" customWidth="1"/>
    <col min="12292" max="12292" width="11.42578125" customWidth="1"/>
    <col min="12545" max="12545" width="31.140625" customWidth="1"/>
    <col min="12546" max="12546" width="12" customWidth="1"/>
    <col min="12547" max="12547" width="16.85546875" customWidth="1"/>
    <col min="12548" max="12548" width="11.42578125" customWidth="1"/>
    <col min="12801" max="12801" width="31.140625" customWidth="1"/>
    <col min="12802" max="12802" width="12" customWidth="1"/>
    <col min="12803" max="12803" width="16.85546875" customWidth="1"/>
    <col min="12804" max="12804" width="11.42578125" customWidth="1"/>
    <col min="13057" max="13057" width="31.140625" customWidth="1"/>
    <col min="13058" max="13058" width="12" customWidth="1"/>
    <col min="13059" max="13059" width="16.85546875" customWidth="1"/>
    <col min="13060" max="13060" width="11.42578125" customWidth="1"/>
    <col min="13313" max="13313" width="31.140625" customWidth="1"/>
    <col min="13314" max="13314" width="12" customWidth="1"/>
    <col min="13315" max="13315" width="16.85546875" customWidth="1"/>
    <col min="13316" max="13316" width="11.42578125" customWidth="1"/>
    <col min="13569" max="13569" width="31.140625" customWidth="1"/>
    <col min="13570" max="13570" width="12" customWidth="1"/>
    <col min="13571" max="13571" width="16.85546875" customWidth="1"/>
    <col min="13572" max="13572" width="11.42578125" customWidth="1"/>
    <col min="13825" max="13825" width="31.140625" customWidth="1"/>
    <col min="13826" max="13826" width="12" customWidth="1"/>
    <col min="13827" max="13827" width="16.85546875" customWidth="1"/>
    <col min="13828" max="13828" width="11.42578125" customWidth="1"/>
    <col min="14081" max="14081" width="31.140625" customWidth="1"/>
    <col min="14082" max="14082" width="12" customWidth="1"/>
    <col min="14083" max="14083" width="16.85546875" customWidth="1"/>
    <col min="14084" max="14084" width="11.42578125" customWidth="1"/>
    <col min="14337" max="14337" width="31.140625" customWidth="1"/>
    <col min="14338" max="14338" width="12" customWidth="1"/>
    <col min="14339" max="14339" width="16.85546875" customWidth="1"/>
    <col min="14340" max="14340" width="11.42578125" customWidth="1"/>
    <col min="14593" max="14593" width="31.140625" customWidth="1"/>
    <col min="14594" max="14594" width="12" customWidth="1"/>
    <col min="14595" max="14595" width="16.85546875" customWidth="1"/>
    <col min="14596" max="14596" width="11.42578125" customWidth="1"/>
    <col min="14849" max="14849" width="31.140625" customWidth="1"/>
    <col min="14850" max="14850" width="12" customWidth="1"/>
    <col min="14851" max="14851" width="16.85546875" customWidth="1"/>
    <col min="14852" max="14852" width="11.42578125" customWidth="1"/>
    <col min="15105" max="15105" width="31.140625" customWidth="1"/>
    <col min="15106" max="15106" width="12" customWidth="1"/>
    <col min="15107" max="15107" width="16.85546875" customWidth="1"/>
    <col min="15108" max="15108" width="11.42578125" customWidth="1"/>
    <col min="15361" max="15361" width="31.140625" customWidth="1"/>
    <col min="15362" max="15362" width="12" customWidth="1"/>
    <col min="15363" max="15363" width="16.85546875" customWidth="1"/>
    <col min="15364" max="15364" width="11.42578125" customWidth="1"/>
    <col min="15617" max="15617" width="31.140625" customWidth="1"/>
    <col min="15618" max="15618" width="12" customWidth="1"/>
    <col min="15619" max="15619" width="16.85546875" customWidth="1"/>
    <col min="15620" max="15620" width="11.42578125" customWidth="1"/>
    <col min="15873" max="15873" width="31.140625" customWidth="1"/>
    <col min="15874" max="15874" width="12" customWidth="1"/>
    <col min="15875" max="15875" width="16.85546875" customWidth="1"/>
    <col min="15876" max="15876" width="11.42578125" customWidth="1"/>
    <col min="16129" max="16129" width="31.140625" customWidth="1"/>
    <col min="16130" max="16130" width="12" customWidth="1"/>
    <col min="16131" max="16131" width="16.85546875" customWidth="1"/>
    <col min="16132" max="16132" width="11.42578125" customWidth="1"/>
  </cols>
  <sheetData>
    <row r="1" spans="1:57">
      <c r="A1" s="341" t="s">
        <v>118</v>
      </c>
    </row>
    <row r="2" spans="1:57">
      <c r="B2" s="342">
        <v>2009</v>
      </c>
      <c r="C2" s="342">
        <v>2010</v>
      </c>
      <c r="D2" s="342">
        <v>2011</v>
      </c>
      <c r="E2" s="342">
        <v>2012</v>
      </c>
      <c r="F2" s="342">
        <v>2013</v>
      </c>
      <c r="G2" s="342">
        <v>2014</v>
      </c>
      <c r="H2" s="342">
        <v>2015</v>
      </c>
      <c r="I2" s="342">
        <v>2016</v>
      </c>
      <c r="J2" s="342">
        <v>2017</v>
      </c>
      <c r="K2" s="342">
        <v>2018</v>
      </c>
      <c r="L2" s="342">
        <v>2019</v>
      </c>
      <c r="M2" s="342">
        <v>2020</v>
      </c>
      <c r="N2" s="342">
        <v>2021</v>
      </c>
      <c r="O2" s="342">
        <v>2022</v>
      </c>
      <c r="P2" s="342">
        <v>2023</v>
      </c>
      <c r="Q2" s="342">
        <v>2024</v>
      </c>
      <c r="R2" s="342">
        <v>2025</v>
      </c>
      <c r="S2" s="342">
        <v>2026</v>
      </c>
      <c r="T2" s="342">
        <v>2027</v>
      </c>
      <c r="U2" s="342">
        <v>2028</v>
      </c>
      <c r="V2" s="342">
        <v>2029</v>
      </c>
      <c r="W2" s="342">
        <v>2030</v>
      </c>
      <c r="X2" s="342">
        <v>2031</v>
      </c>
      <c r="Y2" s="342">
        <v>2032</v>
      </c>
      <c r="Z2" s="342">
        <v>2033</v>
      </c>
      <c r="AA2" s="342">
        <v>2034</v>
      </c>
      <c r="AB2" s="342">
        <v>2035</v>
      </c>
      <c r="AC2" s="342">
        <v>2036</v>
      </c>
      <c r="AD2" s="342">
        <v>2037</v>
      </c>
      <c r="AE2" s="342">
        <v>2038</v>
      </c>
      <c r="AF2" s="342">
        <v>2039</v>
      </c>
      <c r="AG2" s="342">
        <v>2040</v>
      </c>
      <c r="AH2" s="342">
        <v>2041</v>
      </c>
      <c r="AI2" s="342">
        <v>2042</v>
      </c>
      <c r="AJ2" s="342">
        <v>2043</v>
      </c>
      <c r="AK2" s="342">
        <v>2044</v>
      </c>
      <c r="AL2" s="342">
        <v>2045</v>
      </c>
      <c r="AM2" s="342">
        <v>2046</v>
      </c>
      <c r="AN2" s="342">
        <v>2047</v>
      </c>
      <c r="AO2" s="342">
        <v>2048</v>
      </c>
      <c r="AP2" s="342">
        <v>2049</v>
      </c>
      <c r="AQ2" s="342">
        <v>2050</v>
      </c>
      <c r="AR2" s="342">
        <v>2051</v>
      </c>
      <c r="AS2" s="342">
        <v>2052</v>
      </c>
      <c r="AT2" s="342">
        <v>2053</v>
      </c>
      <c r="AU2" s="342">
        <v>2054</v>
      </c>
      <c r="AV2" s="342">
        <v>2055</v>
      </c>
      <c r="AW2" s="342">
        <v>2056</v>
      </c>
      <c r="AX2" s="342">
        <v>2057</v>
      </c>
      <c r="AY2" s="342">
        <v>2058</v>
      </c>
      <c r="AZ2" s="342">
        <v>2059</v>
      </c>
      <c r="BA2" s="342">
        <v>2060</v>
      </c>
      <c r="BB2" s="342">
        <v>2061</v>
      </c>
      <c r="BC2" s="342">
        <v>2062</v>
      </c>
      <c r="BD2" s="342">
        <v>2063</v>
      </c>
      <c r="BE2" s="342">
        <v>2064</v>
      </c>
    </row>
    <row r="4" spans="1:57">
      <c r="A4" t="s">
        <v>119</v>
      </c>
      <c r="B4" s="343"/>
      <c r="C4" s="344">
        <f>C225</f>
        <v>125.5716568351736</v>
      </c>
      <c r="D4" s="344">
        <f t="shared" ref="D4:BE4" si="0">D225</f>
        <v>124.79519380583521</v>
      </c>
      <c r="E4" s="344">
        <f t="shared" si="0"/>
        <v>151.54237371850314</v>
      </c>
      <c r="F4" s="344">
        <f t="shared" si="0"/>
        <v>177.7918022278941</v>
      </c>
      <c r="G4" s="344">
        <f t="shared" si="0"/>
        <v>220.03674170931043</v>
      </c>
      <c r="H4" s="344">
        <f t="shared" si="0"/>
        <v>210.22748552335196</v>
      </c>
      <c r="I4" s="344">
        <f t="shared" si="0"/>
        <v>152.79357129268047</v>
      </c>
      <c r="J4" s="344">
        <f t="shared" si="0"/>
        <v>133.02684704271977</v>
      </c>
      <c r="K4" s="344">
        <f t="shared" si="0"/>
        <v>118.16627732694479</v>
      </c>
      <c r="L4" s="344">
        <f t="shared" si="0"/>
        <v>106.51684456155931</v>
      </c>
      <c r="M4" s="344">
        <f t="shared" si="0"/>
        <v>97.034085503604885</v>
      </c>
      <c r="N4" s="344">
        <f t="shared" si="0"/>
        <v>89.067008848462351</v>
      </c>
      <c r="O4" s="344">
        <f t="shared" si="0"/>
        <v>82.203445630247828</v>
      </c>
      <c r="P4" s="344">
        <f t="shared" si="0"/>
        <v>76.176917301236429</v>
      </c>
      <c r="Q4" s="344">
        <f t="shared" si="0"/>
        <v>70.810462587211134</v>
      </c>
      <c r="R4" s="344">
        <f t="shared" si="0"/>
        <v>65.982679945691629</v>
      </c>
      <c r="S4" s="344">
        <f t="shared" si="0"/>
        <v>61.607133400007555</v>
      </c>
      <c r="T4" s="344">
        <f t="shared" si="0"/>
        <v>57.619805249086845</v>
      </c>
      <c r="U4" s="344">
        <f t="shared" si="0"/>
        <v>53.971401495082652</v>
      </c>
      <c r="V4" s="344">
        <f t="shared" si="0"/>
        <v>50.622589954964155</v>
      </c>
      <c r="W4" s="344">
        <f t="shared" si="0"/>
        <v>47.541016073845455</v>
      </c>
      <c r="X4" s="344">
        <f t="shared" si="0"/>
        <v>44.699400957533186</v>
      </c>
      <c r="Y4" s="344">
        <f t="shared" si="0"/>
        <v>42.074302225698091</v>
      </c>
      <c r="Z4" s="344">
        <f t="shared" si="0"/>
        <v>39.64528425463606</v>
      </c>
      <c r="AA4" s="344">
        <f t="shared" si="0"/>
        <v>37.394344222805607</v>
      </c>
      <c r="AB4" s="344">
        <f t="shared" si="0"/>
        <v>35.305500499286453</v>
      </c>
      <c r="AC4" s="344">
        <f t="shared" si="0"/>
        <v>33.364486176626528</v>
      </c>
      <c r="AD4" s="344">
        <f t="shared" si="0"/>
        <v>31.558512462517051</v>
      </c>
      <c r="AE4" s="344">
        <f t="shared" si="0"/>
        <v>29.87607992475013</v>
      </c>
      <c r="AF4" s="344">
        <f t="shared" si="0"/>
        <v>28.306823664260293</v>
      </c>
      <c r="AG4" s="344">
        <f t="shared" si="0"/>
        <v>26.841383434991286</v>
      </c>
      <c r="AH4" s="344">
        <f t="shared" si="0"/>
        <v>25.471292777509362</v>
      </c>
      <c r="AI4" s="344">
        <f t="shared" si="0"/>
        <v>24.188883132304976</v>
      </c>
      <c r="AJ4" s="344">
        <f t="shared" si="0"/>
        <v>22.987200098374409</v>
      </c>
      <c r="AK4" s="344">
        <f t="shared" si="0"/>
        <v>21.859929774343478</v>
      </c>
      <c r="AL4" s="344">
        <f t="shared" si="0"/>
        <v>20.801333627185926</v>
      </c>
      <c r="AM4" s="344">
        <f t="shared" si="0"/>
        <v>19.806190677017867</v>
      </c>
      <c r="AN4" s="344">
        <f t="shared" si="0"/>
        <v>18.869746026111873</v>
      </c>
      <c r="AO4" s="344">
        <f t="shared" si="0"/>
        <v>17.987664933276218</v>
      </c>
      <c r="AP4" s="344">
        <f t="shared" si="0"/>
        <v>17.155991763975113</v>
      </c>
      <c r="AQ4" s="344">
        <f t="shared" si="0"/>
        <v>16.371113246292158</v>
      </c>
      <c r="AR4" s="344">
        <f t="shared" si="0"/>
        <v>15.629725542070757</v>
      </c>
      <c r="AS4" s="344">
        <f t="shared" si="0"/>
        <v>14.928804707089963</v>
      </c>
      <c r="AT4" s="344">
        <f t="shared" si="0"/>
        <v>14.265580167751406</v>
      </c>
      <c r="AU4" s="344">
        <f t="shared" si="0"/>
        <v>13.63751088701845</v>
      </c>
      <c r="AV4" s="344">
        <f t="shared" si="0"/>
        <v>13.042263931034881</v>
      </c>
      <c r="AW4" s="344">
        <f t="shared" si="0"/>
        <v>12.477695181222938</v>
      </c>
      <c r="AX4" s="344">
        <f t="shared" si="0"/>
        <v>11.941831965654963</v>
      </c>
      <c r="AY4" s="344">
        <f t="shared" si="0"/>
        <v>11.432857408819549</v>
      </c>
      <c r="AZ4" s="344">
        <f t="shared" si="0"/>
        <v>10.949096321119335</v>
      </c>
      <c r="BA4" s="344">
        <f t="shared" si="0"/>
        <v>10.489002468989177</v>
      </c>
      <c r="BB4" s="344">
        <f t="shared" si="0"/>
        <v>10.05114708377511</v>
      </c>
      <c r="BC4" s="344">
        <f t="shared" si="0"/>
        <v>9.6342084827700809</v>
      </c>
      <c r="BD4" s="344">
        <f t="shared" si="0"/>
        <v>9.2369626893166767</v>
      </c>
      <c r="BE4" s="344">
        <f t="shared" si="0"/>
        <v>8.8582749508775791</v>
      </c>
    </row>
    <row r="5" spans="1:57">
      <c r="A5" t="s">
        <v>120</v>
      </c>
      <c r="B5" s="344">
        <f>B227</f>
        <v>1132.7962881575281</v>
      </c>
      <c r="C5" s="344">
        <f t="shared" ref="C5:BE5" si="1">C227</f>
        <v>1278.7103842036904</v>
      </c>
      <c r="D5" s="344">
        <f t="shared" si="1"/>
        <v>1444.7533807656316</v>
      </c>
      <c r="E5" s="344">
        <f t="shared" si="1"/>
        <v>1624.3197550116522</v>
      </c>
      <c r="F5" s="344">
        <f t="shared" si="1"/>
        <v>1832.8311842355104</v>
      </c>
      <c r="G5" s="344">
        <f t="shared" si="1"/>
        <v>2041.0272385953665</v>
      </c>
      <c r="H5" s="344">
        <f t="shared" si="1"/>
        <v>2218.185974798515</v>
      </c>
      <c r="I5" s="344">
        <f t="shared" si="1"/>
        <v>2065.3924035058344</v>
      </c>
      <c r="J5" s="344">
        <f t="shared" si="1"/>
        <v>1932.3655564631147</v>
      </c>
      <c r="K5" s="344">
        <f t="shared" si="1"/>
        <v>1814.1992791361699</v>
      </c>
      <c r="L5" s="344">
        <f t="shared" si="1"/>
        <v>1707.6824345746104</v>
      </c>
      <c r="M5" s="344">
        <f t="shared" si="1"/>
        <v>1610.6483490710057</v>
      </c>
      <c r="N5" s="344">
        <f t="shared" si="1"/>
        <v>1521.5813402225431</v>
      </c>
      <c r="O5" s="344">
        <f t="shared" si="1"/>
        <v>1439.3778945922954</v>
      </c>
      <c r="P5" s="344">
        <f t="shared" si="1"/>
        <v>1363.2009772910592</v>
      </c>
      <c r="Q5" s="344">
        <f t="shared" si="1"/>
        <v>1292.3905147038481</v>
      </c>
      <c r="R5" s="344">
        <f t="shared" si="1"/>
        <v>1226.4078347581562</v>
      </c>
      <c r="S5" s="344">
        <f t="shared" si="1"/>
        <v>1164.8007013581487</v>
      </c>
      <c r="T5" s="344">
        <f t="shared" si="1"/>
        <v>1107.1808961090621</v>
      </c>
      <c r="U5" s="344">
        <f t="shared" si="1"/>
        <v>1053.2094946139791</v>
      </c>
      <c r="V5" s="344">
        <f t="shared" si="1"/>
        <v>1002.586904659015</v>
      </c>
      <c r="W5" s="344">
        <f t="shared" si="1"/>
        <v>955.04588858516945</v>
      </c>
      <c r="X5" s="344">
        <f t="shared" si="1"/>
        <v>910.34648762763641</v>
      </c>
      <c r="Y5" s="344">
        <f t="shared" si="1"/>
        <v>868.27218540193815</v>
      </c>
      <c r="Z5" s="344">
        <f t="shared" si="1"/>
        <v>828.62690114730208</v>
      </c>
      <c r="AA5" s="344">
        <f t="shared" si="1"/>
        <v>791.23255692449652</v>
      </c>
      <c r="AB5" s="344">
        <f t="shared" si="1"/>
        <v>755.92705642521014</v>
      </c>
      <c r="AC5" s="344">
        <f t="shared" si="1"/>
        <v>722.56257024858371</v>
      </c>
      <c r="AD5" s="344">
        <f t="shared" si="1"/>
        <v>691.0040577860666</v>
      </c>
      <c r="AE5" s="344">
        <f t="shared" si="1"/>
        <v>661.12797786131648</v>
      </c>
      <c r="AF5" s="344">
        <f t="shared" si="1"/>
        <v>632.8211541970561</v>
      </c>
      <c r="AG5" s="344">
        <f t="shared" si="1"/>
        <v>605.97977076206496</v>
      </c>
      <c r="AH5" s="344">
        <f t="shared" si="1"/>
        <v>580.5084779845555</v>
      </c>
      <c r="AI5" s="344">
        <f t="shared" si="1"/>
        <v>556.31959485225059</v>
      </c>
      <c r="AJ5" s="344">
        <f t="shared" si="1"/>
        <v>533.3323947538762</v>
      </c>
      <c r="AK5" s="344">
        <f t="shared" si="1"/>
        <v>511.47246497953267</v>
      </c>
      <c r="AL5" s="344">
        <f t="shared" si="1"/>
        <v>490.67113135234672</v>
      </c>
      <c r="AM5" s="344">
        <f t="shared" si="1"/>
        <v>470.86494067532897</v>
      </c>
      <c r="AN5" s="344">
        <f t="shared" si="1"/>
        <v>451.99519464921696</v>
      </c>
      <c r="AO5" s="344">
        <f t="shared" si="1"/>
        <v>434.00752971594079</v>
      </c>
      <c r="AP5" s="344">
        <f t="shared" si="1"/>
        <v>416.85153795196584</v>
      </c>
      <c r="AQ5" s="344">
        <f t="shared" si="1"/>
        <v>400.48042470567361</v>
      </c>
      <c r="AR5" s="344">
        <f t="shared" si="1"/>
        <v>384.85069916360288</v>
      </c>
      <c r="AS5" s="344">
        <f t="shared" si="1"/>
        <v>369.92189445651286</v>
      </c>
      <c r="AT5" s="344">
        <f t="shared" si="1"/>
        <v>355.65631428876145</v>
      </c>
      <c r="AU5" s="344">
        <f t="shared" si="1"/>
        <v>342.01880340174301</v>
      </c>
      <c r="AV5" s="344">
        <f t="shared" si="1"/>
        <v>328.97653947070813</v>
      </c>
      <c r="AW5" s="344">
        <f t="shared" si="1"/>
        <v>316.49884428948519</v>
      </c>
      <c r="AX5" s="344">
        <f t="shared" si="1"/>
        <v>304.55701232383035</v>
      </c>
      <c r="AY5" s="344">
        <f t="shared" si="1"/>
        <v>293.12415491501071</v>
      </c>
      <c r="AZ5" s="344">
        <f t="shared" si="1"/>
        <v>282.17505859389132</v>
      </c>
      <c r="BA5" s="344">
        <f t="shared" si="1"/>
        <v>271.68605612490211</v>
      </c>
      <c r="BB5" s="344">
        <f t="shared" si="1"/>
        <v>261.63490904112706</v>
      </c>
      <c r="BC5" s="344">
        <f t="shared" si="1"/>
        <v>252.00070055835701</v>
      </c>
      <c r="BD5" s="344">
        <f t="shared" si="1"/>
        <v>242.76373786904031</v>
      </c>
      <c r="BE5" s="344">
        <f t="shared" si="1"/>
        <v>233.90546291816275</v>
      </c>
    </row>
    <row r="8" spans="1:57" s="348" customFormat="1">
      <c r="A8" s="345" t="s">
        <v>121</v>
      </c>
      <c r="B8" s="345"/>
      <c r="C8" s="346"/>
      <c r="D8" s="347"/>
      <c r="E8" s="347"/>
    </row>
    <row r="9" spans="1:57" s="348" customFormat="1">
      <c r="A9" s="349" t="s">
        <v>81</v>
      </c>
      <c r="B9" s="349"/>
      <c r="C9" s="347"/>
      <c r="E9" s="347"/>
    </row>
    <row r="10" spans="1:57" s="348" customFormat="1">
      <c r="A10" s="347"/>
      <c r="B10" s="347"/>
    </row>
    <row r="11" spans="1:57" s="348" customFormat="1">
      <c r="A11" s="350" t="s">
        <v>122</v>
      </c>
      <c r="B11" s="351">
        <v>2010</v>
      </c>
      <c r="C11" s="352" t="s">
        <v>123</v>
      </c>
      <c r="E11" s="351">
        <v>2011</v>
      </c>
      <c r="F11" s="351">
        <v>2016</v>
      </c>
    </row>
    <row r="12" spans="1:57" s="346" customFormat="1">
      <c r="A12" s="353" t="s">
        <v>124</v>
      </c>
      <c r="B12" s="354" t="s">
        <v>125</v>
      </c>
      <c r="C12" s="355" t="s">
        <v>126</v>
      </c>
      <c r="E12" s="354" t="s">
        <v>125</v>
      </c>
      <c r="F12" s="354" t="s">
        <v>125</v>
      </c>
    </row>
    <row r="13" spans="1:57" s="348" customFormat="1">
      <c r="A13" s="346" t="s">
        <v>127</v>
      </c>
      <c r="B13" s="356">
        <v>11.315223314865596</v>
      </c>
      <c r="C13" s="357">
        <v>0</v>
      </c>
      <c r="E13" s="442">
        <f>D22</f>
        <v>11.315223314865596</v>
      </c>
      <c r="F13" s="446">
        <f>I22</f>
        <v>11.315223314865596</v>
      </c>
    </row>
    <row r="14" spans="1:57" s="348" customFormat="1">
      <c r="A14" s="346" t="s">
        <v>128</v>
      </c>
      <c r="B14" s="356">
        <v>5.7629558075975584E-2</v>
      </c>
      <c r="C14" s="358">
        <v>0.3</v>
      </c>
      <c r="E14" s="442">
        <f>D26</f>
        <v>4.0340690653182909E-2</v>
      </c>
      <c r="F14" s="442">
        <f>I26</f>
        <v>6.7800598780804518E-3</v>
      </c>
    </row>
    <row r="15" spans="1:57" s="348" customFormat="1">
      <c r="A15" s="346" t="s">
        <v>129</v>
      </c>
      <c r="B15" s="356">
        <v>0.93995194566269735</v>
      </c>
      <c r="C15" s="358">
        <v>0.25</v>
      </c>
      <c r="E15" s="442">
        <f>D30</f>
        <v>0.70496395924702304</v>
      </c>
      <c r="F15" s="442">
        <f>I30</f>
        <v>0.16729125204787754</v>
      </c>
    </row>
    <row r="16" spans="1:57" s="348" customFormat="1">
      <c r="A16" s="346" t="s">
        <v>130</v>
      </c>
      <c r="B16" s="356">
        <v>1.6993264774361698</v>
      </c>
      <c r="C16" s="358">
        <v>0.2</v>
      </c>
      <c r="E16" s="442">
        <f>D34</f>
        <v>1.3594611819489359</v>
      </c>
      <c r="F16" s="442">
        <f>I34</f>
        <v>0.44546824010102737</v>
      </c>
    </row>
    <row r="17" spans="1:57" s="348" customFormat="1">
      <c r="A17" s="346" t="s">
        <v>131</v>
      </c>
      <c r="B17" s="356">
        <v>197.97963101191107</v>
      </c>
      <c r="C17" s="358">
        <v>0.1</v>
      </c>
      <c r="E17" s="442">
        <f>D38</f>
        <v>178.18166791071997</v>
      </c>
      <c r="F17" s="447">
        <f>I38</f>
        <v>105.21449308460103</v>
      </c>
    </row>
    <row r="18" spans="1:57" s="348" customFormat="1">
      <c r="A18" s="346"/>
      <c r="B18" s="359">
        <f>SUM(B13:B17)</f>
        <v>211.99176230795152</v>
      </c>
      <c r="C18" s="360"/>
      <c r="E18" s="359">
        <f>SUM(E13:E17)</f>
        <v>191.60165705743469</v>
      </c>
      <c r="F18" s="359">
        <f>SUM(F13:F17)</f>
        <v>117.14925595149361</v>
      </c>
    </row>
    <row r="19" spans="1:57" s="348" customFormat="1">
      <c r="A19" s="346"/>
      <c r="B19" s="346"/>
      <c r="C19" s="347"/>
      <c r="D19" s="361"/>
      <c r="E19" s="362"/>
    </row>
    <row r="20" spans="1:57" s="347" customFormat="1">
      <c r="A20" s="363" t="s">
        <v>132</v>
      </c>
      <c r="B20" s="364">
        <f>B$2</f>
        <v>2009</v>
      </c>
      <c r="C20" s="364">
        <f>C$2</f>
        <v>2010</v>
      </c>
      <c r="D20" s="364">
        <f t="shared" ref="D20:BE20" si="2">D$2</f>
        <v>2011</v>
      </c>
      <c r="E20" s="364">
        <f t="shared" si="2"/>
        <v>2012</v>
      </c>
      <c r="F20" s="364">
        <f t="shared" si="2"/>
        <v>2013</v>
      </c>
      <c r="G20" s="364">
        <f t="shared" si="2"/>
        <v>2014</v>
      </c>
      <c r="H20" s="364">
        <f t="shared" si="2"/>
        <v>2015</v>
      </c>
      <c r="I20" s="364">
        <f t="shared" si="2"/>
        <v>2016</v>
      </c>
      <c r="J20" s="364">
        <f t="shared" si="2"/>
        <v>2017</v>
      </c>
      <c r="K20" s="364">
        <f t="shared" si="2"/>
        <v>2018</v>
      </c>
      <c r="L20" s="364">
        <f t="shared" si="2"/>
        <v>2019</v>
      </c>
      <c r="M20" s="364">
        <f t="shared" si="2"/>
        <v>2020</v>
      </c>
      <c r="N20" s="364">
        <f t="shared" si="2"/>
        <v>2021</v>
      </c>
      <c r="O20" s="364">
        <f t="shared" si="2"/>
        <v>2022</v>
      </c>
      <c r="P20" s="364">
        <f t="shared" si="2"/>
        <v>2023</v>
      </c>
      <c r="Q20" s="364">
        <f t="shared" si="2"/>
        <v>2024</v>
      </c>
      <c r="R20" s="364">
        <f t="shared" si="2"/>
        <v>2025</v>
      </c>
      <c r="S20" s="364">
        <f t="shared" si="2"/>
        <v>2026</v>
      </c>
      <c r="T20" s="364">
        <f t="shared" si="2"/>
        <v>2027</v>
      </c>
      <c r="U20" s="364">
        <f t="shared" si="2"/>
        <v>2028</v>
      </c>
      <c r="V20" s="364">
        <f t="shared" si="2"/>
        <v>2029</v>
      </c>
      <c r="W20" s="364">
        <f t="shared" si="2"/>
        <v>2030</v>
      </c>
      <c r="X20" s="364">
        <f t="shared" si="2"/>
        <v>2031</v>
      </c>
      <c r="Y20" s="364">
        <f t="shared" si="2"/>
        <v>2032</v>
      </c>
      <c r="Z20" s="364">
        <f t="shared" si="2"/>
        <v>2033</v>
      </c>
      <c r="AA20" s="364">
        <f t="shared" si="2"/>
        <v>2034</v>
      </c>
      <c r="AB20" s="364">
        <f t="shared" si="2"/>
        <v>2035</v>
      </c>
      <c r="AC20" s="364">
        <f t="shared" si="2"/>
        <v>2036</v>
      </c>
      <c r="AD20" s="364">
        <f t="shared" si="2"/>
        <v>2037</v>
      </c>
      <c r="AE20" s="364">
        <f t="shared" si="2"/>
        <v>2038</v>
      </c>
      <c r="AF20" s="364">
        <f t="shared" si="2"/>
        <v>2039</v>
      </c>
      <c r="AG20" s="364">
        <f t="shared" si="2"/>
        <v>2040</v>
      </c>
      <c r="AH20" s="364">
        <f t="shared" si="2"/>
        <v>2041</v>
      </c>
      <c r="AI20" s="364">
        <f t="shared" si="2"/>
        <v>2042</v>
      </c>
      <c r="AJ20" s="364">
        <f t="shared" si="2"/>
        <v>2043</v>
      </c>
      <c r="AK20" s="364">
        <f t="shared" si="2"/>
        <v>2044</v>
      </c>
      <c r="AL20" s="364">
        <f t="shared" si="2"/>
        <v>2045</v>
      </c>
      <c r="AM20" s="364">
        <f t="shared" si="2"/>
        <v>2046</v>
      </c>
      <c r="AN20" s="364">
        <f t="shared" si="2"/>
        <v>2047</v>
      </c>
      <c r="AO20" s="364">
        <f t="shared" si="2"/>
        <v>2048</v>
      </c>
      <c r="AP20" s="364">
        <f t="shared" si="2"/>
        <v>2049</v>
      </c>
      <c r="AQ20" s="364">
        <f t="shared" si="2"/>
        <v>2050</v>
      </c>
      <c r="AR20" s="364">
        <f t="shared" si="2"/>
        <v>2051</v>
      </c>
      <c r="AS20" s="364">
        <f t="shared" si="2"/>
        <v>2052</v>
      </c>
      <c r="AT20" s="364">
        <f t="shared" si="2"/>
        <v>2053</v>
      </c>
      <c r="AU20" s="364">
        <f t="shared" si="2"/>
        <v>2054</v>
      </c>
      <c r="AV20" s="364">
        <f t="shared" si="2"/>
        <v>2055</v>
      </c>
      <c r="AW20" s="364">
        <f t="shared" si="2"/>
        <v>2056</v>
      </c>
      <c r="AX20" s="364">
        <f t="shared" si="2"/>
        <v>2057</v>
      </c>
      <c r="AY20" s="364">
        <f t="shared" si="2"/>
        <v>2058</v>
      </c>
      <c r="AZ20" s="364">
        <f t="shared" si="2"/>
        <v>2059</v>
      </c>
      <c r="BA20" s="364">
        <f t="shared" si="2"/>
        <v>2060</v>
      </c>
      <c r="BB20" s="364">
        <f t="shared" si="2"/>
        <v>2061</v>
      </c>
      <c r="BC20" s="364">
        <f t="shared" si="2"/>
        <v>2062</v>
      </c>
      <c r="BD20" s="364">
        <f t="shared" si="2"/>
        <v>2063</v>
      </c>
      <c r="BE20" s="364">
        <f t="shared" si="2"/>
        <v>2064</v>
      </c>
    </row>
    <row r="21" spans="1:57" s="347" customFormat="1" hidden="1" outlineLevel="1">
      <c r="A21" s="365" t="s">
        <v>127</v>
      </c>
      <c r="B21" s="365"/>
      <c r="C21" s="346"/>
    </row>
    <row r="22" spans="1:57" s="347" customFormat="1" hidden="1" outlineLevel="1">
      <c r="A22" s="347" t="s">
        <v>133</v>
      </c>
      <c r="C22" s="366">
        <f>B$13</f>
        <v>11.315223314865596</v>
      </c>
      <c r="D22" s="367">
        <f>C24</f>
        <v>11.315223314865596</v>
      </c>
      <c r="E22" s="367">
        <f>D24</f>
        <v>11.315223314865596</v>
      </c>
      <c r="F22" s="367">
        <f>E24</f>
        <v>11.315223314865596</v>
      </c>
      <c r="G22" s="367">
        <f>F24</f>
        <v>11.315223314865596</v>
      </c>
      <c r="H22" s="367">
        <f t="shared" ref="H22:BE22" si="3">G24</f>
        <v>11.315223314865596</v>
      </c>
      <c r="I22" s="367">
        <f t="shared" si="3"/>
        <v>11.315223314865596</v>
      </c>
      <c r="J22" s="367">
        <f t="shared" si="3"/>
        <v>11.315223314865596</v>
      </c>
      <c r="K22" s="367">
        <f t="shared" si="3"/>
        <v>11.315223314865596</v>
      </c>
      <c r="L22" s="367">
        <f t="shared" si="3"/>
        <v>11.315223314865596</v>
      </c>
      <c r="M22" s="367">
        <f t="shared" si="3"/>
        <v>11.315223314865596</v>
      </c>
      <c r="N22" s="367">
        <f t="shared" si="3"/>
        <v>11.315223314865596</v>
      </c>
      <c r="O22" s="367">
        <f t="shared" si="3"/>
        <v>11.315223314865596</v>
      </c>
      <c r="P22" s="367">
        <f t="shared" si="3"/>
        <v>11.315223314865596</v>
      </c>
      <c r="Q22" s="367">
        <f t="shared" si="3"/>
        <v>11.315223314865596</v>
      </c>
      <c r="R22" s="367">
        <f t="shared" si="3"/>
        <v>11.315223314865596</v>
      </c>
      <c r="S22" s="367">
        <f t="shared" si="3"/>
        <v>11.315223314865596</v>
      </c>
      <c r="T22" s="367">
        <f t="shared" si="3"/>
        <v>11.315223314865596</v>
      </c>
      <c r="U22" s="367">
        <f t="shared" si="3"/>
        <v>11.315223314865596</v>
      </c>
      <c r="V22" s="367">
        <f t="shared" si="3"/>
        <v>11.315223314865596</v>
      </c>
      <c r="W22" s="367">
        <f t="shared" si="3"/>
        <v>11.315223314865596</v>
      </c>
      <c r="X22" s="367">
        <f t="shared" si="3"/>
        <v>11.315223314865596</v>
      </c>
      <c r="Y22" s="367">
        <f t="shared" si="3"/>
        <v>11.315223314865596</v>
      </c>
      <c r="Z22" s="367">
        <f t="shared" si="3"/>
        <v>11.315223314865596</v>
      </c>
      <c r="AA22" s="367">
        <f t="shared" si="3"/>
        <v>11.315223314865596</v>
      </c>
      <c r="AB22" s="367">
        <f t="shared" si="3"/>
        <v>11.315223314865596</v>
      </c>
      <c r="AC22" s="367">
        <f t="shared" si="3"/>
        <v>11.315223314865596</v>
      </c>
      <c r="AD22" s="367">
        <f t="shared" si="3"/>
        <v>11.315223314865596</v>
      </c>
      <c r="AE22" s="367">
        <f t="shared" si="3"/>
        <v>11.315223314865596</v>
      </c>
      <c r="AF22" s="367">
        <f t="shared" si="3"/>
        <v>11.315223314865596</v>
      </c>
      <c r="AG22" s="367">
        <f t="shared" si="3"/>
        <v>11.315223314865596</v>
      </c>
      <c r="AH22" s="367">
        <f t="shared" si="3"/>
        <v>11.315223314865596</v>
      </c>
      <c r="AI22" s="367">
        <f t="shared" si="3"/>
        <v>11.315223314865596</v>
      </c>
      <c r="AJ22" s="367">
        <f t="shared" si="3"/>
        <v>11.315223314865596</v>
      </c>
      <c r="AK22" s="367">
        <f t="shared" si="3"/>
        <v>11.315223314865596</v>
      </c>
      <c r="AL22" s="367">
        <f t="shared" si="3"/>
        <v>11.315223314865596</v>
      </c>
      <c r="AM22" s="367">
        <f t="shared" si="3"/>
        <v>11.315223314865596</v>
      </c>
      <c r="AN22" s="367">
        <f t="shared" si="3"/>
        <v>11.315223314865596</v>
      </c>
      <c r="AO22" s="367">
        <f t="shared" si="3"/>
        <v>11.315223314865596</v>
      </c>
      <c r="AP22" s="367">
        <f t="shared" si="3"/>
        <v>11.315223314865596</v>
      </c>
      <c r="AQ22" s="367">
        <f t="shared" si="3"/>
        <v>11.315223314865596</v>
      </c>
      <c r="AR22" s="367">
        <f t="shared" si="3"/>
        <v>11.315223314865596</v>
      </c>
      <c r="AS22" s="367">
        <f t="shared" si="3"/>
        <v>11.315223314865596</v>
      </c>
      <c r="AT22" s="367">
        <f t="shared" si="3"/>
        <v>11.315223314865596</v>
      </c>
      <c r="AU22" s="367">
        <f t="shared" si="3"/>
        <v>11.315223314865596</v>
      </c>
      <c r="AV22" s="367">
        <f t="shared" si="3"/>
        <v>11.315223314865596</v>
      </c>
      <c r="AW22" s="367">
        <f t="shared" si="3"/>
        <v>11.315223314865596</v>
      </c>
      <c r="AX22" s="367">
        <f t="shared" si="3"/>
        <v>11.315223314865596</v>
      </c>
      <c r="AY22" s="367">
        <f t="shared" si="3"/>
        <v>11.315223314865596</v>
      </c>
      <c r="AZ22" s="367">
        <f t="shared" si="3"/>
        <v>11.315223314865596</v>
      </c>
      <c r="BA22" s="367">
        <f t="shared" si="3"/>
        <v>11.315223314865596</v>
      </c>
      <c r="BB22" s="367">
        <f t="shared" si="3"/>
        <v>11.315223314865596</v>
      </c>
      <c r="BC22" s="367">
        <f t="shared" si="3"/>
        <v>11.315223314865596</v>
      </c>
      <c r="BD22" s="367">
        <f t="shared" si="3"/>
        <v>11.315223314865596</v>
      </c>
      <c r="BE22" s="367">
        <f t="shared" si="3"/>
        <v>11.315223314865596</v>
      </c>
    </row>
    <row r="23" spans="1:57" s="347" customFormat="1" hidden="1" outlineLevel="1">
      <c r="A23" s="347" t="s">
        <v>134</v>
      </c>
      <c r="C23" s="367">
        <f t="shared" ref="C23:BE23" si="4">$C$13*C22</f>
        <v>0</v>
      </c>
      <c r="D23" s="367">
        <f t="shared" si="4"/>
        <v>0</v>
      </c>
      <c r="E23" s="367">
        <f t="shared" si="4"/>
        <v>0</v>
      </c>
      <c r="F23" s="367">
        <f t="shared" si="4"/>
        <v>0</v>
      </c>
      <c r="G23" s="367">
        <f t="shared" si="4"/>
        <v>0</v>
      </c>
      <c r="H23" s="367">
        <f t="shared" si="4"/>
        <v>0</v>
      </c>
      <c r="I23" s="367">
        <f t="shared" si="4"/>
        <v>0</v>
      </c>
      <c r="J23" s="367">
        <f t="shared" si="4"/>
        <v>0</v>
      </c>
      <c r="K23" s="367">
        <f t="shared" si="4"/>
        <v>0</v>
      </c>
      <c r="L23" s="367">
        <f t="shared" si="4"/>
        <v>0</v>
      </c>
      <c r="M23" s="367">
        <f t="shared" si="4"/>
        <v>0</v>
      </c>
      <c r="N23" s="367">
        <f t="shared" si="4"/>
        <v>0</v>
      </c>
      <c r="O23" s="367">
        <f t="shared" si="4"/>
        <v>0</v>
      </c>
      <c r="P23" s="367">
        <f t="shared" si="4"/>
        <v>0</v>
      </c>
      <c r="Q23" s="367">
        <f t="shared" si="4"/>
        <v>0</v>
      </c>
      <c r="R23" s="367">
        <f t="shared" si="4"/>
        <v>0</v>
      </c>
      <c r="S23" s="367">
        <f t="shared" si="4"/>
        <v>0</v>
      </c>
      <c r="T23" s="367">
        <f t="shared" si="4"/>
        <v>0</v>
      </c>
      <c r="U23" s="367">
        <f t="shared" si="4"/>
        <v>0</v>
      </c>
      <c r="V23" s="367">
        <f t="shared" si="4"/>
        <v>0</v>
      </c>
      <c r="W23" s="367">
        <f t="shared" si="4"/>
        <v>0</v>
      </c>
      <c r="X23" s="367">
        <f t="shared" si="4"/>
        <v>0</v>
      </c>
      <c r="Y23" s="367">
        <f t="shared" si="4"/>
        <v>0</v>
      </c>
      <c r="Z23" s="367">
        <f t="shared" si="4"/>
        <v>0</v>
      </c>
      <c r="AA23" s="367">
        <f t="shared" si="4"/>
        <v>0</v>
      </c>
      <c r="AB23" s="367">
        <f t="shared" si="4"/>
        <v>0</v>
      </c>
      <c r="AC23" s="367">
        <f t="shared" si="4"/>
        <v>0</v>
      </c>
      <c r="AD23" s="367">
        <f t="shared" si="4"/>
        <v>0</v>
      </c>
      <c r="AE23" s="367">
        <f t="shared" si="4"/>
        <v>0</v>
      </c>
      <c r="AF23" s="367">
        <f t="shared" si="4"/>
        <v>0</v>
      </c>
      <c r="AG23" s="367">
        <f t="shared" si="4"/>
        <v>0</v>
      </c>
      <c r="AH23" s="367">
        <f t="shared" si="4"/>
        <v>0</v>
      </c>
      <c r="AI23" s="367">
        <f t="shared" si="4"/>
        <v>0</v>
      </c>
      <c r="AJ23" s="367">
        <f t="shared" si="4"/>
        <v>0</v>
      </c>
      <c r="AK23" s="367">
        <f t="shared" si="4"/>
        <v>0</v>
      </c>
      <c r="AL23" s="367">
        <f t="shared" si="4"/>
        <v>0</v>
      </c>
      <c r="AM23" s="367">
        <f t="shared" si="4"/>
        <v>0</v>
      </c>
      <c r="AN23" s="367">
        <f t="shared" si="4"/>
        <v>0</v>
      </c>
      <c r="AO23" s="367">
        <f t="shared" si="4"/>
        <v>0</v>
      </c>
      <c r="AP23" s="367">
        <f t="shared" si="4"/>
        <v>0</v>
      </c>
      <c r="AQ23" s="367">
        <f t="shared" si="4"/>
        <v>0</v>
      </c>
      <c r="AR23" s="367">
        <f t="shared" si="4"/>
        <v>0</v>
      </c>
      <c r="AS23" s="367">
        <f t="shared" si="4"/>
        <v>0</v>
      </c>
      <c r="AT23" s="367">
        <f t="shared" si="4"/>
        <v>0</v>
      </c>
      <c r="AU23" s="367">
        <f t="shared" si="4"/>
        <v>0</v>
      </c>
      <c r="AV23" s="367">
        <f t="shared" si="4"/>
        <v>0</v>
      </c>
      <c r="AW23" s="367">
        <f t="shared" si="4"/>
        <v>0</v>
      </c>
      <c r="AX23" s="367">
        <f t="shared" si="4"/>
        <v>0</v>
      </c>
      <c r="AY23" s="367">
        <f t="shared" si="4"/>
        <v>0</v>
      </c>
      <c r="AZ23" s="367">
        <f t="shared" si="4"/>
        <v>0</v>
      </c>
      <c r="BA23" s="367">
        <f t="shared" si="4"/>
        <v>0</v>
      </c>
      <c r="BB23" s="367">
        <f t="shared" si="4"/>
        <v>0</v>
      </c>
      <c r="BC23" s="367">
        <f t="shared" si="4"/>
        <v>0</v>
      </c>
      <c r="BD23" s="367">
        <f t="shared" si="4"/>
        <v>0</v>
      </c>
      <c r="BE23" s="367">
        <f t="shared" si="4"/>
        <v>0</v>
      </c>
    </row>
    <row r="24" spans="1:57" s="347" customFormat="1" hidden="1" outlineLevel="1">
      <c r="A24" s="347" t="s">
        <v>135</v>
      </c>
      <c r="B24" s="368">
        <f>C22</f>
        <v>11.315223314865596</v>
      </c>
      <c r="C24" s="368">
        <f>C22-C23</f>
        <v>11.315223314865596</v>
      </c>
      <c r="D24" s="368">
        <f>D22-D23</f>
        <v>11.315223314865596</v>
      </c>
      <c r="E24" s="368">
        <f>E22-E23</f>
        <v>11.315223314865596</v>
      </c>
      <c r="F24" s="368">
        <f>F22-F23</f>
        <v>11.315223314865596</v>
      </c>
      <c r="G24" s="368">
        <f>G22-G23</f>
        <v>11.315223314865596</v>
      </c>
      <c r="H24" s="368">
        <f t="shared" ref="H24:BE24" si="5">H22-H23</f>
        <v>11.315223314865596</v>
      </c>
      <c r="I24" s="368">
        <f t="shared" si="5"/>
        <v>11.315223314865596</v>
      </c>
      <c r="J24" s="368">
        <f t="shared" si="5"/>
        <v>11.315223314865596</v>
      </c>
      <c r="K24" s="368">
        <f t="shared" si="5"/>
        <v>11.315223314865596</v>
      </c>
      <c r="L24" s="368">
        <f t="shared" si="5"/>
        <v>11.315223314865596</v>
      </c>
      <c r="M24" s="368">
        <f t="shared" si="5"/>
        <v>11.315223314865596</v>
      </c>
      <c r="N24" s="368">
        <f t="shared" si="5"/>
        <v>11.315223314865596</v>
      </c>
      <c r="O24" s="368">
        <f t="shared" si="5"/>
        <v>11.315223314865596</v>
      </c>
      <c r="P24" s="368">
        <f t="shared" si="5"/>
        <v>11.315223314865596</v>
      </c>
      <c r="Q24" s="368">
        <f t="shared" si="5"/>
        <v>11.315223314865596</v>
      </c>
      <c r="R24" s="368">
        <f t="shared" si="5"/>
        <v>11.315223314865596</v>
      </c>
      <c r="S24" s="368">
        <f t="shared" si="5"/>
        <v>11.315223314865596</v>
      </c>
      <c r="T24" s="368">
        <f t="shared" si="5"/>
        <v>11.315223314865596</v>
      </c>
      <c r="U24" s="368">
        <f t="shared" si="5"/>
        <v>11.315223314865596</v>
      </c>
      <c r="V24" s="368">
        <f t="shared" si="5"/>
        <v>11.315223314865596</v>
      </c>
      <c r="W24" s="368">
        <f t="shared" si="5"/>
        <v>11.315223314865596</v>
      </c>
      <c r="X24" s="368">
        <f t="shared" si="5"/>
        <v>11.315223314865596</v>
      </c>
      <c r="Y24" s="368">
        <f t="shared" si="5"/>
        <v>11.315223314865596</v>
      </c>
      <c r="Z24" s="368">
        <f t="shared" si="5"/>
        <v>11.315223314865596</v>
      </c>
      <c r="AA24" s="368">
        <f t="shared" si="5"/>
        <v>11.315223314865596</v>
      </c>
      <c r="AB24" s="368">
        <f t="shared" si="5"/>
        <v>11.315223314865596</v>
      </c>
      <c r="AC24" s="368">
        <f t="shared" si="5"/>
        <v>11.315223314865596</v>
      </c>
      <c r="AD24" s="368">
        <f t="shared" si="5"/>
        <v>11.315223314865596</v>
      </c>
      <c r="AE24" s="368">
        <f t="shared" si="5"/>
        <v>11.315223314865596</v>
      </c>
      <c r="AF24" s="368">
        <f t="shared" si="5"/>
        <v>11.315223314865596</v>
      </c>
      <c r="AG24" s="368">
        <f t="shared" si="5"/>
        <v>11.315223314865596</v>
      </c>
      <c r="AH24" s="368">
        <f t="shared" si="5"/>
        <v>11.315223314865596</v>
      </c>
      <c r="AI24" s="368">
        <f t="shared" si="5"/>
        <v>11.315223314865596</v>
      </c>
      <c r="AJ24" s="368">
        <f t="shared" si="5"/>
        <v>11.315223314865596</v>
      </c>
      <c r="AK24" s="368">
        <f t="shared" si="5"/>
        <v>11.315223314865596</v>
      </c>
      <c r="AL24" s="368">
        <f t="shared" si="5"/>
        <v>11.315223314865596</v>
      </c>
      <c r="AM24" s="368">
        <f t="shared" si="5"/>
        <v>11.315223314865596</v>
      </c>
      <c r="AN24" s="368">
        <f t="shared" si="5"/>
        <v>11.315223314865596</v>
      </c>
      <c r="AO24" s="368">
        <f t="shared" si="5"/>
        <v>11.315223314865596</v>
      </c>
      <c r="AP24" s="368">
        <f t="shared" si="5"/>
        <v>11.315223314865596</v>
      </c>
      <c r="AQ24" s="368">
        <f t="shared" si="5"/>
        <v>11.315223314865596</v>
      </c>
      <c r="AR24" s="368">
        <f t="shared" si="5"/>
        <v>11.315223314865596</v>
      </c>
      <c r="AS24" s="368">
        <f t="shared" si="5"/>
        <v>11.315223314865596</v>
      </c>
      <c r="AT24" s="368">
        <f t="shared" si="5"/>
        <v>11.315223314865596</v>
      </c>
      <c r="AU24" s="368">
        <f t="shared" si="5"/>
        <v>11.315223314865596</v>
      </c>
      <c r="AV24" s="368">
        <f t="shared" si="5"/>
        <v>11.315223314865596</v>
      </c>
      <c r="AW24" s="368">
        <f t="shared" si="5"/>
        <v>11.315223314865596</v>
      </c>
      <c r="AX24" s="368">
        <f t="shared" si="5"/>
        <v>11.315223314865596</v>
      </c>
      <c r="AY24" s="368">
        <f t="shared" si="5"/>
        <v>11.315223314865596</v>
      </c>
      <c r="AZ24" s="368">
        <f t="shared" si="5"/>
        <v>11.315223314865596</v>
      </c>
      <c r="BA24" s="368">
        <f t="shared" si="5"/>
        <v>11.315223314865596</v>
      </c>
      <c r="BB24" s="368">
        <f t="shared" si="5"/>
        <v>11.315223314865596</v>
      </c>
      <c r="BC24" s="368">
        <f t="shared" si="5"/>
        <v>11.315223314865596</v>
      </c>
      <c r="BD24" s="368">
        <f t="shared" si="5"/>
        <v>11.315223314865596</v>
      </c>
      <c r="BE24" s="368">
        <f t="shared" si="5"/>
        <v>11.315223314865596</v>
      </c>
    </row>
    <row r="25" spans="1:57" s="347" customFormat="1" hidden="1" outlineLevel="1">
      <c r="A25" s="365" t="s">
        <v>128</v>
      </c>
      <c r="B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row>
    <row r="26" spans="1:57" s="347" customFormat="1" hidden="1" outlineLevel="1">
      <c r="A26" s="347" t="s">
        <v>133</v>
      </c>
      <c r="C26" s="366">
        <f>B$14</f>
        <v>5.7629558075975584E-2</v>
      </c>
      <c r="D26" s="367">
        <f>C28</f>
        <v>4.0340690653182909E-2</v>
      </c>
      <c r="E26" s="367">
        <f>D28</f>
        <v>2.8238483457228035E-2</v>
      </c>
      <c r="F26" s="367">
        <f>E28</f>
        <v>1.9766938420059624E-2</v>
      </c>
      <c r="G26" s="367">
        <f>F28</f>
        <v>1.3836856894041738E-2</v>
      </c>
      <c r="H26" s="367">
        <f t="shared" ref="H26:BE26" si="6">G28</f>
        <v>9.6857998258292159E-3</v>
      </c>
      <c r="I26" s="367">
        <f t="shared" si="6"/>
        <v>6.7800598780804518E-3</v>
      </c>
      <c r="J26" s="367">
        <f t="shared" si="6"/>
        <v>4.7460419146563163E-3</v>
      </c>
      <c r="K26" s="367">
        <f t="shared" si="6"/>
        <v>3.3222293402594217E-3</v>
      </c>
      <c r="L26" s="367">
        <f t="shared" si="6"/>
        <v>2.3255605381815952E-3</v>
      </c>
      <c r="M26" s="367">
        <f t="shared" si="6"/>
        <v>1.6278923767271167E-3</v>
      </c>
      <c r="N26" s="367">
        <f t="shared" si="6"/>
        <v>1.1395246637089817E-3</v>
      </c>
      <c r="O26" s="367">
        <f t="shared" si="6"/>
        <v>7.9766726459628721E-4</v>
      </c>
      <c r="P26" s="367">
        <f t="shared" si="6"/>
        <v>5.58367085217401E-4</v>
      </c>
      <c r="Q26" s="367">
        <f t="shared" si="6"/>
        <v>3.9085695965218072E-4</v>
      </c>
      <c r="R26" s="367">
        <f t="shared" si="6"/>
        <v>2.7359987175652652E-4</v>
      </c>
      <c r="S26" s="367">
        <f t="shared" si="6"/>
        <v>1.9151991022956855E-4</v>
      </c>
      <c r="T26" s="367">
        <f t="shared" si="6"/>
        <v>1.34063937160698E-4</v>
      </c>
      <c r="U26" s="367">
        <f t="shared" si="6"/>
        <v>9.3844756012488606E-5</v>
      </c>
      <c r="V26" s="367">
        <f t="shared" si="6"/>
        <v>6.5691329208742019E-5</v>
      </c>
      <c r="W26" s="367">
        <f t="shared" si="6"/>
        <v>4.5983930446119413E-5</v>
      </c>
      <c r="X26" s="367">
        <f t="shared" si="6"/>
        <v>3.218875131228359E-5</v>
      </c>
      <c r="Y26" s="367">
        <f t="shared" si="6"/>
        <v>2.2532125918598513E-5</v>
      </c>
      <c r="Z26" s="367">
        <f t="shared" si="6"/>
        <v>1.5772488143018957E-5</v>
      </c>
      <c r="AA26" s="367">
        <f t="shared" si="6"/>
        <v>1.104074170011327E-5</v>
      </c>
      <c r="AB26" s="367">
        <f t="shared" si="6"/>
        <v>7.7285191900792884E-6</v>
      </c>
      <c r="AC26" s="367">
        <f t="shared" si="6"/>
        <v>5.4099634330555024E-6</v>
      </c>
      <c r="AD26" s="367">
        <f t="shared" si="6"/>
        <v>3.7869744031388515E-6</v>
      </c>
      <c r="AE26" s="367">
        <f t="shared" si="6"/>
        <v>2.6508820821971964E-6</v>
      </c>
      <c r="AF26" s="367">
        <f t="shared" si="6"/>
        <v>1.8556174575380376E-6</v>
      </c>
      <c r="AG26" s="367">
        <f t="shared" si="6"/>
        <v>1.2989322202766265E-6</v>
      </c>
      <c r="AH26" s="367">
        <f t="shared" si="6"/>
        <v>9.0925255419363858E-7</v>
      </c>
      <c r="AI26" s="367">
        <f t="shared" si="6"/>
        <v>6.3647678793554697E-7</v>
      </c>
      <c r="AJ26" s="367">
        <f t="shared" si="6"/>
        <v>4.4553375155488286E-7</v>
      </c>
      <c r="AK26" s="367">
        <f t="shared" si="6"/>
        <v>3.1187362608841803E-7</v>
      </c>
      <c r="AL26" s="367">
        <f t="shared" si="6"/>
        <v>2.1831153826189263E-7</v>
      </c>
      <c r="AM26" s="367">
        <f t="shared" si="6"/>
        <v>1.5281807678332484E-7</v>
      </c>
      <c r="AN26" s="367">
        <f t="shared" si="6"/>
        <v>1.0697265374832739E-7</v>
      </c>
      <c r="AO26" s="367">
        <f t="shared" si="6"/>
        <v>7.4880857623829182E-8</v>
      </c>
      <c r="AP26" s="367">
        <f t="shared" si="6"/>
        <v>5.2416600336680433E-8</v>
      </c>
      <c r="AQ26" s="367">
        <f t="shared" si="6"/>
        <v>3.6691620235676303E-8</v>
      </c>
      <c r="AR26" s="367">
        <f t="shared" si="6"/>
        <v>2.5684134164973414E-8</v>
      </c>
      <c r="AS26" s="367">
        <f t="shared" si="6"/>
        <v>1.7978893915481389E-8</v>
      </c>
      <c r="AT26" s="367">
        <f t="shared" si="6"/>
        <v>1.2585225740836973E-8</v>
      </c>
      <c r="AU26" s="367">
        <f t="shared" si="6"/>
        <v>8.8096580185858808E-9</v>
      </c>
      <c r="AV26" s="367">
        <f t="shared" si="6"/>
        <v>6.1667606130101164E-9</v>
      </c>
      <c r="AW26" s="367">
        <f t="shared" si="6"/>
        <v>4.3167324291070818E-9</v>
      </c>
      <c r="AX26" s="367">
        <f t="shared" si="6"/>
        <v>3.0217127003749576E-9</v>
      </c>
      <c r="AY26" s="367">
        <f t="shared" si="6"/>
        <v>2.1151988902624703E-9</v>
      </c>
      <c r="AZ26" s="367">
        <f t="shared" si="6"/>
        <v>1.4806392231837293E-9</v>
      </c>
      <c r="BA26" s="367">
        <f t="shared" si="6"/>
        <v>1.0364474562286105E-9</v>
      </c>
      <c r="BB26" s="367">
        <f t="shared" si="6"/>
        <v>7.255132193600274E-10</v>
      </c>
      <c r="BC26" s="367">
        <f t="shared" si="6"/>
        <v>5.0785925355201913E-10</v>
      </c>
      <c r="BD26" s="367">
        <f t="shared" si="6"/>
        <v>3.5550147748641343E-10</v>
      </c>
      <c r="BE26" s="367">
        <f t="shared" si="6"/>
        <v>2.4885103424048941E-10</v>
      </c>
    </row>
    <row r="27" spans="1:57" s="347" customFormat="1" hidden="1" outlineLevel="1">
      <c r="A27" s="347" t="s">
        <v>134</v>
      </c>
      <c r="C27" s="367">
        <f t="shared" ref="C27:BE27" si="7">$C$14*C26</f>
        <v>1.7288867422792675E-2</v>
      </c>
      <c r="D27" s="367">
        <f t="shared" si="7"/>
        <v>1.2102207195954872E-2</v>
      </c>
      <c r="E27" s="367">
        <f t="shared" si="7"/>
        <v>8.4715450371684094E-3</v>
      </c>
      <c r="F27" s="367">
        <f t="shared" si="7"/>
        <v>5.9300815260178866E-3</v>
      </c>
      <c r="G27" s="367">
        <f t="shared" si="7"/>
        <v>4.1510570682125212E-3</v>
      </c>
      <c r="H27" s="367">
        <f t="shared" si="7"/>
        <v>2.9057399477487645E-3</v>
      </c>
      <c r="I27" s="367">
        <f t="shared" si="7"/>
        <v>2.0340179634241356E-3</v>
      </c>
      <c r="J27" s="367">
        <f t="shared" si="7"/>
        <v>1.4238125743968948E-3</v>
      </c>
      <c r="K27" s="367">
        <f t="shared" si="7"/>
        <v>9.966688020778265E-4</v>
      </c>
      <c r="L27" s="367">
        <f t="shared" si="7"/>
        <v>6.9766816145447851E-4</v>
      </c>
      <c r="M27" s="367">
        <f t="shared" si="7"/>
        <v>4.8836771301813495E-4</v>
      </c>
      <c r="N27" s="367">
        <f t="shared" si="7"/>
        <v>3.4185739911269449E-4</v>
      </c>
      <c r="O27" s="367">
        <f t="shared" si="7"/>
        <v>2.3930017937888616E-4</v>
      </c>
      <c r="P27" s="367">
        <f t="shared" si="7"/>
        <v>1.675101255652203E-4</v>
      </c>
      <c r="Q27" s="367">
        <f t="shared" si="7"/>
        <v>1.1725708789565421E-4</v>
      </c>
      <c r="R27" s="367">
        <f t="shared" si="7"/>
        <v>8.207996152695796E-5</v>
      </c>
      <c r="S27" s="367">
        <f t="shared" si="7"/>
        <v>5.7455973068870561E-5</v>
      </c>
      <c r="T27" s="367">
        <f t="shared" si="7"/>
        <v>4.0219181148209398E-5</v>
      </c>
      <c r="U27" s="367">
        <f t="shared" si="7"/>
        <v>2.815342680374658E-5</v>
      </c>
      <c r="V27" s="367">
        <f t="shared" si="7"/>
        <v>1.9707398762622606E-5</v>
      </c>
      <c r="W27" s="367">
        <f t="shared" si="7"/>
        <v>1.3795179133835823E-5</v>
      </c>
      <c r="X27" s="367">
        <f t="shared" si="7"/>
        <v>9.6566253936850761E-6</v>
      </c>
      <c r="Y27" s="367">
        <f t="shared" si="7"/>
        <v>6.7596377755795535E-6</v>
      </c>
      <c r="Z27" s="367">
        <f t="shared" si="7"/>
        <v>4.7317464429056871E-6</v>
      </c>
      <c r="AA27" s="367">
        <f t="shared" si="7"/>
        <v>3.3122225100339808E-6</v>
      </c>
      <c r="AB27" s="367">
        <f t="shared" si="7"/>
        <v>2.3185557570237864E-6</v>
      </c>
      <c r="AC27" s="367">
        <f t="shared" si="7"/>
        <v>1.6229890299166507E-6</v>
      </c>
      <c r="AD27" s="367">
        <f t="shared" si="7"/>
        <v>1.1360923209416553E-6</v>
      </c>
      <c r="AE27" s="367">
        <f t="shared" si="7"/>
        <v>7.9526462465915885E-7</v>
      </c>
      <c r="AF27" s="367">
        <f t="shared" si="7"/>
        <v>5.5668523726141123E-7</v>
      </c>
      <c r="AG27" s="367">
        <f t="shared" si="7"/>
        <v>3.8967966608298793E-7</v>
      </c>
      <c r="AH27" s="367">
        <f t="shared" si="7"/>
        <v>2.7277576625809155E-7</v>
      </c>
      <c r="AI27" s="367">
        <f t="shared" si="7"/>
        <v>1.9094303638066409E-7</v>
      </c>
      <c r="AJ27" s="367">
        <f t="shared" si="7"/>
        <v>1.3366012546646485E-7</v>
      </c>
      <c r="AK27" s="367">
        <f t="shared" si="7"/>
        <v>9.3562087826525405E-8</v>
      </c>
      <c r="AL27" s="367">
        <f t="shared" si="7"/>
        <v>6.5493461478567786E-8</v>
      </c>
      <c r="AM27" s="367">
        <f t="shared" si="7"/>
        <v>4.5845423034997453E-8</v>
      </c>
      <c r="AN27" s="367">
        <f t="shared" si="7"/>
        <v>3.2091796124498214E-8</v>
      </c>
      <c r="AO27" s="367">
        <f t="shared" si="7"/>
        <v>2.2464257287148753E-8</v>
      </c>
      <c r="AP27" s="367">
        <f t="shared" si="7"/>
        <v>1.572498010100413E-8</v>
      </c>
      <c r="AQ27" s="367">
        <f t="shared" si="7"/>
        <v>1.1007486070702891E-8</v>
      </c>
      <c r="AR27" s="367">
        <f t="shared" si="7"/>
        <v>7.7052402494920233E-9</v>
      </c>
      <c r="AS27" s="367">
        <f t="shared" si="7"/>
        <v>5.3936681746444164E-9</v>
      </c>
      <c r="AT27" s="367">
        <f t="shared" si="7"/>
        <v>3.775567722251092E-9</v>
      </c>
      <c r="AU27" s="367">
        <f t="shared" si="7"/>
        <v>2.642897405575764E-9</v>
      </c>
      <c r="AV27" s="367">
        <f t="shared" si="7"/>
        <v>1.8500281839030348E-9</v>
      </c>
      <c r="AW27" s="367">
        <f t="shared" si="7"/>
        <v>1.2950197287321244E-9</v>
      </c>
      <c r="AX27" s="367">
        <f t="shared" si="7"/>
        <v>9.0651381011248728E-10</v>
      </c>
      <c r="AY27" s="367">
        <f t="shared" si="7"/>
        <v>6.3455966707874105E-10</v>
      </c>
      <c r="AZ27" s="367">
        <f t="shared" si="7"/>
        <v>4.4419176695511877E-10</v>
      </c>
      <c r="BA27" s="367">
        <f t="shared" si="7"/>
        <v>3.1093423686858314E-10</v>
      </c>
      <c r="BB27" s="367">
        <f t="shared" si="7"/>
        <v>2.1765396580800822E-10</v>
      </c>
      <c r="BC27" s="367">
        <f t="shared" si="7"/>
        <v>1.5235777606560572E-10</v>
      </c>
      <c r="BD27" s="367">
        <f t="shared" si="7"/>
        <v>1.0665044324592402E-10</v>
      </c>
      <c r="BE27" s="367">
        <f t="shared" si="7"/>
        <v>7.4655310272146827E-11</v>
      </c>
    </row>
    <row r="28" spans="1:57" s="347" customFormat="1" hidden="1" outlineLevel="1">
      <c r="A28" s="347" t="s">
        <v>135</v>
      </c>
      <c r="B28" s="368">
        <f>C26</f>
        <v>5.7629558075975584E-2</v>
      </c>
      <c r="C28" s="368">
        <f>C26-C27</f>
        <v>4.0340690653182909E-2</v>
      </c>
      <c r="D28" s="368">
        <f>D26-D27</f>
        <v>2.8238483457228035E-2</v>
      </c>
      <c r="E28" s="368">
        <f>E26-E27</f>
        <v>1.9766938420059624E-2</v>
      </c>
      <c r="F28" s="368">
        <f>F26-F27</f>
        <v>1.3836856894041738E-2</v>
      </c>
      <c r="G28" s="368">
        <f>G26-G27</f>
        <v>9.6857998258292159E-3</v>
      </c>
      <c r="H28" s="368">
        <f t="shared" ref="H28:BE28" si="8">H26-H27</f>
        <v>6.7800598780804518E-3</v>
      </c>
      <c r="I28" s="368">
        <f t="shared" si="8"/>
        <v>4.7460419146563163E-3</v>
      </c>
      <c r="J28" s="368">
        <f t="shared" si="8"/>
        <v>3.3222293402594217E-3</v>
      </c>
      <c r="K28" s="368">
        <f t="shared" si="8"/>
        <v>2.3255605381815952E-3</v>
      </c>
      <c r="L28" s="368">
        <f t="shared" si="8"/>
        <v>1.6278923767271167E-3</v>
      </c>
      <c r="M28" s="368">
        <f t="shared" si="8"/>
        <v>1.1395246637089817E-3</v>
      </c>
      <c r="N28" s="368">
        <f t="shared" si="8"/>
        <v>7.9766726459628721E-4</v>
      </c>
      <c r="O28" s="368">
        <f t="shared" si="8"/>
        <v>5.58367085217401E-4</v>
      </c>
      <c r="P28" s="368">
        <f t="shared" si="8"/>
        <v>3.9085695965218072E-4</v>
      </c>
      <c r="Q28" s="368">
        <f t="shared" si="8"/>
        <v>2.7359987175652652E-4</v>
      </c>
      <c r="R28" s="368">
        <f t="shared" si="8"/>
        <v>1.9151991022956855E-4</v>
      </c>
      <c r="S28" s="368">
        <f t="shared" si="8"/>
        <v>1.34063937160698E-4</v>
      </c>
      <c r="T28" s="368">
        <f t="shared" si="8"/>
        <v>9.3844756012488606E-5</v>
      </c>
      <c r="U28" s="368">
        <f t="shared" si="8"/>
        <v>6.5691329208742019E-5</v>
      </c>
      <c r="V28" s="368">
        <f t="shared" si="8"/>
        <v>4.5983930446119413E-5</v>
      </c>
      <c r="W28" s="368">
        <f t="shared" si="8"/>
        <v>3.218875131228359E-5</v>
      </c>
      <c r="X28" s="368">
        <f t="shared" si="8"/>
        <v>2.2532125918598513E-5</v>
      </c>
      <c r="Y28" s="368">
        <f t="shared" si="8"/>
        <v>1.5772488143018957E-5</v>
      </c>
      <c r="Z28" s="368">
        <f t="shared" si="8"/>
        <v>1.104074170011327E-5</v>
      </c>
      <c r="AA28" s="368">
        <f t="shared" si="8"/>
        <v>7.7285191900792884E-6</v>
      </c>
      <c r="AB28" s="368">
        <f t="shared" si="8"/>
        <v>5.4099634330555024E-6</v>
      </c>
      <c r="AC28" s="368">
        <f t="shared" si="8"/>
        <v>3.7869744031388515E-6</v>
      </c>
      <c r="AD28" s="368">
        <f t="shared" si="8"/>
        <v>2.6508820821971964E-6</v>
      </c>
      <c r="AE28" s="368">
        <f t="shared" si="8"/>
        <v>1.8556174575380376E-6</v>
      </c>
      <c r="AF28" s="368">
        <f t="shared" si="8"/>
        <v>1.2989322202766265E-6</v>
      </c>
      <c r="AG28" s="368">
        <f t="shared" si="8"/>
        <v>9.0925255419363858E-7</v>
      </c>
      <c r="AH28" s="368">
        <f t="shared" si="8"/>
        <v>6.3647678793554697E-7</v>
      </c>
      <c r="AI28" s="368">
        <f t="shared" si="8"/>
        <v>4.4553375155488286E-7</v>
      </c>
      <c r="AJ28" s="368">
        <f t="shared" si="8"/>
        <v>3.1187362608841803E-7</v>
      </c>
      <c r="AK28" s="368">
        <f t="shared" si="8"/>
        <v>2.1831153826189263E-7</v>
      </c>
      <c r="AL28" s="368">
        <f t="shared" si="8"/>
        <v>1.5281807678332484E-7</v>
      </c>
      <c r="AM28" s="368">
        <f t="shared" si="8"/>
        <v>1.0697265374832739E-7</v>
      </c>
      <c r="AN28" s="368">
        <f t="shared" si="8"/>
        <v>7.4880857623829182E-8</v>
      </c>
      <c r="AO28" s="368">
        <f t="shared" si="8"/>
        <v>5.2416600336680433E-8</v>
      </c>
      <c r="AP28" s="368">
        <f t="shared" si="8"/>
        <v>3.6691620235676303E-8</v>
      </c>
      <c r="AQ28" s="368">
        <f t="shared" si="8"/>
        <v>2.5684134164973414E-8</v>
      </c>
      <c r="AR28" s="368">
        <f t="shared" si="8"/>
        <v>1.7978893915481389E-8</v>
      </c>
      <c r="AS28" s="368">
        <f t="shared" si="8"/>
        <v>1.2585225740836973E-8</v>
      </c>
      <c r="AT28" s="368">
        <f t="shared" si="8"/>
        <v>8.8096580185858808E-9</v>
      </c>
      <c r="AU28" s="368">
        <f t="shared" si="8"/>
        <v>6.1667606130101164E-9</v>
      </c>
      <c r="AV28" s="368">
        <f t="shared" si="8"/>
        <v>4.3167324291070818E-9</v>
      </c>
      <c r="AW28" s="368">
        <f t="shared" si="8"/>
        <v>3.0217127003749576E-9</v>
      </c>
      <c r="AX28" s="368">
        <f t="shared" si="8"/>
        <v>2.1151988902624703E-9</v>
      </c>
      <c r="AY28" s="368">
        <f t="shared" si="8"/>
        <v>1.4806392231837293E-9</v>
      </c>
      <c r="AZ28" s="368">
        <f t="shared" si="8"/>
        <v>1.0364474562286105E-9</v>
      </c>
      <c r="BA28" s="368">
        <f t="shared" si="8"/>
        <v>7.255132193600274E-10</v>
      </c>
      <c r="BB28" s="368">
        <f t="shared" si="8"/>
        <v>5.0785925355201913E-10</v>
      </c>
      <c r="BC28" s="368">
        <f t="shared" si="8"/>
        <v>3.5550147748641343E-10</v>
      </c>
      <c r="BD28" s="368">
        <f t="shared" si="8"/>
        <v>2.4885103424048941E-10</v>
      </c>
      <c r="BE28" s="368">
        <f t="shared" si="8"/>
        <v>1.7419572396834257E-10</v>
      </c>
    </row>
    <row r="29" spans="1:57" s="347" customFormat="1" hidden="1" outlineLevel="1">
      <c r="A29" s="365" t="s">
        <v>129</v>
      </c>
      <c r="B29" s="368"/>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row>
    <row r="30" spans="1:57" s="347" customFormat="1" hidden="1" outlineLevel="1">
      <c r="A30" s="347" t="s">
        <v>133</v>
      </c>
      <c r="B30" s="367"/>
      <c r="C30" s="366">
        <f>B$15</f>
        <v>0.93995194566269735</v>
      </c>
      <c r="D30" s="367">
        <f>C32</f>
        <v>0.70496395924702304</v>
      </c>
      <c r="E30" s="367">
        <f>D32</f>
        <v>0.52872296943526731</v>
      </c>
      <c r="F30" s="367">
        <f>E32</f>
        <v>0.39654222707645048</v>
      </c>
      <c r="G30" s="367">
        <f>F32</f>
        <v>0.29740667030733786</v>
      </c>
      <c r="H30" s="367">
        <f t="shared" ref="H30:BE30" si="9">G32</f>
        <v>0.22305500273050338</v>
      </c>
      <c r="I30" s="367">
        <f t="shared" si="9"/>
        <v>0.16729125204787754</v>
      </c>
      <c r="J30" s="367">
        <f t="shared" si="9"/>
        <v>0.12546843903590815</v>
      </c>
      <c r="K30" s="367">
        <f t="shared" si="9"/>
        <v>9.4101329276931114E-2</v>
      </c>
      <c r="L30" s="367">
        <f t="shared" si="9"/>
        <v>7.0575996957698339E-2</v>
      </c>
      <c r="M30" s="367">
        <f t="shared" si="9"/>
        <v>5.2931997718273754E-2</v>
      </c>
      <c r="N30" s="367">
        <f t="shared" si="9"/>
        <v>3.9698998288705316E-2</v>
      </c>
      <c r="O30" s="367">
        <f t="shared" si="9"/>
        <v>2.9774248716528985E-2</v>
      </c>
      <c r="P30" s="367">
        <f t="shared" si="9"/>
        <v>2.2330686537396741E-2</v>
      </c>
      <c r="Q30" s="367">
        <f t="shared" si="9"/>
        <v>1.6748014903047555E-2</v>
      </c>
      <c r="R30" s="367">
        <f t="shared" si="9"/>
        <v>1.2561011177285666E-2</v>
      </c>
      <c r="S30" s="367">
        <f t="shared" si="9"/>
        <v>9.4207583829642484E-3</v>
      </c>
      <c r="T30" s="367">
        <f t="shared" si="9"/>
        <v>7.0655687872231863E-3</v>
      </c>
      <c r="U30" s="367">
        <f t="shared" si="9"/>
        <v>5.2991765904173895E-3</v>
      </c>
      <c r="V30" s="367">
        <f t="shared" si="9"/>
        <v>3.9743824428130417E-3</v>
      </c>
      <c r="W30" s="367">
        <f t="shared" si="9"/>
        <v>2.9807868321097813E-3</v>
      </c>
      <c r="X30" s="367">
        <f t="shared" si="9"/>
        <v>2.235590124082336E-3</v>
      </c>
      <c r="Y30" s="367">
        <f t="shared" si="9"/>
        <v>1.6766925930617521E-3</v>
      </c>
      <c r="Z30" s="367">
        <f t="shared" si="9"/>
        <v>1.2575194447963141E-3</v>
      </c>
      <c r="AA30" s="367">
        <f t="shared" si="9"/>
        <v>9.431395835972356E-4</v>
      </c>
      <c r="AB30" s="367">
        <f t="shared" si="9"/>
        <v>7.073546876979267E-4</v>
      </c>
      <c r="AC30" s="367">
        <f t="shared" si="9"/>
        <v>5.3051601577344502E-4</v>
      </c>
      <c r="AD30" s="367">
        <f t="shared" si="9"/>
        <v>3.9788701183008377E-4</v>
      </c>
      <c r="AE30" s="367">
        <f t="shared" si="9"/>
        <v>2.9841525887256283E-4</v>
      </c>
      <c r="AF30" s="367">
        <f t="shared" si="9"/>
        <v>2.2381144415442212E-4</v>
      </c>
      <c r="AG30" s="367">
        <f t="shared" si="9"/>
        <v>1.678585831158166E-4</v>
      </c>
      <c r="AH30" s="367">
        <f t="shared" si="9"/>
        <v>1.2589393733686245E-4</v>
      </c>
      <c r="AI30" s="367">
        <f t="shared" si="9"/>
        <v>9.4420453002646835E-5</v>
      </c>
      <c r="AJ30" s="367">
        <f t="shared" si="9"/>
        <v>7.0815339751985123E-5</v>
      </c>
      <c r="AK30" s="367">
        <f t="shared" si="9"/>
        <v>5.3111504813988842E-5</v>
      </c>
      <c r="AL30" s="367">
        <f t="shared" si="9"/>
        <v>3.9833628610491632E-5</v>
      </c>
      <c r="AM30" s="367">
        <f t="shared" si="9"/>
        <v>2.9875221457868724E-5</v>
      </c>
      <c r="AN30" s="367">
        <f t="shared" si="9"/>
        <v>2.2406416093401544E-5</v>
      </c>
      <c r="AO30" s="367">
        <f t="shared" si="9"/>
        <v>1.6804812070051158E-5</v>
      </c>
      <c r="AP30" s="367">
        <f t="shared" si="9"/>
        <v>1.2603609052538368E-5</v>
      </c>
      <c r="AQ30" s="367">
        <f t="shared" si="9"/>
        <v>9.4527067894037748E-6</v>
      </c>
      <c r="AR30" s="367">
        <f t="shared" si="9"/>
        <v>7.0895300920528311E-6</v>
      </c>
      <c r="AS30" s="367">
        <f t="shared" si="9"/>
        <v>5.3171475690396229E-6</v>
      </c>
      <c r="AT30" s="367">
        <f t="shared" si="9"/>
        <v>3.9878606767797172E-6</v>
      </c>
      <c r="AU30" s="367">
        <f t="shared" si="9"/>
        <v>2.9908955075847877E-6</v>
      </c>
      <c r="AV30" s="367">
        <f t="shared" si="9"/>
        <v>2.243171630688591E-6</v>
      </c>
      <c r="AW30" s="367">
        <f t="shared" si="9"/>
        <v>1.6823787230164432E-6</v>
      </c>
      <c r="AX30" s="367">
        <f t="shared" si="9"/>
        <v>1.2617840422623323E-6</v>
      </c>
      <c r="AY30" s="367">
        <f t="shared" si="9"/>
        <v>9.4633803169674923E-7</v>
      </c>
      <c r="AZ30" s="367">
        <f t="shared" si="9"/>
        <v>7.0975352377256195E-7</v>
      </c>
      <c r="BA30" s="367">
        <f t="shared" si="9"/>
        <v>5.3231514282942149E-7</v>
      </c>
      <c r="BB30" s="367">
        <f t="shared" si="9"/>
        <v>3.9923635712206612E-7</v>
      </c>
      <c r="BC30" s="367">
        <f t="shared" si="9"/>
        <v>2.9942726784154959E-7</v>
      </c>
      <c r="BD30" s="367">
        <f t="shared" si="9"/>
        <v>2.2457045088116218E-7</v>
      </c>
      <c r="BE30" s="367">
        <f t="shared" si="9"/>
        <v>1.6842783816087165E-7</v>
      </c>
    </row>
    <row r="31" spans="1:57" s="347" customFormat="1" hidden="1" outlineLevel="1">
      <c r="A31" s="347" t="s">
        <v>134</v>
      </c>
      <c r="C31" s="367">
        <f t="shared" ref="C31:BE31" si="10">$C$15*C30</f>
        <v>0.23498798641567434</v>
      </c>
      <c r="D31" s="367">
        <f t="shared" si="10"/>
        <v>0.17624098981175576</v>
      </c>
      <c r="E31" s="367">
        <f t="shared" si="10"/>
        <v>0.13218074235881683</v>
      </c>
      <c r="F31" s="367">
        <f t="shared" si="10"/>
        <v>9.913555676911262E-2</v>
      </c>
      <c r="G31" s="367">
        <f t="shared" si="10"/>
        <v>7.4351667576834465E-2</v>
      </c>
      <c r="H31" s="367">
        <f t="shared" si="10"/>
        <v>5.5763750682625846E-2</v>
      </c>
      <c r="I31" s="367">
        <f t="shared" si="10"/>
        <v>4.1822813011969384E-2</v>
      </c>
      <c r="J31" s="367">
        <f t="shared" si="10"/>
        <v>3.1367109758977038E-2</v>
      </c>
      <c r="K31" s="367">
        <f t="shared" si="10"/>
        <v>2.3525332319232779E-2</v>
      </c>
      <c r="L31" s="367">
        <f t="shared" si="10"/>
        <v>1.7643999239424585E-2</v>
      </c>
      <c r="M31" s="367">
        <f t="shared" si="10"/>
        <v>1.3232999429568439E-2</v>
      </c>
      <c r="N31" s="367">
        <f t="shared" si="10"/>
        <v>9.924749572176329E-3</v>
      </c>
      <c r="O31" s="367">
        <f t="shared" si="10"/>
        <v>7.4435621791322463E-3</v>
      </c>
      <c r="P31" s="367">
        <f t="shared" si="10"/>
        <v>5.5826716343491851E-3</v>
      </c>
      <c r="Q31" s="367">
        <f t="shared" si="10"/>
        <v>4.1870037257618889E-3</v>
      </c>
      <c r="R31" s="367">
        <f t="shared" si="10"/>
        <v>3.1402527943214164E-3</v>
      </c>
      <c r="S31" s="367">
        <f t="shared" si="10"/>
        <v>2.3551895957410621E-3</v>
      </c>
      <c r="T31" s="367">
        <f t="shared" si="10"/>
        <v>1.7663921968057966E-3</v>
      </c>
      <c r="U31" s="367">
        <f t="shared" si="10"/>
        <v>1.3247941476043474E-3</v>
      </c>
      <c r="V31" s="367">
        <f t="shared" si="10"/>
        <v>9.9359561070326043E-4</v>
      </c>
      <c r="W31" s="367">
        <f t="shared" si="10"/>
        <v>7.4519670802744532E-4</v>
      </c>
      <c r="X31" s="367">
        <f t="shared" si="10"/>
        <v>5.5889753102058399E-4</v>
      </c>
      <c r="Y31" s="367">
        <f t="shared" si="10"/>
        <v>4.1917314826543802E-4</v>
      </c>
      <c r="Z31" s="367">
        <f t="shared" si="10"/>
        <v>3.1437986119907851E-4</v>
      </c>
      <c r="AA31" s="367">
        <f t="shared" si="10"/>
        <v>2.357848958993089E-4</v>
      </c>
      <c r="AB31" s="367">
        <f t="shared" si="10"/>
        <v>1.7683867192448167E-4</v>
      </c>
      <c r="AC31" s="367">
        <f t="shared" si="10"/>
        <v>1.3262900394336126E-4</v>
      </c>
      <c r="AD31" s="367">
        <f t="shared" si="10"/>
        <v>9.9471752957520942E-5</v>
      </c>
      <c r="AE31" s="367">
        <f t="shared" si="10"/>
        <v>7.4603814718140706E-5</v>
      </c>
      <c r="AF31" s="367">
        <f t="shared" si="10"/>
        <v>5.595286103860553E-5</v>
      </c>
      <c r="AG31" s="367">
        <f t="shared" si="10"/>
        <v>4.1964645778954149E-5</v>
      </c>
      <c r="AH31" s="367">
        <f t="shared" si="10"/>
        <v>3.1473484334215612E-5</v>
      </c>
      <c r="AI31" s="367">
        <f t="shared" si="10"/>
        <v>2.3605113250661709E-5</v>
      </c>
      <c r="AJ31" s="367">
        <f t="shared" si="10"/>
        <v>1.7703834937996281E-5</v>
      </c>
      <c r="AK31" s="367">
        <f t="shared" si="10"/>
        <v>1.3277876203497211E-5</v>
      </c>
      <c r="AL31" s="367">
        <f t="shared" si="10"/>
        <v>9.9584071526229079E-6</v>
      </c>
      <c r="AM31" s="367">
        <f t="shared" si="10"/>
        <v>7.468805364467181E-6</v>
      </c>
      <c r="AN31" s="367">
        <f t="shared" si="10"/>
        <v>5.6016040233503859E-6</v>
      </c>
      <c r="AO31" s="367">
        <f t="shared" si="10"/>
        <v>4.2012030175127894E-6</v>
      </c>
      <c r="AP31" s="367">
        <f t="shared" si="10"/>
        <v>3.1509022631345919E-6</v>
      </c>
      <c r="AQ31" s="367">
        <f t="shared" si="10"/>
        <v>2.3631766973509437E-6</v>
      </c>
      <c r="AR31" s="367">
        <f t="shared" si="10"/>
        <v>1.7723825230132078E-6</v>
      </c>
      <c r="AS31" s="367">
        <f t="shared" si="10"/>
        <v>1.3292868922599057E-6</v>
      </c>
      <c r="AT31" s="367">
        <f t="shared" si="10"/>
        <v>9.9696516919492929E-7</v>
      </c>
      <c r="AU31" s="367">
        <f t="shared" si="10"/>
        <v>7.4772387689619692E-7</v>
      </c>
      <c r="AV31" s="367">
        <f t="shared" si="10"/>
        <v>5.6079290767214774E-7</v>
      </c>
      <c r="AW31" s="367">
        <f t="shared" si="10"/>
        <v>4.205946807541108E-7</v>
      </c>
      <c r="AX31" s="367">
        <f t="shared" si="10"/>
        <v>3.1544601056558308E-7</v>
      </c>
      <c r="AY31" s="367">
        <f t="shared" si="10"/>
        <v>2.3658450792418731E-7</v>
      </c>
      <c r="AZ31" s="367">
        <f t="shared" si="10"/>
        <v>1.7743838094314049E-7</v>
      </c>
      <c r="BA31" s="367">
        <f t="shared" si="10"/>
        <v>1.3307878570735537E-7</v>
      </c>
      <c r="BB31" s="367">
        <f t="shared" si="10"/>
        <v>9.9809089280516529E-8</v>
      </c>
      <c r="BC31" s="367">
        <f t="shared" si="10"/>
        <v>7.4856816960387397E-8</v>
      </c>
      <c r="BD31" s="367">
        <f t="shared" si="10"/>
        <v>5.6142612720290544E-8</v>
      </c>
      <c r="BE31" s="367">
        <f t="shared" si="10"/>
        <v>4.2106959540217912E-8</v>
      </c>
    </row>
    <row r="32" spans="1:57" s="347" customFormat="1" hidden="1" outlineLevel="1">
      <c r="A32" s="347" t="s">
        <v>135</v>
      </c>
      <c r="B32" s="368">
        <f>C30</f>
        <v>0.93995194566269735</v>
      </c>
      <c r="C32" s="368">
        <f>C30-C31</f>
        <v>0.70496395924702304</v>
      </c>
      <c r="D32" s="368">
        <f>D30-D31</f>
        <v>0.52872296943526731</v>
      </c>
      <c r="E32" s="368">
        <f>E30-E31</f>
        <v>0.39654222707645048</v>
      </c>
      <c r="F32" s="368">
        <f>F30-F31</f>
        <v>0.29740667030733786</v>
      </c>
      <c r="G32" s="368">
        <f>G30-G31</f>
        <v>0.22305500273050338</v>
      </c>
      <c r="H32" s="368">
        <f t="shared" ref="H32:BE32" si="11">H30-H31</f>
        <v>0.16729125204787754</v>
      </c>
      <c r="I32" s="368">
        <f t="shared" si="11"/>
        <v>0.12546843903590815</v>
      </c>
      <c r="J32" s="368">
        <f t="shared" si="11"/>
        <v>9.4101329276931114E-2</v>
      </c>
      <c r="K32" s="368">
        <f t="shared" si="11"/>
        <v>7.0575996957698339E-2</v>
      </c>
      <c r="L32" s="368">
        <f t="shared" si="11"/>
        <v>5.2931997718273754E-2</v>
      </c>
      <c r="M32" s="368">
        <f t="shared" si="11"/>
        <v>3.9698998288705316E-2</v>
      </c>
      <c r="N32" s="368">
        <f t="shared" si="11"/>
        <v>2.9774248716528985E-2</v>
      </c>
      <c r="O32" s="368">
        <f t="shared" si="11"/>
        <v>2.2330686537396741E-2</v>
      </c>
      <c r="P32" s="368">
        <f t="shared" si="11"/>
        <v>1.6748014903047555E-2</v>
      </c>
      <c r="Q32" s="368">
        <f t="shared" si="11"/>
        <v>1.2561011177285666E-2</v>
      </c>
      <c r="R32" s="368">
        <f t="shared" si="11"/>
        <v>9.4207583829642484E-3</v>
      </c>
      <c r="S32" s="368">
        <f t="shared" si="11"/>
        <v>7.0655687872231863E-3</v>
      </c>
      <c r="T32" s="368">
        <f t="shared" si="11"/>
        <v>5.2991765904173895E-3</v>
      </c>
      <c r="U32" s="368">
        <f t="shared" si="11"/>
        <v>3.9743824428130417E-3</v>
      </c>
      <c r="V32" s="368">
        <f t="shared" si="11"/>
        <v>2.9807868321097813E-3</v>
      </c>
      <c r="W32" s="368">
        <f t="shared" si="11"/>
        <v>2.235590124082336E-3</v>
      </c>
      <c r="X32" s="368">
        <f t="shared" si="11"/>
        <v>1.6766925930617521E-3</v>
      </c>
      <c r="Y32" s="368">
        <f t="shared" si="11"/>
        <v>1.2575194447963141E-3</v>
      </c>
      <c r="Z32" s="368">
        <f t="shared" si="11"/>
        <v>9.431395835972356E-4</v>
      </c>
      <c r="AA32" s="368">
        <f t="shared" si="11"/>
        <v>7.073546876979267E-4</v>
      </c>
      <c r="AB32" s="368">
        <f t="shared" si="11"/>
        <v>5.3051601577344502E-4</v>
      </c>
      <c r="AC32" s="368">
        <f t="shared" si="11"/>
        <v>3.9788701183008377E-4</v>
      </c>
      <c r="AD32" s="368">
        <f t="shared" si="11"/>
        <v>2.9841525887256283E-4</v>
      </c>
      <c r="AE32" s="368">
        <f t="shared" si="11"/>
        <v>2.2381144415442212E-4</v>
      </c>
      <c r="AF32" s="368">
        <f t="shared" si="11"/>
        <v>1.678585831158166E-4</v>
      </c>
      <c r="AG32" s="368">
        <f t="shared" si="11"/>
        <v>1.2589393733686245E-4</v>
      </c>
      <c r="AH32" s="368">
        <f t="shared" si="11"/>
        <v>9.4420453002646835E-5</v>
      </c>
      <c r="AI32" s="368">
        <f t="shared" si="11"/>
        <v>7.0815339751985123E-5</v>
      </c>
      <c r="AJ32" s="368">
        <f t="shared" si="11"/>
        <v>5.3111504813988842E-5</v>
      </c>
      <c r="AK32" s="368">
        <f t="shared" si="11"/>
        <v>3.9833628610491632E-5</v>
      </c>
      <c r="AL32" s="368">
        <f t="shared" si="11"/>
        <v>2.9875221457868724E-5</v>
      </c>
      <c r="AM32" s="368">
        <f t="shared" si="11"/>
        <v>2.2406416093401544E-5</v>
      </c>
      <c r="AN32" s="368">
        <f t="shared" si="11"/>
        <v>1.6804812070051158E-5</v>
      </c>
      <c r="AO32" s="368">
        <f t="shared" si="11"/>
        <v>1.2603609052538368E-5</v>
      </c>
      <c r="AP32" s="368">
        <f t="shared" si="11"/>
        <v>9.4527067894037748E-6</v>
      </c>
      <c r="AQ32" s="368">
        <f t="shared" si="11"/>
        <v>7.0895300920528311E-6</v>
      </c>
      <c r="AR32" s="368">
        <f t="shared" si="11"/>
        <v>5.3171475690396229E-6</v>
      </c>
      <c r="AS32" s="368">
        <f t="shared" si="11"/>
        <v>3.9878606767797172E-6</v>
      </c>
      <c r="AT32" s="368">
        <f t="shared" si="11"/>
        <v>2.9908955075847877E-6</v>
      </c>
      <c r="AU32" s="368">
        <f t="shared" si="11"/>
        <v>2.243171630688591E-6</v>
      </c>
      <c r="AV32" s="368">
        <f t="shared" si="11"/>
        <v>1.6823787230164432E-6</v>
      </c>
      <c r="AW32" s="368">
        <f t="shared" si="11"/>
        <v>1.2617840422623323E-6</v>
      </c>
      <c r="AX32" s="368">
        <f t="shared" si="11"/>
        <v>9.4633803169674923E-7</v>
      </c>
      <c r="AY32" s="368">
        <f t="shared" si="11"/>
        <v>7.0975352377256195E-7</v>
      </c>
      <c r="AZ32" s="368">
        <f t="shared" si="11"/>
        <v>5.3231514282942149E-7</v>
      </c>
      <c r="BA32" s="368">
        <f t="shared" si="11"/>
        <v>3.9923635712206612E-7</v>
      </c>
      <c r="BB32" s="368">
        <f t="shared" si="11"/>
        <v>2.9942726784154959E-7</v>
      </c>
      <c r="BC32" s="368">
        <f t="shared" si="11"/>
        <v>2.2457045088116218E-7</v>
      </c>
      <c r="BD32" s="368">
        <f t="shared" si="11"/>
        <v>1.6842783816087165E-7</v>
      </c>
      <c r="BE32" s="368">
        <f t="shared" si="11"/>
        <v>1.2632087862065375E-7</v>
      </c>
    </row>
    <row r="33" spans="1:57" s="347" customFormat="1" hidden="1" outlineLevel="1">
      <c r="A33" s="365" t="s">
        <v>130</v>
      </c>
      <c r="B33" s="368"/>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row>
    <row r="34" spans="1:57" s="347" customFormat="1" hidden="1" outlineLevel="1">
      <c r="A34" s="347" t="s">
        <v>133</v>
      </c>
      <c r="B34" s="367"/>
      <c r="C34" s="366">
        <f>B$16</f>
        <v>1.6993264774361698</v>
      </c>
      <c r="D34" s="367">
        <f>C36</f>
        <v>1.3594611819489359</v>
      </c>
      <c r="E34" s="367">
        <f>D36</f>
        <v>1.0875689455591488</v>
      </c>
      <c r="F34" s="367">
        <f>E36</f>
        <v>0.87005515644731912</v>
      </c>
      <c r="G34" s="367">
        <f>F36</f>
        <v>0.6960441251578553</v>
      </c>
      <c r="H34" s="367">
        <f t="shared" ref="H34:BE34" si="12">G36</f>
        <v>0.55683530012628424</v>
      </c>
      <c r="I34" s="367">
        <f t="shared" si="12"/>
        <v>0.44546824010102737</v>
      </c>
      <c r="J34" s="367">
        <f t="shared" si="12"/>
        <v>0.35637459208082189</v>
      </c>
      <c r="K34" s="367">
        <f t="shared" si="12"/>
        <v>0.28509967366465749</v>
      </c>
      <c r="L34" s="367">
        <f t="shared" si="12"/>
        <v>0.22807973893172601</v>
      </c>
      <c r="M34" s="367">
        <f t="shared" si="12"/>
        <v>0.1824637911453808</v>
      </c>
      <c r="N34" s="367">
        <f t="shared" si="12"/>
        <v>0.14597103291630464</v>
      </c>
      <c r="O34" s="367">
        <f t="shared" si="12"/>
        <v>0.11677682633304372</v>
      </c>
      <c r="P34" s="367">
        <f t="shared" si="12"/>
        <v>9.342146106643498E-2</v>
      </c>
      <c r="Q34" s="367">
        <f t="shared" si="12"/>
        <v>7.4737168853147989E-2</v>
      </c>
      <c r="R34" s="367">
        <f t="shared" si="12"/>
        <v>5.9789735082518392E-2</v>
      </c>
      <c r="S34" s="367">
        <f t="shared" si="12"/>
        <v>4.7831788066014715E-2</v>
      </c>
      <c r="T34" s="367">
        <f t="shared" si="12"/>
        <v>3.826543045281177E-2</v>
      </c>
      <c r="U34" s="367">
        <f t="shared" si="12"/>
        <v>3.0612344362249418E-2</v>
      </c>
      <c r="V34" s="367">
        <f t="shared" si="12"/>
        <v>2.4489875489799535E-2</v>
      </c>
      <c r="W34" s="367">
        <f t="shared" si="12"/>
        <v>1.9591900391839629E-2</v>
      </c>
      <c r="X34" s="367">
        <f t="shared" si="12"/>
        <v>1.5673520313471703E-2</v>
      </c>
      <c r="Y34" s="367">
        <f t="shared" si="12"/>
        <v>1.2538816250777362E-2</v>
      </c>
      <c r="Z34" s="367">
        <f t="shared" si="12"/>
        <v>1.003105300062189E-2</v>
      </c>
      <c r="AA34" s="367">
        <f t="shared" si="12"/>
        <v>8.0248424004975109E-3</v>
      </c>
      <c r="AB34" s="367">
        <f t="shared" si="12"/>
        <v>6.4198739203980091E-3</v>
      </c>
      <c r="AC34" s="367">
        <f t="shared" si="12"/>
        <v>5.1358991363184073E-3</v>
      </c>
      <c r="AD34" s="367">
        <f t="shared" si="12"/>
        <v>4.1087193090547256E-3</v>
      </c>
      <c r="AE34" s="367">
        <f t="shared" si="12"/>
        <v>3.2869754472437803E-3</v>
      </c>
      <c r="AF34" s="367">
        <f t="shared" si="12"/>
        <v>2.6295803577950244E-3</v>
      </c>
      <c r="AG34" s="367">
        <f t="shared" si="12"/>
        <v>2.1036642862360196E-3</v>
      </c>
      <c r="AH34" s="367">
        <f t="shared" si="12"/>
        <v>1.6829314289888157E-3</v>
      </c>
      <c r="AI34" s="367">
        <f t="shared" si="12"/>
        <v>1.3463451431910526E-3</v>
      </c>
      <c r="AJ34" s="367">
        <f t="shared" si="12"/>
        <v>1.0770761145528422E-3</v>
      </c>
      <c r="AK34" s="367">
        <f t="shared" si="12"/>
        <v>8.6166089164227378E-4</v>
      </c>
      <c r="AL34" s="367">
        <f t="shared" si="12"/>
        <v>6.8932871331381905E-4</v>
      </c>
      <c r="AM34" s="367">
        <f t="shared" si="12"/>
        <v>5.5146297065105526E-4</v>
      </c>
      <c r="AN34" s="367">
        <f t="shared" si="12"/>
        <v>4.4117037652084419E-4</v>
      </c>
      <c r="AO34" s="367">
        <f t="shared" si="12"/>
        <v>3.5293630121667534E-4</v>
      </c>
      <c r="AP34" s="367">
        <f t="shared" si="12"/>
        <v>2.8234904097334027E-4</v>
      </c>
      <c r="AQ34" s="367">
        <f t="shared" si="12"/>
        <v>2.2587923277867222E-4</v>
      </c>
      <c r="AR34" s="367">
        <f t="shared" si="12"/>
        <v>1.8070338622293777E-4</v>
      </c>
      <c r="AS34" s="367">
        <f t="shared" si="12"/>
        <v>1.4456270897835022E-4</v>
      </c>
      <c r="AT34" s="367">
        <f t="shared" si="12"/>
        <v>1.1565016718268018E-4</v>
      </c>
      <c r="AU34" s="367">
        <f t="shared" si="12"/>
        <v>9.2520133746144139E-5</v>
      </c>
      <c r="AV34" s="367">
        <f t="shared" si="12"/>
        <v>7.4016106996915306E-5</v>
      </c>
      <c r="AW34" s="367">
        <f t="shared" si="12"/>
        <v>5.9212885597532246E-5</v>
      </c>
      <c r="AX34" s="367">
        <f t="shared" si="12"/>
        <v>4.73703084780258E-5</v>
      </c>
      <c r="AY34" s="367">
        <f t="shared" si="12"/>
        <v>3.7896246782420641E-5</v>
      </c>
      <c r="AZ34" s="367">
        <f t="shared" si="12"/>
        <v>3.0316997425936514E-5</v>
      </c>
      <c r="BA34" s="367">
        <f t="shared" si="12"/>
        <v>2.4253597940749211E-5</v>
      </c>
      <c r="BB34" s="367">
        <f t="shared" si="12"/>
        <v>1.9402878352599369E-5</v>
      </c>
      <c r="BC34" s="367">
        <f t="shared" si="12"/>
        <v>1.5522302682079496E-5</v>
      </c>
      <c r="BD34" s="367">
        <f t="shared" si="12"/>
        <v>1.2417842145663597E-5</v>
      </c>
      <c r="BE34" s="367">
        <f t="shared" si="12"/>
        <v>9.9342737165308778E-6</v>
      </c>
    </row>
    <row r="35" spans="1:57" s="347" customFormat="1" hidden="1" outlineLevel="1">
      <c r="A35" s="347" t="s">
        <v>134</v>
      </c>
      <c r="C35" s="367">
        <f t="shared" ref="C35:BE35" si="13">$C$16*C34</f>
        <v>0.33986529548723399</v>
      </c>
      <c r="D35" s="367">
        <f t="shared" si="13"/>
        <v>0.27189223638978721</v>
      </c>
      <c r="E35" s="367">
        <f t="shared" si="13"/>
        <v>0.21751378911182978</v>
      </c>
      <c r="F35" s="367">
        <f t="shared" si="13"/>
        <v>0.17401103128946382</v>
      </c>
      <c r="G35" s="367">
        <f t="shared" si="13"/>
        <v>0.13920882503157106</v>
      </c>
      <c r="H35" s="367">
        <f t="shared" si="13"/>
        <v>0.11136706002525686</v>
      </c>
      <c r="I35" s="367">
        <f t="shared" si="13"/>
        <v>8.9093648020205474E-2</v>
      </c>
      <c r="J35" s="367">
        <f t="shared" si="13"/>
        <v>7.1274918416164387E-2</v>
      </c>
      <c r="K35" s="367">
        <f t="shared" si="13"/>
        <v>5.7019934732931501E-2</v>
      </c>
      <c r="L35" s="367">
        <f t="shared" si="13"/>
        <v>4.5615947786345201E-2</v>
      </c>
      <c r="M35" s="367">
        <f t="shared" si="13"/>
        <v>3.6492758229076161E-2</v>
      </c>
      <c r="N35" s="367">
        <f t="shared" si="13"/>
        <v>2.9194206583260929E-2</v>
      </c>
      <c r="O35" s="367">
        <f t="shared" si="13"/>
        <v>2.3355365266608745E-2</v>
      </c>
      <c r="P35" s="367">
        <f t="shared" si="13"/>
        <v>1.8684292213286997E-2</v>
      </c>
      <c r="Q35" s="367">
        <f t="shared" si="13"/>
        <v>1.4947433770629598E-2</v>
      </c>
      <c r="R35" s="367">
        <f t="shared" si="13"/>
        <v>1.1957947016503679E-2</v>
      </c>
      <c r="S35" s="367">
        <f t="shared" si="13"/>
        <v>9.5663576132029443E-3</v>
      </c>
      <c r="T35" s="367">
        <f t="shared" si="13"/>
        <v>7.6530860905623544E-3</v>
      </c>
      <c r="U35" s="367">
        <f t="shared" si="13"/>
        <v>6.1224688724498839E-3</v>
      </c>
      <c r="V35" s="367">
        <f t="shared" si="13"/>
        <v>4.8979750979599073E-3</v>
      </c>
      <c r="W35" s="367">
        <f t="shared" si="13"/>
        <v>3.9183800783679258E-3</v>
      </c>
      <c r="X35" s="367">
        <f t="shared" si="13"/>
        <v>3.1347040626943409E-3</v>
      </c>
      <c r="Y35" s="367">
        <f t="shared" si="13"/>
        <v>2.5077632501554724E-3</v>
      </c>
      <c r="Z35" s="367">
        <f t="shared" si="13"/>
        <v>2.0062106001243782E-3</v>
      </c>
      <c r="AA35" s="367">
        <f t="shared" si="13"/>
        <v>1.6049684800995023E-3</v>
      </c>
      <c r="AB35" s="367">
        <f t="shared" si="13"/>
        <v>1.2839747840796018E-3</v>
      </c>
      <c r="AC35" s="367">
        <f t="shared" si="13"/>
        <v>1.0271798272636814E-3</v>
      </c>
      <c r="AD35" s="367">
        <f t="shared" si="13"/>
        <v>8.2174386181094519E-4</v>
      </c>
      <c r="AE35" s="367">
        <f t="shared" si="13"/>
        <v>6.5739508944875609E-4</v>
      </c>
      <c r="AF35" s="367">
        <f t="shared" si="13"/>
        <v>5.2591607155900489E-4</v>
      </c>
      <c r="AG35" s="367">
        <f t="shared" si="13"/>
        <v>4.2073285724720394E-4</v>
      </c>
      <c r="AH35" s="367">
        <f t="shared" si="13"/>
        <v>3.3658628579776316E-4</v>
      </c>
      <c r="AI35" s="367">
        <f t="shared" si="13"/>
        <v>2.6926902863821055E-4</v>
      </c>
      <c r="AJ35" s="367">
        <f t="shared" si="13"/>
        <v>2.1541522291056845E-4</v>
      </c>
      <c r="AK35" s="367">
        <f t="shared" si="13"/>
        <v>1.7233217832845476E-4</v>
      </c>
      <c r="AL35" s="367">
        <f t="shared" si="13"/>
        <v>1.3786574266276381E-4</v>
      </c>
      <c r="AM35" s="367">
        <f t="shared" si="13"/>
        <v>1.1029259413021106E-4</v>
      </c>
      <c r="AN35" s="367">
        <f t="shared" si="13"/>
        <v>8.8234075304168848E-5</v>
      </c>
      <c r="AO35" s="367">
        <f t="shared" si="13"/>
        <v>7.0587260243335068E-5</v>
      </c>
      <c r="AP35" s="367">
        <f t="shared" si="13"/>
        <v>5.6469808194668054E-5</v>
      </c>
      <c r="AQ35" s="367">
        <f t="shared" si="13"/>
        <v>4.5175846555734449E-5</v>
      </c>
      <c r="AR35" s="367">
        <f t="shared" si="13"/>
        <v>3.6140677244587555E-5</v>
      </c>
      <c r="AS35" s="367">
        <f t="shared" si="13"/>
        <v>2.8912541795670045E-5</v>
      </c>
      <c r="AT35" s="367">
        <f t="shared" si="13"/>
        <v>2.3130033436536038E-5</v>
      </c>
      <c r="AU35" s="367">
        <f t="shared" si="13"/>
        <v>1.850402674922883E-5</v>
      </c>
      <c r="AV35" s="367">
        <f t="shared" si="13"/>
        <v>1.4803221399383062E-5</v>
      </c>
      <c r="AW35" s="367">
        <f t="shared" si="13"/>
        <v>1.184257711950645E-5</v>
      </c>
      <c r="AX35" s="367">
        <f t="shared" si="13"/>
        <v>9.4740616956051603E-6</v>
      </c>
      <c r="AY35" s="367">
        <f t="shared" si="13"/>
        <v>7.5792493564841286E-6</v>
      </c>
      <c r="AZ35" s="367">
        <f t="shared" si="13"/>
        <v>6.0633994851873035E-6</v>
      </c>
      <c r="BA35" s="367">
        <f t="shared" si="13"/>
        <v>4.8507195881498421E-6</v>
      </c>
      <c r="BB35" s="367">
        <f t="shared" si="13"/>
        <v>3.8805756705198739E-6</v>
      </c>
      <c r="BC35" s="367">
        <f t="shared" si="13"/>
        <v>3.1044605364158992E-6</v>
      </c>
      <c r="BD35" s="367">
        <f t="shared" si="13"/>
        <v>2.4835684291327194E-6</v>
      </c>
      <c r="BE35" s="367">
        <f t="shared" si="13"/>
        <v>1.9868547433061756E-6</v>
      </c>
    </row>
    <row r="36" spans="1:57" s="347" customFormat="1" hidden="1" outlineLevel="1">
      <c r="A36" s="347" t="s">
        <v>135</v>
      </c>
      <c r="B36" s="368">
        <f>C34</f>
        <v>1.6993264774361698</v>
      </c>
      <c r="C36" s="368">
        <f>C34-C35</f>
        <v>1.3594611819489359</v>
      </c>
      <c r="D36" s="368">
        <f>D34-D35</f>
        <v>1.0875689455591488</v>
      </c>
      <c r="E36" s="368">
        <f>E34-E35</f>
        <v>0.87005515644731912</v>
      </c>
      <c r="F36" s="368">
        <f>F34-F35</f>
        <v>0.6960441251578553</v>
      </c>
      <c r="G36" s="368">
        <f>G34-G35</f>
        <v>0.55683530012628424</v>
      </c>
      <c r="H36" s="368">
        <f t="shared" ref="H36:BE36" si="14">H34-H35</f>
        <v>0.44546824010102737</v>
      </c>
      <c r="I36" s="368">
        <f t="shared" si="14"/>
        <v>0.35637459208082189</v>
      </c>
      <c r="J36" s="368">
        <f t="shared" si="14"/>
        <v>0.28509967366465749</v>
      </c>
      <c r="K36" s="368">
        <f t="shared" si="14"/>
        <v>0.22807973893172601</v>
      </c>
      <c r="L36" s="368">
        <f t="shared" si="14"/>
        <v>0.1824637911453808</v>
      </c>
      <c r="M36" s="368">
        <f t="shared" si="14"/>
        <v>0.14597103291630464</v>
      </c>
      <c r="N36" s="368">
        <f t="shared" si="14"/>
        <v>0.11677682633304372</v>
      </c>
      <c r="O36" s="368">
        <f t="shared" si="14"/>
        <v>9.342146106643498E-2</v>
      </c>
      <c r="P36" s="368">
        <f t="shared" si="14"/>
        <v>7.4737168853147989E-2</v>
      </c>
      <c r="Q36" s="368">
        <f t="shared" si="14"/>
        <v>5.9789735082518392E-2</v>
      </c>
      <c r="R36" s="368">
        <f t="shared" si="14"/>
        <v>4.7831788066014715E-2</v>
      </c>
      <c r="S36" s="368">
        <f t="shared" si="14"/>
        <v>3.826543045281177E-2</v>
      </c>
      <c r="T36" s="368">
        <f t="shared" si="14"/>
        <v>3.0612344362249418E-2</v>
      </c>
      <c r="U36" s="368">
        <f t="shared" si="14"/>
        <v>2.4489875489799535E-2</v>
      </c>
      <c r="V36" s="368">
        <f t="shared" si="14"/>
        <v>1.9591900391839629E-2</v>
      </c>
      <c r="W36" s="368">
        <f t="shared" si="14"/>
        <v>1.5673520313471703E-2</v>
      </c>
      <c r="X36" s="368">
        <f t="shared" si="14"/>
        <v>1.2538816250777362E-2</v>
      </c>
      <c r="Y36" s="368">
        <f t="shared" si="14"/>
        <v>1.003105300062189E-2</v>
      </c>
      <c r="Z36" s="368">
        <f t="shared" si="14"/>
        <v>8.0248424004975109E-3</v>
      </c>
      <c r="AA36" s="368">
        <f t="shared" si="14"/>
        <v>6.4198739203980091E-3</v>
      </c>
      <c r="AB36" s="368">
        <f t="shared" si="14"/>
        <v>5.1358991363184073E-3</v>
      </c>
      <c r="AC36" s="368">
        <f t="shared" si="14"/>
        <v>4.1087193090547256E-3</v>
      </c>
      <c r="AD36" s="368">
        <f t="shared" si="14"/>
        <v>3.2869754472437803E-3</v>
      </c>
      <c r="AE36" s="368">
        <f t="shared" si="14"/>
        <v>2.6295803577950244E-3</v>
      </c>
      <c r="AF36" s="368">
        <f t="shared" si="14"/>
        <v>2.1036642862360196E-3</v>
      </c>
      <c r="AG36" s="368">
        <f t="shared" si="14"/>
        <v>1.6829314289888157E-3</v>
      </c>
      <c r="AH36" s="368">
        <f t="shared" si="14"/>
        <v>1.3463451431910526E-3</v>
      </c>
      <c r="AI36" s="368">
        <f t="shared" si="14"/>
        <v>1.0770761145528422E-3</v>
      </c>
      <c r="AJ36" s="368">
        <f t="shared" si="14"/>
        <v>8.6166089164227378E-4</v>
      </c>
      <c r="AK36" s="368">
        <f t="shared" si="14"/>
        <v>6.8932871331381905E-4</v>
      </c>
      <c r="AL36" s="368">
        <f t="shared" si="14"/>
        <v>5.5146297065105526E-4</v>
      </c>
      <c r="AM36" s="368">
        <f t="shared" si="14"/>
        <v>4.4117037652084419E-4</v>
      </c>
      <c r="AN36" s="368">
        <f t="shared" si="14"/>
        <v>3.5293630121667534E-4</v>
      </c>
      <c r="AO36" s="368">
        <f t="shared" si="14"/>
        <v>2.8234904097334027E-4</v>
      </c>
      <c r="AP36" s="368">
        <f t="shared" si="14"/>
        <v>2.2587923277867222E-4</v>
      </c>
      <c r="AQ36" s="368">
        <f t="shared" si="14"/>
        <v>1.8070338622293777E-4</v>
      </c>
      <c r="AR36" s="368">
        <f t="shared" si="14"/>
        <v>1.4456270897835022E-4</v>
      </c>
      <c r="AS36" s="368">
        <f t="shared" si="14"/>
        <v>1.1565016718268018E-4</v>
      </c>
      <c r="AT36" s="368">
        <f t="shared" si="14"/>
        <v>9.2520133746144139E-5</v>
      </c>
      <c r="AU36" s="368">
        <f t="shared" si="14"/>
        <v>7.4016106996915306E-5</v>
      </c>
      <c r="AV36" s="368">
        <f t="shared" si="14"/>
        <v>5.9212885597532246E-5</v>
      </c>
      <c r="AW36" s="368">
        <f t="shared" si="14"/>
        <v>4.73703084780258E-5</v>
      </c>
      <c r="AX36" s="368">
        <f t="shared" si="14"/>
        <v>3.7896246782420641E-5</v>
      </c>
      <c r="AY36" s="368">
        <f t="shared" si="14"/>
        <v>3.0316997425936514E-5</v>
      </c>
      <c r="AZ36" s="368">
        <f t="shared" si="14"/>
        <v>2.4253597940749211E-5</v>
      </c>
      <c r="BA36" s="368">
        <f t="shared" si="14"/>
        <v>1.9402878352599369E-5</v>
      </c>
      <c r="BB36" s="368">
        <f t="shared" si="14"/>
        <v>1.5522302682079496E-5</v>
      </c>
      <c r="BC36" s="368">
        <f t="shared" si="14"/>
        <v>1.2417842145663597E-5</v>
      </c>
      <c r="BD36" s="368">
        <f t="shared" si="14"/>
        <v>9.9342737165308778E-6</v>
      </c>
      <c r="BE36" s="368">
        <f t="shared" si="14"/>
        <v>7.9474189732247022E-6</v>
      </c>
    </row>
    <row r="37" spans="1:57" s="347" customFormat="1" hidden="1" outlineLevel="1">
      <c r="A37" s="365" t="s">
        <v>131</v>
      </c>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row>
    <row r="38" spans="1:57" s="347" customFormat="1" hidden="1" outlineLevel="1">
      <c r="A38" s="347" t="s">
        <v>133</v>
      </c>
      <c r="B38" s="367"/>
      <c r="C38" s="366">
        <f>B$17</f>
        <v>197.97963101191107</v>
      </c>
      <c r="D38" s="367">
        <f>C40</f>
        <v>178.18166791071997</v>
      </c>
      <c r="E38" s="367">
        <f>D40</f>
        <v>160.36350111964796</v>
      </c>
      <c r="F38" s="367">
        <f>E40</f>
        <v>144.32715100768317</v>
      </c>
      <c r="G38" s="367">
        <f>F40</f>
        <v>129.89443590691485</v>
      </c>
      <c r="H38" s="367">
        <f t="shared" ref="H38:BE38" si="15">G40</f>
        <v>116.90499231622337</v>
      </c>
      <c r="I38" s="367">
        <f t="shared" si="15"/>
        <v>105.21449308460103</v>
      </c>
      <c r="J38" s="367">
        <f t="shared" si="15"/>
        <v>94.693043776140925</v>
      </c>
      <c r="K38" s="367">
        <f t="shared" si="15"/>
        <v>85.223739398526831</v>
      </c>
      <c r="L38" s="367">
        <f t="shared" si="15"/>
        <v>76.701365458674147</v>
      </c>
      <c r="M38" s="367">
        <f t="shared" si="15"/>
        <v>69.031228912806739</v>
      </c>
      <c r="N38" s="367">
        <f t="shared" si="15"/>
        <v>62.128106021526065</v>
      </c>
      <c r="O38" s="367">
        <f t="shared" si="15"/>
        <v>55.915295419373457</v>
      </c>
      <c r="P38" s="367">
        <f t="shared" si="15"/>
        <v>50.323765877436109</v>
      </c>
      <c r="Q38" s="367">
        <f t="shared" si="15"/>
        <v>45.291389289692496</v>
      </c>
      <c r="R38" s="367">
        <f t="shared" si="15"/>
        <v>40.762250360723243</v>
      </c>
      <c r="S38" s="367">
        <f t="shared" si="15"/>
        <v>36.68602532465092</v>
      </c>
      <c r="T38" s="367">
        <f t="shared" si="15"/>
        <v>33.017422792185826</v>
      </c>
      <c r="U38" s="367">
        <f t="shared" si="15"/>
        <v>29.715680512967243</v>
      </c>
      <c r="V38" s="367">
        <f t="shared" si="15"/>
        <v>26.744112461670518</v>
      </c>
      <c r="W38" s="367">
        <f t="shared" si="15"/>
        <v>24.069701215503464</v>
      </c>
      <c r="X38" s="367">
        <f t="shared" si="15"/>
        <v>21.662731093953116</v>
      </c>
      <c r="Y38" s="367">
        <f t="shared" si="15"/>
        <v>19.496457984557804</v>
      </c>
      <c r="Z38" s="367">
        <f t="shared" si="15"/>
        <v>17.546812186102024</v>
      </c>
      <c r="AA38" s="367">
        <f t="shared" si="15"/>
        <v>15.792130967491822</v>
      </c>
      <c r="AB38" s="367">
        <f t="shared" si="15"/>
        <v>14.21291787074264</v>
      </c>
      <c r="AC38" s="367">
        <f t="shared" si="15"/>
        <v>12.791626083668376</v>
      </c>
      <c r="AD38" s="367">
        <f t="shared" si="15"/>
        <v>11.512463475301539</v>
      </c>
      <c r="AE38" s="367">
        <f t="shared" si="15"/>
        <v>10.361217127771384</v>
      </c>
      <c r="AF38" s="367">
        <f t="shared" si="15"/>
        <v>9.3250954149942462</v>
      </c>
      <c r="AG38" s="367">
        <f t="shared" si="15"/>
        <v>8.3925858734948218</v>
      </c>
      <c r="AH38" s="367">
        <f t="shared" si="15"/>
        <v>7.5533272861453398</v>
      </c>
      <c r="AI38" s="367">
        <f t="shared" si="15"/>
        <v>6.7979945575308056</v>
      </c>
      <c r="AJ38" s="367">
        <f t="shared" si="15"/>
        <v>6.118195101777725</v>
      </c>
      <c r="AK38" s="367">
        <f t="shared" si="15"/>
        <v>5.5063755915999524</v>
      </c>
      <c r="AL38" s="367">
        <f t="shared" si="15"/>
        <v>4.9557380324399567</v>
      </c>
      <c r="AM38" s="367">
        <f t="shared" si="15"/>
        <v>4.4601642291959607</v>
      </c>
      <c r="AN38" s="367">
        <f t="shared" si="15"/>
        <v>4.0141478062763642</v>
      </c>
      <c r="AO38" s="367">
        <f t="shared" si="15"/>
        <v>3.612733025648728</v>
      </c>
      <c r="AP38" s="367">
        <f t="shared" si="15"/>
        <v>3.2514597230838551</v>
      </c>
      <c r="AQ38" s="367">
        <f t="shared" si="15"/>
        <v>2.9263137507754697</v>
      </c>
      <c r="AR38" s="367">
        <f t="shared" si="15"/>
        <v>2.6336823756979229</v>
      </c>
      <c r="AS38" s="367">
        <f t="shared" si="15"/>
        <v>2.3703141381281307</v>
      </c>
      <c r="AT38" s="367">
        <f t="shared" si="15"/>
        <v>2.1332827243153178</v>
      </c>
      <c r="AU38" s="367">
        <f t="shared" si="15"/>
        <v>1.9199544518837861</v>
      </c>
      <c r="AV38" s="367">
        <f t="shared" si="15"/>
        <v>1.7279590066954076</v>
      </c>
      <c r="AW38" s="367">
        <f t="shared" si="15"/>
        <v>1.5551631060258668</v>
      </c>
      <c r="AX38" s="367">
        <f t="shared" si="15"/>
        <v>1.3996467954232801</v>
      </c>
      <c r="AY38" s="367">
        <f t="shared" si="15"/>
        <v>1.2596821158809521</v>
      </c>
      <c r="AZ38" s="367">
        <f t="shared" si="15"/>
        <v>1.133713904292857</v>
      </c>
      <c r="BA38" s="367">
        <f t="shared" si="15"/>
        <v>1.0203425138635713</v>
      </c>
      <c r="BB38" s="367">
        <f t="shared" si="15"/>
        <v>0.9183082624772142</v>
      </c>
      <c r="BC38" s="367">
        <f t="shared" si="15"/>
        <v>0.82647743622949277</v>
      </c>
      <c r="BD38" s="367">
        <f t="shared" si="15"/>
        <v>0.74382969260654352</v>
      </c>
      <c r="BE38" s="367">
        <f t="shared" si="15"/>
        <v>0.66944672334588917</v>
      </c>
    </row>
    <row r="39" spans="1:57" s="347" customFormat="1" hidden="1" outlineLevel="1">
      <c r="A39" s="347" t="s">
        <v>134</v>
      </c>
      <c r="C39" s="367">
        <f t="shared" ref="C39:BE39" si="16">$C$17*C38</f>
        <v>19.797963101191108</v>
      </c>
      <c r="D39" s="367">
        <f t="shared" si="16"/>
        <v>17.818166791071999</v>
      </c>
      <c r="E39" s="367">
        <f t="shared" si="16"/>
        <v>16.036350111964797</v>
      </c>
      <c r="F39" s="367">
        <f t="shared" si="16"/>
        <v>14.432715100768318</v>
      </c>
      <c r="G39" s="367">
        <f t="shared" si="16"/>
        <v>12.989443590691486</v>
      </c>
      <c r="H39" s="367">
        <f t="shared" si="16"/>
        <v>11.690499231622338</v>
      </c>
      <c r="I39" s="367">
        <f t="shared" si="16"/>
        <v>10.521449308460104</v>
      </c>
      <c r="J39" s="367">
        <f t="shared" si="16"/>
        <v>9.4693043776140922</v>
      </c>
      <c r="K39" s="367">
        <f t="shared" si="16"/>
        <v>8.5223739398526828</v>
      </c>
      <c r="L39" s="367">
        <f t="shared" si="16"/>
        <v>7.6701365458674147</v>
      </c>
      <c r="M39" s="367">
        <f t="shared" si="16"/>
        <v>6.9031228912806739</v>
      </c>
      <c r="N39" s="367">
        <f t="shared" si="16"/>
        <v>6.2128106021526071</v>
      </c>
      <c r="O39" s="367">
        <f t="shared" si="16"/>
        <v>5.5915295419373461</v>
      </c>
      <c r="P39" s="367">
        <f t="shared" si="16"/>
        <v>5.0323765877436113</v>
      </c>
      <c r="Q39" s="367">
        <f t="shared" si="16"/>
        <v>4.5291389289692496</v>
      </c>
      <c r="R39" s="367">
        <f t="shared" si="16"/>
        <v>4.0762250360723247</v>
      </c>
      <c r="S39" s="367">
        <f t="shared" si="16"/>
        <v>3.6686025324650924</v>
      </c>
      <c r="T39" s="367">
        <f t="shared" si="16"/>
        <v>3.3017422792185829</v>
      </c>
      <c r="U39" s="367">
        <f t="shared" si="16"/>
        <v>2.9715680512967246</v>
      </c>
      <c r="V39" s="367">
        <f t="shared" si="16"/>
        <v>2.6744112461670522</v>
      </c>
      <c r="W39" s="367">
        <f t="shared" si="16"/>
        <v>2.4069701215503465</v>
      </c>
      <c r="X39" s="367">
        <f t="shared" si="16"/>
        <v>2.1662731093953118</v>
      </c>
      <c r="Y39" s="367">
        <f t="shared" si="16"/>
        <v>1.9496457984557805</v>
      </c>
      <c r="Z39" s="367">
        <f t="shared" si="16"/>
        <v>1.7546812186102025</v>
      </c>
      <c r="AA39" s="367">
        <f t="shared" si="16"/>
        <v>1.5792130967491822</v>
      </c>
      <c r="AB39" s="367">
        <f t="shared" si="16"/>
        <v>1.4212917870742641</v>
      </c>
      <c r="AC39" s="367">
        <f t="shared" si="16"/>
        <v>1.2791626083668377</v>
      </c>
      <c r="AD39" s="367">
        <f t="shared" si="16"/>
        <v>1.151246347530154</v>
      </c>
      <c r="AE39" s="367">
        <f t="shared" si="16"/>
        <v>1.0361217127771385</v>
      </c>
      <c r="AF39" s="367">
        <f t="shared" si="16"/>
        <v>0.93250954149942467</v>
      </c>
      <c r="AG39" s="367">
        <f t="shared" si="16"/>
        <v>0.83925858734948222</v>
      </c>
      <c r="AH39" s="367">
        <f t="shared" si="16"/>
        <v>0.75533272861453404</v>
      </c>
      <c r="AI39" s="367">
        <f t="shared" si="16"/>
        <v>0.67979945575308065</v>
      </c>
      <c r="AJ39" s="367">
        <f t="shared" si="16"/>
        <v>0.61181951017777259</v>
      </c>
      <c r="AK39" s="367">
        <f t="shared" si="16"/>
        <v>0.55063755915999524</v>
      </c>
      <c r="AL39" s="367">
        <f t="shared" si="16"/>
        <v>0.49557380324399569</v>
      </c>
      <c r="AM39" s="367">
        <f t="shared" si="16"/>
        <v>0.44601642291959609</v>
      </c>
      <c r="AN39" s="367">
        <f t="shared" si="16"/>
        <v>0.40141478062763647</v>
      </c>
      <c r="AO39" s="367">
        <f t="shared" si="16"/>
        <v>0.36127330256487283</v>
      </c>
      <c r="AP39" s="367">
        <f t="shared" si="16"/>
        <v>0.32514597230838554</v>
      </c>
      <c r="AQ39" s="367">
        <f t="shared" si="16"/>
        <v>0.292631375077547</v>
      </c>
      <c r="AR39" s="367">
        <f t="shared" si="16"/>
        <v>0.26336823756979227</v>
      </c>
      <c r="AS39" s="367">
        <f t="shared" si="16"/>
        <v>0.23703141381281309</v>
      </c>
      <c r="AT39" s="367">
        <f t="shared" si="16"/>
        <v>0.2133282724315318</v>
      </c>
      <c r="AU39" s="367">
        <f t="shared" si="16"/>
        <v>0.19199544518837863</v>
      </c>
      <c r="AV39" s="367">
        <f t="shared" si="16"/>
        <v>0.17279590066954076</v>
      </c>
      <c r="AW39" s="367">
        <f t="shared" si="16"/>
        <v>0.15551631060258669</v>
      </c>
      <c r="AX39" s="367">
        <f t="shared" si="16"/>
        <v>0.13996467954232802</v>
      </c>
      <c r="AY39" s="367">
        <f t="shared" si="16"/>
        <v>0.12596821158809521</v>
      </c>
      <c r="AZ39" s="367">
        <f t="shared" si="16"/>
        <v>0.11337139042928571</v>
      </c>
      <c r="BA39" s="367">
        <f t="shared" si="16"/>
        <v>0.10203425138635713</v>
      </c>
      <c r="BB39" s="367">
        <f t="shared" si="16"/>
        <v>9.1830826247721431E-2</v>
      </c>
      <c r="BC39" s="367">
        <f t="shared" si="16"/>
        <v>8.2647743622949285E-2</v>
      </c>
      <c r="BD39" s="367">
        <f t="shared" si="16"/>
        <v>7.4382969260654352E-2</v>
      </c>
      <c r="BE39" s="367">
        <f t="shared" si="16"/>
        <v>6.6944672334588923E-2</v>
      </c>
    </row>
    <row r="40" spans="1:57" s="347" customFormat="1" hidden="1" outlineLevel="1">
      <c r="A40" s="347" t="s">
        <v>135</v>
      </c>
      <c r="B40" s="368">
        <f>C38</f>
        <v>197.97963101191107</v>
      </c>
      <c r="C40" s="368">
        <f>C38-C39</f>
        <v>178.18166791071997</v>
      </c>
      <c r="D40" s="368">
        <f>D38-D39</f>
        <v>160.36350111964796</v>
      </c>
      <c r="E40" s="368">
        <f>E38-E39</f>
        <v>144.32715100768317</v>
      </c>
      <c r="F40" s="368">
        <f>F38-F39</f>
        <v>129.89443590691485</v>
      </c>
      <c r="G40" s="368">
        <f>G38-G39</f>
        <v>116.90499231622337</v>
      </c>
      <c r="H40" s="368">
        <f t="shared" ref="H40:BE40" si="17">H38-H39</f>
        <v>105.21449308460103</v>
      </c>
      <c r="I40" s="368">
        <f t="shared" si="17"/>
        <v>94.693043776140925</v>
      </c>
      <c r="J40" s="368">
        <f t="shared" si="17"/>
        <v>85.223739398526831</v>
      </c>
      <c r="K40" s="368">
        <f t="shared" si="17"/>
        <v>76.701365458674147</v>
      </c>
      <c r="L40" s="368">
        <f t="shared" si="17"/>
        <v>69.031228912806739</v>
      </c>
      <c r="M40" s="368">
        <f t="shared" si="17"/>
        <v>62.128106021526065</v>
      </c>
      <c r="N40" s="368">
        <f t="shared" si="17"/>
        <v>55.915295419373457</v>
      </c>
      <c r="O40" s="368">
        <f t="shared" si="17"/>
        <v>50.323765877436109</v>
      </c>
      <c r="P40" s="368">
        <f t="shared" si="17"/>
        <v>45.291389289692496</v>
      </c>
      <c r="Q40" s="368">
        <f t="shared" si="17"/>
        <v>40.762250360723243</v>
      </c>
      <c r="R40" s="368">
        <f t="shared" si="17"/>
        <v>36.68602532465092</v>
      </c>
      <c r="S40" s="368">
        <f t="shared" si="17"/>
        <v>33.017422792185826</v>
      </c>
      <c r="T40" s="368">
        <f t="shared" si="17"/>
        <v>29.715680512967243</v>
      </c>
      <c r="U40" s="368">
        <f t="shared" si="17"/>
        <v>26.744112461670518</v>
      </c>
      <c r="V40" s="368">
        <f t="shared" si="17"/>
        <v>24.069701215503464</v>
      </c>
      <c r="W40" s="368">
        <f t="shared" si="17"/>
        <v>21.662731093953116</v>
      </c>
      <c r="X40" s="368">
        <f t="shared" si="17"/>
        <v>19.496457984557804</v>
      </c>
      <c r="Y40" s="368">
        <f t="shared" si="17"/>
        <v>17.546812186102024</v>
      </c>
      <c r="Z40" s="368">
        <f t="shared" si="17"/>
        <v>15.792130967491822</v>
      </c>
      <c r="AA40" s="368">
        <f t="shared" si="17"/>
        <v>14.21291787074264</v>
      </c>
      <c r="AB40" s="368">
        <f t="shared" si="17"/>
        <v>12.791626083668376</v>
      </c>
      <c r="AC40" s="368">
        <f t="shared" si="17"/>
        <v>11.512463475301539</v>
      </c>
      <c r="AD40" s="368">
        <f t="shared" si="17"/>
        <v>10.361217127771384</v>
      </c>
      <c r="AE40" s="368">
        <f t="shared" si="17"/>
        <v>9.3250954149942462</v>
      </c>
      <c r="AF40" s="368">
        <f t="shared" si="17"/>
        <v>8.3925858734948218</v>
      </c>
      <c r="AG40" s="368">
        <f t="shared" si="17"/>
        <v>7.5533272861453398</v>
      </c>
      <c r="AH40" s="368">
        <f t="shared" si="17"/>
        <v>6.7979945575308056</v>
      </c>
      <c r="AI40" s="368">
        <f t="shared" si="17"/>
        <v>6.118195101777725</v>
      </c>
      <c r="AJ40" s="368">
        <f t="shared" si="17"/>
        <v>5.5063755915999524</v>
      </c>
      <c r="AK40" s="368">
        <f t="shared" si="17"/>
        <v>4.9557380324399567</v>
      </c>
      <c r="AL40" s="368">
        <f t="shared" si="17"/>
        <v>4.4601642291959607</v>
      </c>
      <c r="AM40" s="368">
        <f t="shared" si="17"/>
        <v>4.0141478062763642</v>
      </c>
      <c r="AN40" s="368">
        <f t="shared" si="17"/>
        <v>3.612733025648728</v>
      </c>
      <c r="AO40" s="368">
        <f t="shared" si="17"/>
        <v>3.2514597230838551</v>
      </c>
      <c r="AP40" s="368">
        <f t="shared" si="17"/>
        <v>2.9263137507754697</v>
      </c>
      <c r="AQ40" s="368">
        <f t="shared" si="17"/>
        <v>2.6336823756979229</v>
      </c>
      <c r="AR40" s="368">
        <f t="shared" si="17"/>
        <v>2.3703141381281307</v>
      </c>
      <c r="AS40" s="368">
        <f t="shared" si="17"/>
        <v>2.1332827243153178</v>
      </c>
      <c r="AT40" s="368">
        <f t="shared" si="17"/>
        <v>1.9199544518837861</v>
      </c>
      <c r="AU40" s="368">
        <f t="shared" si="17"/>
        <v>1.7279590066954076</v>
      </c>
      <c r="AV40" s="368">
        <f t="shared" si="17"/>
        <v>1.5551631060258668</v>
      </c>
      <c r="AW40" s="368">
        <f t="shared" si="17"/>
        <v>1.3996467954232801</v>
      </c>
      <c r="AX40" s="368">
        <f t="shared" si="17"/>
        <v>1.2596821158809521</v>
      </c>
      <c r="AY40" s="368">
        <f t="shared" si="17"/>
        <v>1.133713904292857</v>
      </c>
      <c r="AZ40" s="368">
        <f t="shared" si="17"/>
        <v>1.0203425138635713</v>
      </c>
      <c r="BA40" s="368">
        <f t="shared" si="17"/>
        <v>0.9183082624772142</v>
      </c>
      <c r="BB40" s="368">
        <f t="shared" si="17"/>
        <v>0.82647743622949277</v>
      </c>
      <c r="BC40" s="368">
        <f t="shared" si="17"/>
        <v>0.74382969260654352</v>
      </c>
      <c r="BD40" s="368">
        <f t="shared" si="17"/>
        <v>0.66944672334588917</v>
      </c>
      <c r="BE40" s="368">
        <f t="shared" si="17"/>
        <v>0.60250205101130028</v>
      </c>
    </row>
    <row r="41" spans="1:57" s="347" customFormat="1" collapsed="1">
      <c r="A41" s="369" t="s">
        <v>136</v>
      </c>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row>
    <row r="42" spans="1:57" s="347" customFormat="1">
      <c r="A42" s="347" t="s">
        <v>133</v>
      </c>
      <c r="B42" s="367"/>
      <c r="C42" s="367">
        <f t="shared" ref="C42:BE44" si="18">C22+C26+C30+C34+C38</f>
        <v>211.99176230795152</v>
      </c>
      <c r="D42" s="367">
        <f t="shared" si="18"/>
        <v>191.60165705743469</v>
      </c>
      <c r="E42" s="367">
        <f t="shared" si="18"/>
        <v>173.3232548329652</v>
      </c>
      <c r="F42" s="367">
        <f t="shared" si="18"/>
        <v>156.9287386444926</v>
      </c>
      <c r="G42" s="367">
        <f t="shared" si="18"/>
        <v>142.21694687413969</v>
      </c>
      <c r="H42" s="367">
        <f t="shared" si="18"/>
        <v>129.00979173377158</v>
      </c>
      <c r="I42" s="367">
        <f t="shared" si="18"/>
        <v>117.14925595149361</v>
      </c>
      <c r="J42" s="367">
        <f t="shared" si="18"/>
        <v>106.49485616403791</v>
      </c>
      <c r="K42" s="367">
        <f t="shared" si="18"/>
        <v>96.921485945674277</v>
      </c>
      <c r="L42" s="367">
        <f t="shared" si="18"/>
        <v>88.317570069967346</v>
      </c>
      <c r="M42" s="367">
        <f t="shared" si="18"/>
        <v>80.583475908912718</v>
      </c>
      <c r="N42" s="367">
        <f t="shared" si="18"/>
        <v>73.630138892260376</v>
      </c>
      <c r="O42" s="367">
        <f t="shared" si="18"/>
        <v>67.37786747655322</v>
      </c>
      <c r="P42" s="367">
        <f t="shared" si="18"/>
        <v>61.755299706990755</v>
      </c>
      <c r="Q42" s="367">
        <f t="shared" si="18"/>
        <v>56.69848864527394</v>
      </c>
      <c r="R42" s="367">
        <f t="shared" si="18"/>
        <v>52.150098021720396</v>
      </c>
      <c r="S42" s="367">
        <f t="shared" si="18"/>
        <v>48.058692705875728</v>
      </c>
      <c r="T42" s="367">
        <f t="shared" si="18"/>
        <v>44.378111170228621</v>
      </c>
      <c r="U42" s="367">
        <f t="shared" si="18"/>
        <v>41.06690919354152</v>
      </c>
      <c r="V42" s="367">
        <f t="shared" si="18"/>
        <v>38.087865725797933</v>
      </c>
      <c r="W42" s="367">
        <f t="shared" si="18"/>
        <v>35.407543201523453</v>
      </c>
      <c r="X42" s="367">
        <f t="shared" si="18"/>
        <v>32.995895708007581</v>
      </c>
      <c r="Y42" s="367">
        <f t="shared" si="18"/>
        <v>30.825919340393156</v>
      </c>
      <c r="Z42" s="367">
        <f t="shared" si="18"/>
        <v>28.873339845901178</v>
      </c>
      <c r="AA42" s="367">
        <f t="shared" si="18"/>
        <v>27.116333305083213</v>
      </c>
      <c r="AB42" s="367">
        <f t="shared" si="18"/>
        <v>25.535276142735523</v>
      </c>
      <c r="AC42" s="367">
        <f t="shared" si="18"/>
        <v>24.112521223649498</v>
      </c>
      <c r="AD42" s="367">
        <f t="shared" si="18"/>
        <v>22.832197183462426</v>
      </c>
      <c r="AE42" s="367">
        <f t="shared" si="18"/>
        <v>21.680028484225183</v>
      </c>
      <c r="AF42" s="367">
        <f t="shared" si="18"/>
        <v>20.643173977279247</v>
      </c>
      <c r="AG42" s="367">
        <f t="shared" si="18"/>
        <v>19.71008201016199</v>
      </c>
      <c r="AH42" s="367">
        <f t="shared" si="18"/>
        <v>18.870360335629819</v>
      </c>
      <c r="AI42" s="367">
        <f t="shared" si="18"/>
        <v>18.114659274469382</v>
      </c>
      <c r="AJ42" s="367">
        <f t="shared" si="18"/>
        <v>17.43456675363138</v>
      </c>
      <c r="AK42" s="367">
        <f t="shared" si="18"/>
        <v>16.822513990735629</v>
      </c>
      <c r="AL42" s="367">
        <f t="shared" si="18"/>
        <v>16.271690727959015</v>
      </c>
      <c r="AM42" s="367">
        <f t="shared" si="18"/>
        <v>15.775969035071743</v>
      </c>
      <c r="AN42" s="367">
        <f t="shared" si="18"/>
        <v>15.329834804907227</v>
      </c>
      <c r="AO42" s="367">
        <f t="shared" si="18"/>
        <v>14.928326156508469</v>
      </c>
      <c r="AP42" s="367">
        <f t="shared" si="18"/>
        <v>14.566978043016077</v>
      </c>
      <c r="AQ42" s="367">
        <f t="shared" si="18"/>
        <v>14.241772434272256</v>
      </c>
      <c r="AR42" s="367">
        <f t="shared" si="18"/>
        <v>13.949093509163967</v>
      </c>
      <c r="AS42" s="367">
        <f t="shared" si="18"/>
        <v>13.685687350829166</v>
      </c>
      <c r="AT42" s="367">
        <f t="shared" si="18"/>
        <v>13.448625689794</v>
      </c>
      <c r="AU42" s="367">
        <f t="shared" si="18"/>
        <v>13.235273286588296</v>
      </c>
      <c r="AV42" s="367">
        <f t="shared" si="18"/>
        <v>13.043258587006392</v>
      </c>
      <c r="AW42" s="367">
        <f t="shared" si="18"/>
        <v>12.870447320472516</v>
      </c>
      <c r="AX42" s="367">
        <f t="shared" si="18"/>
        <v>12.714918745403109</v>
      </c>
      <c r="AY42" s="367">
        <f t="shared" si="18"/>
        <v>12.574944275446562</v>
      </c>
      <c r="AZ42" s="367">
        <f t="shared" si="18"/>
        <v>12.448968247390043</v>
      </c>
      <c r="BA42" s="367">
        <f t="shared" si="18"/>
        <v>12.335590615678699</v>
      </c>
      <c r="BB42" s="367">
        <f t="shared" si="18"/>
        <v>12.233551380183036</v>
      </c>
      <c r="BC42" s="367">
        <f t="shared" si="18"/>
        <v>12.141716573332896</v>
      </c>
      <c r="BD42" s="367">
        <f t="shared" si="18"/>
        <v>12.059065650240239</v>
      </c>
      <c r="BE42" s="367">
        <f t="shared" si="18"/>
        <v>11.984680141161892</v>
      </c>
    </row>
    <row r="43" spans="1:57" s="347" customFormat="1">
      <c r="A43" s="347" t="s">
        <v>134</v>
      </c>
      <c r="C43" s="367">
        <f t="shared" si="18"/>
        <v>20.390105250516807</v>
      </c>
      <c r="D43" s="367">
        <f t="shared" si="18"/>
        <v>18.278402224469495</v>
      </c>
      <c r="E43" s="367">
        <f t="shared" si="18"/>
        <v>16.394516188472611</v>
      </c>
      <c r="F43" s="367">
        <f t="shared" si="18"/>
        <v>14.711791770352912</v>
      </c>
      <c r="G43" s="367">
        <f t="shared" si="18"/>
        <v>13.207155140368105</v>
      </c>
      <c r="H43" s="367">
        <f t="shared" si="18"/>
        <v>11.860535782277969</v>
      </c>
      <c r="I43" s="367">
        <f t="shared" si="18"/>
        <v>10.654399787455704</v>
      </c>
      <c r="J43" s="367">
        <f t="shared" si="18"/>
        <v>9.57337021836363</v>
      </c>
      <c r="K43" s="367">
        <f t="shared" si="18"/>
        <v>8.6039158757069245</v>
      </c>
      <c r="L43" s="367">
        <f t="shared" si="18"/>
        <v>7.7340941610546388</v>
      </c>
      <c r="M43" s="367">
        <f t="shared" si="18"/>
        <v>6.9533370166523367</v>
      </c>
      <c r="N43" s="367">
        <f t="shared" si="18"/>
        <v>6.2522714157071571</v>
      </c>
      <c r="O43" s="367">
        <f t="shared" si="18"/>
        <v>5.6225677695624663</v>
      </c>
      <c r="P43" s="367">
        <f t="shared" si="18"/>
        <v>5.0568110617168127</v>
      </c>
      <c r="Q43" s="367">
        <f t="shared" si="18"/>
        <v>4.5483906235535372</v>
      </c>
      <c r="R43" s="367">
        <f t="shared" si="18"/>
        <v>4.0914053158446766</v>
      </c>
      <c r="S43" s="367">
        <f t="shared" si="18"/>
        <v>3.6805815356471054</v>
      </c>
      <c r="T43" s="367">
        <f t="shared" si="18"/>
        <v>3.3112019766870993</v>
      </c>
      <c r="U43" s="367">
        <f t="shared" si="18"/>
        <v>2.9790434677435824</v>
      </c>
      <c r="V43" s="367">
        <f t="shared" si="18"/>
        <v>2.6803225242744779</v>
      </c>
      <c r="W43" s="367">
        <f t="shared" si="18"/>
        <v>2.4116474935158756</v>
      </c>
      <c r="X43" s="367">
        <f t="shared" si="18"/>
        <v>2.1699763676144204</v>
      </c>
      <c r="Y43" s="367">
        <f t="shared" si="18"/>
        <v>1.952579494491977</v>
      </c>
      <c r="Z43" s="367">
        <f t="shared" si="18"/>
        <v>1.7570065408179689</v>
      </c>
      <c r="AA43" s="367">
        <f t="shared" si="18"/>
        <v>1.581057162347691</v>
      </c>
      <c r="AB43" s="367">
        <f t="shared" si="18"/>
        <v>1.4227549190860251</v>
      </c>
      <c r="AC43" s="367">
        <f t="shared" si="18"/>
        <v>1.2803240401870746</v>
      </c>
      <c r="AD43" s="367">
        <f t="shared" si="18"/>
        <v>1.1521686992372433</v>
      </c>
      <c r="AE43" s="367">
        <f t="shared" si="18"/>
        <v>1.0368545069459301</v>
      </c>
      <c r="AF43" s="367">
        <f t="shared" si="18"/>
        <v>0.9330919671172595</v>
      </c>
      <c r="AG43" s="367">
        <f t="shared" si="18"/>
        <v>0.8397216745321745</v>
      </c>
      <c r="AH43" s="367">
        <f t="shared" si="18"/>
        <v>0.75570106116043223</v>
      </c>
      <c r="AI43" s="367">
        <f t="shared" si="18"/>
        <v>0.68009252083800587</v>
      </c>
      <c r="AJ43" s="367">
        <f t="shared" si="18"/>
        <v>0.61205276289574662</v>
      </c>
      <c r="AK43" s="367">
        <f t="shared" si="18"/>
        <v>0.55082326277661497</v>
      </c>
      <c r="AL43" s="367">
        <f t="shared" si="18"/>
        <v>0.49572169288727258</v>
      </c>
      <c r="AM43" s="367">
        <f t="shared" si="18"/>
        <v>0.44613423016451381</v>
      </c>
      <c r="AN43" s="367">
        <f t="shared" si="18"/>
        <v>0.4015086483987601</v>
      </c>
      <c r="AO43" s="367">
        <f t="shared" si="18"/>
        <v>0.36134811349239099</v>
      </c>
      <c r="AP43" s="367">
        <f t="shared" si="18"/>
        <v>0.32520560874382343</v>
      </c>
      <c r="AQ43" s="367">
        <f t="shared" si="18"/>
        <v>0.29267892510828614</v>
      </c>
      <c r="AR43" s="367">
        <f t="shared" si="18"/>
        <v>0.26340615833480013</v>
      </c>
      <c r="AS43" s="367">
        <f t="shared" si="18"/>
        <v>0.23706166103516921</v>
      </c>
      <c r="AT43" s="367">
        <f t="shared" si="18"/>
        <v>0.21335240320570525</v>
      </c>
      <c r="AU43" s="367">
        <f t="shared" si="18"/>
        <v>0.19201469958190218</v>
      </c>
      <c r="AV43" s="367">
        <f t="shared" si="18"/>
        <v>0.17281126653387599</v>
      </c>
      <c r="AW43" s="367">
        <f t="shared" si="18"/>
        <v>0.15552857506940668</v>
      </c>
      <c r="AX43" s="367">
        <f t="shared" si="18"/>
        <v>0.139974469956548</v>
      </c>
      <c r="AY43" s="367">
        <f t="shared" si="18"/>
        <v>0.12597602805651928</v>
      </c>
      <c r="AZ43" s="367">
        <f t="shared" si="18"/>
        <v>0.1133776317113436</v>
      </c>
      <c r="BA43" s="367">
        <f t="shared" si="18"/>
        <v>0.10203923549566522</v>
      </c>
      <c r="BB43" s="367">
        <f t="shared" si="18"/>
        <v>9.1834806850135203E-2</v>
      </c>
      <c r="BC43" s="367">
        <f t="shared" si="18"/>
        <v>8.2650923092660436E-2</v>
      </c>
      <c r="BD43" s="367">
        <f t="shared" si="18"/>
        <v>7.4385509078346651E-2</v>
      </c>
      <c r="BE43" s="367">
        <f t="shared" si="18"/>
        <v>6.6946701370947076E-2</v>
      </c>
    </row>
    <row r="44" spans="1:57" s="347" customFormat="1">
      <c r="A44" s="347" t="s">
        <v>135</v>
      </c>
      <c r="B44" s="368">
        <f t="shared" ref="B44:G44" si="19">B24+B28+B32+B36+B40</f>
        <v>211.99176230795152</v>
      </c>
      <c r="C44" s="368">
        <f t="shared" si="19"/>
        <v>191.60165705743469</v>
      </c>
      <c r="D44" s="368">
        <f t="shared" si="19"/>
        <v>173.3232548329652</v>
      </c>
      <c r="E44" s="368">
        <f t="shared" si="19"/>
        <v>156.9287386444926</v>
      </c>
      <c r="F44" s="368">
        <f t="shared" si="19"/>
        <v>142.21694687413969</v>
      </c>
      <c r="G44" s="368">
        <f t="shared" si="19"/>
        <v>129.00979173377158</v>
      </c>
      <c r="H44" s="368">
        <f t="shared" si="18"/>
        <v>117.14925595149361</v>
      </c>
      <c r="I44" s="368">
        <f t="shared" si="18"/>
        <v>106.49485616403791</v>
      </c>
      <c r="J44" s="368">
        <f t="shared" si="18"/>
        <v>96.921485945674277</v>
      </c>
      <c r="K44" s="368">
        <f t="shared" si="18"/>
        <v>88.317570069967346</v>
      </c>
      <c r="L44" s="368">
        <f t="shared" si="18"/>
        <v>80.583475908912718</v>
      </c>
      <c r="M44" s="368">
        <f t="shared" si="18"/>
        <v>73.630138892260376</v>
      </c>
      <c r="N44" s="368">
        <f t="shared" si="18"/>
        <v>67.37786747655322</v>
      </c>
      <c r="O44" s="368">
        <f t="shared" si="18"/>
        <v>61.755299706990755</v>
      </c>
      <c r="P44" s="368">
        <f t="shared" si="18"/>
        <v>56.69848864527394</v>
      </c>
      <c r="Q44" s="368">
        <f t="shared" si="18"/>
        <v>52.150098021720396</v>
      </c>
      <c r="R44" s="368">
        <f t="shared" si="18"/>
        <v>48.058692705875728</v>
      </c>
      <c r="S44" s="368">
        <f t="shared" si="18"/>
        <v>44.378111170228621</v>
      </c>
      <c r="T44" s="368">
        <f t="shared" si="18"/>
        <v>41.06690919354152</v>
      </c>
      <c r="U44" s="368">
        <f t="shared" si="18"/>
        <v>38.087865725797933</v>
      </c>
      <c r="V44" s="368">
        <f t="shared" si="18"/>
        <v>35.407543201523453</v>
      </c>
      <c r="W44" s="368">
        <f t="shared" si="18"/>
        <v>32.995895708007581</v>
      </c>
      <c r="X44" s="368">
        <f t="shared" si="18"/>
        <v>30.825919340393156</v>
      </c>
      <c r="Y44" s="368">
        <f t="shared" si="18"/>
        <v>28.873339845901178</v>
      </c>
      <c r="Z44" s="368">
        <f t="shared" si="18"/>
        <v>27.116333305083213</v>
      </c>
      <c r="AA44" s="368">
        <f t="shared" si="18"/>
        <v>25.535276142735523</v>
      </c>
      <c r="AB44" s="368">
        <f t="shared" si="18"/>
        <v>24.112521223649498</v>
      </c>
      <c r="AC44" s="368">
        <f t="shared" si="18"/>
        <v>22.832197183462426</v>
      </c>
      <c r="AD44" s="368">
        <f t="shared" si="18"/>
        <v>21.680028484225183</v>
      </c>
      <c r="AE44" s="368">
        <f t="shared" si="18"/>
        <v>20.643173977279247</v>
      </c>
      <c r="AF44" s="368">
        <f t="shared" si="18"/>
        <v>19.71008201016199</v>
      </c>
      <c r="AG44" s="368">
        <f t="shared" si="18"/>
        <v>18.870360335629819</v>
      </c>
      <c r="AH44" s="368">
        <f t="shared" si="18"/>
        <v>18.114659274469382</v>
      </c>
      <c r="AI44" s="368">
        <f t="shared" si="18"/>
        <v>17.43456675363138</v>
      </c>
      <c r="AJ44" s="368">
        <f t="shared" si="18"/>
        <v>16.822513990735629</v>
      </c>
      <c r="AK44" s="368">
        <f t="shared" si="18"/>
        <v>16.271690727959015</v>
      </c>
      <c r="AL44" s="368">
        <f t="shared" si="18"/>
        <v>15.775969035071743</v>
      </c>
      <c r="AM44" s="368">
        <f t="shared" si="18"/>
        <v>15.329834804907227</v>
      </c>
      <c r="AN44" s="368">
        <f t="shared" si="18"/>
        <v>14.928326156508469</v>
      </c>
      <c r="AO44" s="368">
        <f t="shared" si="18"/>
        <v>14.566978043016077</v>
      </c>
      <c r="AP44" s="368">
        <f t="shared" si="18"/>
        <v>14.241772434272256</v>
      </c>
      <c r="AQ44" s="368">
        <f t="shared" si="18"/>
        <v>13.949093509163967</v>
      </c>
      <c r="AR44" s="368">
        <f t="shared" si="18"/>
        <v>13.685687350829166</v>
      </c>
      <c r="AS44" s="368">
        <f t="shared" si="18"/>
        <v>13.448625689794</v>
      </c>
      <c r="AT44" s="368">
        <f t="shared" si="18"/>
        <v>13.235273286588296</v>
      </c>
      <c r="AU44" s="368">
        <f t="shared" si="18"/>
        <v>13.043258587006392</v>
      </c>
      <c r="AV44" s="368">
        <f t="shared" si="18"/>
        <v>12.870447320472516</v>
      </c>
      <c r="AW44" s="368">
        <f t="shared" si="18"/>
        <v>12.714918745403109</v>
      </c>
      <c r="AX44" s="368">
        <f t="shared" si="18"/>
        <v>12.574944275446562</v>
      </c>
      <c r="AY44" s="368">
        <f t="shared" si="18"/>
        <v>12.448968247390043</v>
      </c>
      <c r="AZ44" s="368">
        <f t="shared" si="18"/>
        <v>12.335590615678699</v>
      </c>
      <c r="BA44" s="368">
        <f t="shared" si="18"/>
        <v>12.233551380183036</v>
      </c>
      <c r="BB44" s="368">
        <f t="shared" si="18"/>
        <v>12.141716573332896</v>
      </c>
      <c r="BC44" s="368">
        <f t="shared" si="18"/>
        <v>12.059065650240239</v>
      </c>
      <c r="BD44" s="368">
        <f t="shared" si="18"/>
        <v>11.984680141161892</v>
      </c>
      <c r="BE44" s="368">
        <f t="shared" si="18"/>
        <v>11.917733439790943</v>
      </c>
    </row>
    <row r="45" spans="1:57" s="347" customFormat="1">
      <c r="A45" s="363" t="s">
        <v>166</v>
      </c>
      <c r="C45" s="346"/>
      <c r="H45" s="513">
        <f>H44-H24</f>
        <v>105.83403263662802</v>
      </c>
    </row>
    <row r="46" spans="1:57" s="347" customFormat="1">
      <c r="C46" s="346"/>
    </row>
    <row r="47" spans="1:57" s="347" customFormat="1">
      <c r="A47" s="350" t="s">
        <v>137</v>
      </c>
      <c r="B47" s="351">
        <v>2010</v>
      </c>
      <c r="C47" s="352" t="s">
        <v>123</v>
      </c>
      <c r="E47" s="351">
        <v>2011</v>
      </c>
      <c r="F47" s="351">
        <v>2016</v>
      </c>
    </row>
    <row r="48" spans="1:57" s="347" customFormat="1">
      <c r="A48" s="353" t="s">
        <v>138</v>
      </c>
      <c r="B48" s="354" t="s">
        <v>125</v>
      </c>
      <c r="C48" s="355" t="s">
        <v>126</v>
      </c>
      <c r="E48" s="354" t="s">
        <v>125</v>
      </c>
      <c r="F48" s="354" t="s">
        <v>125</v>
      </c>
    </row>
    <row r="49" spans="1:57" s="347" customFormat="1">
      <c r="A49" s="346" t="s">
        <v>139</v>
      </c>
      <c r="B49" s="370">
        <v>311.8141904152057</v>
      </c>
      <c r="C49" s="357">
        <v>0.03</v>
      </c>
      <c r="E49" s="443">
        <f>D63</f>
        <v>302.45976470274951</v>
      </c>
      <c r="F49" s="443">
        <f>I63</f>
        <v>259.73249135546683</v>
      </c>
    </row>
    <row r="50" spans="1:57" s="347" customFormat="1">
      <c r="A50" s="346" t="s">
        <v>140</v>
      </c>
      <c r="B50" s="370">
        <v>0</v>
      </c>
      <c r="C50" s="358">
        <v>1</v>
      </c>
      <c r="E50" s="444">
        <f>D67</f>
        <v>0</v>
      </c>
      <c r="F50" s="444">
        <f>I67</f>
        <v>0</v>
      </c>
    </row>
    <row r="51" spans="1:57" s="347" customFormat="1">
      <c r="A51" s="346" t="s">
        <v>141</v>
      </c>
      <c r="B51" s="370">
        <v>15.393985730139292</v>
      </c>
      <c r="C51" s="358">
        <v>7.4999999999999997E-2</v>
      </c>
      <c r="E51" s="444">
        <f>D71</f>
        <v>14.239436800378845</v>
      </c>
      <c r="F51" s="444">
        <f>I71</f>
        <v>9.6427626288055492</v>
      </c>
    </row>
    <row r="52" spans="1:57" s="347" customFormat="1">
      <c r="A52" s="346" t="s">
        <v>142</v>
      </c>
      <c r="B52" s="370">
        <v>36.806139831218253</v>
      </c>
      <c r="C52" s="358">
        <v>0.03</v>
      </c>
      <c r="E52" s="444">
        <f>D75</f>
        <v>35.701955636281703</v>
      </c>
      <c r="F52" s="444">
        <f>I75</f>
        <v>30.658484088906992</v>
      </c>
    </row>
    <row r="53" spans="1:57" s="347" customFormat="1">
      <c r="A53" s="346" t="s">
        <v>143</v>
      </c>
      <c r="B53" s="370">
        <v>1.6535323740744809</v>
      </c>
      <c r="C53" s="358">
        <v>7.4999999999999997E-2</v>
      </c>
      <c r="E53" s="444">
        <f>D79</f>
        <v>1.5295174460188949</v>
      </c>
      <c r="F53" s="444">
        <f>I79</f>
        <v>1.0357694531980866</v>
      </c>
    </row>
    <row r="54" spans="1:57" s="347" customFormat="1">
      <c r="A54" s="346" t="s">
        <v>144</v>
      </c>
      <c r="B54" s="370">
        <v>3.2972065686708847</v>
      </c>
      <c r="C54" s="358">
        <v>0.375</v>
      </c>
      <c r="E54" s="444">
        <f>D83</f>
        <v>2.0607541054193028</v>
      </c>
      <c r="F54" s="444">
        <f>I83</f>
        <v>0.1965288262767127</v>
      </c>
    </row>
    <row r="55" spans="1:57" s="347" customFormat="1">
      <c r="A55" s="346" t="s">
        <v>145</v>
      </c>
      <c r="B55" s="370">
        <v>0</v>
      </c>
      <c r="C55" s="358">
        <v>0.1</v>
      </c>
      <c r="E55" s="444">
        <f>D87</f>
        <v>0</v>
      </c>
      <c r="F55" s="444">
        <f>I87</f>
        <v>0</v>
      </c>
    </row>
    <row r="56" spans="1:57" s="347" customFormat="1">
      <c r="A56" s="346" t="s">
        <v>112</v>
      </c>
      <c r="B56" s="370">
        <v>7.2814963572285123</v>
      </c>
      <c r="C56" s="358">
        <v>7.4999999999999997E-2</v>
      </c>
      <c r="E56" s="444">
        <f>D91</f>
        <v>6.7353841304363735</v>
      </c>
      <c r="F56" s="444">
        <f>I91</f>
        <v>4.5611151124947495</v>
      </c>
    </row>
    <row r="57" spans="1:57" s="347" customFormat="1">
      <c r="A57" s="346" t="s">
        <v>113</v>
      </c>
      <c r="B57" s="370">
        <v>2.942480282604369</v>
      </c>
      <c r="C57" s="358">
        <v>0.4</v>
      </c>
      <c r="E57" s="444">
        <f>D95</f>
        <v>1.7654881695626214</v>
      </c>
      <c r="F57" s="444">
        <f>I95</f>
        <v>0.1372843600651894</v>
      </c>
    </row>
    <row r="58" spans="1:57" s="347" customFormat="1">
      <c r="A58" s="346" t="s">
        <v>114</v>
      </c>
      <c r="B58" s="370">
        <v>6.1896406004924707</v>
      </c>
      <c r="C58" s="358">
        <v>0.1764705882352941</v>
      </c>
      <c r="E58" s="445">
        <f>D99</f>
        <v>5.0973510827585056</v>
      </c>
      <c r="F58" s="445">
        <f>I99</f>
        <v>1.9308125738954773</v>
      </c>
    </row>
    <row r="59" spans="1:57" s="347" customFormat="1">
      <c r="A59" s="346"/>
      <c r="B59" s="359">
        <f>SUM(B49:B58)</f>
        <v>385.37867215963394</v>
      </c>
      <c r="C59" s="371"/>
      <c r="E59" s="359">
        <f>SUM(E49:E58)</f>
        <v>369.58965207360569</v>
      </c>
      <c r="F59" s="359">
        <f>SUM(F49:F58)</f>
        <v>307.89524839910962</v>
      </c>
    </row>
    <row r="60" spans="1:57" s="347" customFormat="1">
      <c r="C60" s="346"/>
    </row>
    <row r="61" spans="1:57" s="347" customFormat="1">
      <c r="A61" s="363" t="s">
        <v>132</v>
      </c>
      <c r="B61" s="364">
        <f>B$2</f>
        <v>2009</v>
      </c>
      <c r="C61" s="364">
        <f>C$2</f>
        <v>2010</v>
      </c>
      <c r="D61" s="364">
        <f t="shared" ref="D61:BE61" si="20">D$2</f>
        <v>2011</v>
      </c>
      <c r="E61" s="364">
        <f t="shared" si="20"/>
        <v>2012</v>
      </c>
      <c r="F61" s="364">
        <f t="shared" si="20"/>
        <v>2013</v>
      </c>
      <c r="G61" s="364">
        <f t="shared" si="20"/>
        <v>2014</v>
      </c>
      <c r="H61" s="364">
        <f t="shared" si="20"/>
        <v>2015</v>
      </c>
      <c r="I61" s="364">
        <f t="shared" si="20"/>
        <v>2016</v>
      </c>
      <c r="J61" s="364">
        <f t="shared" si="20"/>
        <v>2017</v>
      </c>
      <c r="K61" s="364">
        <f t="shared" si="20"/>
        <v>2018</v>
      </c>
      <c r="L61" s="364">
        <f t="shared" si="20"/>
        <v>2019</v>
      </c>
      <c r="M61" s="364">
        <f t="shared" si="20"/>
        <v>2020</v>
      </c>
      <c r="N61" s="364">
        <f t="shared" si="20"/>
        <v>2021</v>
      </c>
      <c r="O61" s="364">
        <f t="shared" si="20"/>
        <v>2022</v>
      </c>
      <c r="P61" s="364">
        <f t="shared" si="20"/>
        <v>2023</v>
      </c>
      <c r="Q61" s="364">
        <f t="shared" si="20"/>
        <v>2024</v>
      </c>
      <c r="R61" s="364">
        <f t="shared" si="20"/>
        <v>2025</v>
      </c>
      <c r="S61" s="364">
        <f t="shared" si="20"/>
        <v>2026</v>
      </c>
      <c r="T61" s="364">
        <f t="shared" si="20"/>
        <v>2027</v>
      </c>
      <c r="U61" s="364">
        <f t="shared" si="20"/>
        <v>2028</v>
      </c>
      <c r="V61" s="364">
        <f t="shared" si="20"/>
        <v>2029</v>
      </c>
      <c r="W61" s="364">
        <f t="shared" si="20"/>
        <v>2030</v>
      </c>
      <c r="X61" s="364">
        <f t="shared" si="20"/>
        <v>2031</v>
      </c>
      <c r="Y61" s="364">
        <f t="shared" si="20"/>
        <v>2032</v>
      </c>
      <c r="Z61" s="364">
        <f t="shared" si="20"/>
        <v>2033</v>
      </c>
      <c r="AA61" s="364">
        <f t="shared" si="20"/>
        <v>2034</v>
      </c>
      <c r="AB61" s="364">
        <f t="shared" si="20"/>
        <v>2035</v>
      </c>
      <c r="AC61" s="364">
        <f t="shared" si="20"/>
        <v>2036</v>
      </c>
      <c r="AD61" s="364">
        <f t="shared" si="20"/>
        <v>2037</v>
      </c>
      <c r="AE61" s="364">
        <f t="shared" si="20"/>
        <v>2038</v>
      </c>
      <c r="AF61" s="364">
        <f t="shared" si="20"/>
        <v>2039</v>
      </c>
      <c r="AG61" s="364">
        <f t="shared" si="20"/>
        <v>2040</v>
      </c>
      <c r="AH61" s="364">
        <f t="shared" si="20"/>
        <v>2041</v>
      </c>
      <c r="AI61" s="364">
        <f t="shared" si="20"/>
        <v>2042</v>
      </c>
      <c r="AJ61" s="364">
        <f t="shared" si="20"/>
        <v>2043</v>
      </c>
      <c r="AK61" s="364">
        <f t="shared" si="20"/>
        <v>2044</v>
      </c>
      <c r="AL61" s="364">
        <f t="shared" si="20"/>
        <v>2045</v>
      </c>
      <c r="AM61" s="364">
        <f t="shared" si="20"/>
        <v>2046</v>
      </c>
      <c r="AN61" s="364">
        <f t="shared" si="20"/>
        <v>2047</v>
      </c>
      <c r="AO61" s="364">
        <f t="shared" si="20"/>
        <v>2048</v>
      </c>
      <c r="AP61" s="364">
        <f t="shared" si="20"/>
        <v>2049</v>
      </c>
      <c r="AQ61" s="364">
        <f t="shared" si="20"/>
        <v>2050</v>
      </c>
      <c r="AR61" s="364">
        <f t="shared" si="20"/>
        <v>2051</v>
      </c>
      <c r="AS61" s="364">
        <f t="shared" si="20"/>
        <v>2052</v>
      </c>
      <c r="AT61" s="364">
        <f t="shared" si="20"/>
        <v>2053</v>
      </c>
      <c r="AU61" s="364">
        <f t="shared" si="20"/>
        <v>2054</v>
      </c>
      <c r="AV61" s="364">
        <f t="shared" si="20"/>
        <v>2055</v>
      </c>
      <c r="AW61" s="364">
        <f t="shared" si="20"/>
        <v>2056</v>
      </c>
      <c r="AX61" s="364">
        <f t="shared" si="20"/>
        <v>2057</v>
      </c>
      <c r="AY61" s="364">
        <f t="shared" si="20"/>
        <v>2058</v>
      </c>
      <c r="AZ61" s="364">
        <f t="shared" si="20"/>
        <v>2059</v>
      </c>
      <c r="BA61" s="364">
        <f t="shared" si="20"/>
        <v>2060</v>
      </c>
      <c r="BB61" s="364">
        <f t="shared" si="20"/>
        <v>2061</v>
      </c>
      <c r="BC61" s="364">
        <f t="shared" si="20"/>
        <v>2062</v>
      </c>
      <c r="BD61" s="364">
        <f t="shared" si="20"/>
        <v>2063</v>
      </c>
      <c r="BE61" s="364">
        <f t="shared" si="20"/>
        <v>2064</v>
      </c>
    </row>
    <row r="62" spans="1:57" s="347" customFormat="1" hidden="1" outlineLevel="1">
      <c r="A62" s="365" t="s">
        <v>139</v>
      </c>
      <c r="B62" s="365"/>
      <c r="C62" s="346"/>
    </row>
    <row r="63" spans="1:57" s="347" customFormat="1" hidden="1" outlineLevel="1">
      <c r="A63" s="347" t="s">
        <v>133</v>
      </c>
      <c r="C63" s="372">
        <f>B$49</f>
        <v>311.8141904152057</v>
      </c>
      <c r="D63" s="367">
        <f>C65</f>
        <v>302.45976470274951</v>
      </c>
      <c r="E63" s="367">
        <f>D65</f>
        <v>293.38597176166701</v>
      </c>
      <c r="F63" s="367">
        <f>E65</f>
        <v>284.58439260881698</v>
      </c>
      <c r="G63" s="367">
        <f>F65</f>
        <v>276.04686083055248</v>
      </c>
      <c r="H63" s="367">
        <f t="shared" ref="H63:BE63" si="21">G65</f>
        <v>267.76545500563589</v>
      </c>
      <c r="I63" s="367">
        <f t="shared" si="21"/>
        <v>259.73249135546683</v>
      </c>
      <c r="J63" s="367">
        <f t="shared" si="21"/>
        <v>251.94051661480282</v>
      </c>
      <c r="K63" s="367">
        <f t="shared" si="21"/>
        <v>244.38230111635875</v>
      </c>
      <c r="L63" s="367">
        <f t="shared" si="21"/>
        <v>237.050832082868</v>
      </c>
      <c r="M63" s="367">
        <f t="shared" si="21"/>
        <v>229.93930712038195</v>
      </c>
      <c r="N63" s="367">
        <f t="shared" si="21"/>
        <v>223.0411279067705</v>
      </c>
      <c r="O63" s="367">
        <f t="shared" si="21"/>
        <v>216.34989406956737</v>
      </c>
      <c r="P63" s="367">
        <f t="shared" si="21"/>
        <v>209.85939724748036</v>
      </c>
      <c r="Q63" s="367">
        <f t="shared" si="21"/>
        <v>203.56361533005594</v>
      </c>
      <c r="R63" s="367">
        <f t="shared" si="21"/>
        <v>197.45670687015425</v>
      </c>
      <c r="S63" s="367">
        <f t="shared" si="21"/>
        <v>191.53300566404963</v>
      </c>
      <c r="T63" s="367">
        <f t="shared" si="21"/>
        <v>185.78701549412813</v>
      </c>
      <c r="U63" s="367">
        <f t="shared" si="21"/>
        <v>180.21340502930428</v>
      </c>
      <c r="V63" s="367">
        <f t="shared" si="21"/>
        <v>174.80700287842515</v>
      </c>
      <c r="W63" s="367">
        <f t="shared" si="21"/>
        <v>169.5627927920724</v>
      </c>
      <c r="X63" s="367">
        <f t="shared" si="21"/>
        <v>164.47590900831023</v>
      </c>
      <c r="Y63" s="367">
        <f t="shared" si="21"/>
        <v>159.54163173806091</v>
      </c>
      <c r="Z63" s="367">
        <f t="shared" si="21"/>
        <v>154.7553827859191</v>
      </c>
      <c r="AA63" s="367">
        <f t="shared" si="21"/>
        <v>150.11272130234153</v>
      </c>
      <c r="AB63" s="367">
        <f t="shared" si="21"/>
        <v>145.60933966327127</v>
      </c>
      <c r="AC63" s="367">
        <f t="shared" si="21"/>
        <v>141.24105947337313</v>
      </c>
      <c r="AD63" s="367">
        <f t="shared" si="21"/>
        <v>137.00382768917194</v>
      </c>
      <c r="AE63" s="367">
        <f t="shared" si="21"/>
        <v>132.89371285849677</v>
      </c>
      <c r="AF63" s="367">
        <f t="shared" si="21"/>
        <v>128.90690147274188</v>
      </c>
      <c r="AG63" s="367">
        <f t="shared" si="21"/>
        <v>125.03969442855963</v>
      </c>
      <c r="AH63" s="367">
        <f t="shared" si="21"/>
        <v>121.28850359570284</v>
      </c>
      <c r="AI63" s="367">
        <f t="shared" si="21"/>
        <v>117.64984848783175</v>
      </c>
      <c r="AJ63" s="367">
        <f t="shared" si="21"/>
        <v>114.12035303319679</v>
      </c>
      <c r="AK63" s="367">
        <f t="shared" si="21"/>
        <v>110.69674244220089</v>
      </c>
      <c r="AL63" s="367">
        <f t="shared" si="21"/>
        <v>107.37584016893486</v>
      </c>
      <c r="AM63" s="367">
        <f t="shared" si="21"/>
        <v>104.15456496386682</v>
      </c>
      <c r="AN63" s="367">
        <f t="shared" si="21"/>
        <v>101.02992801495081</v>
      </c>
      <c r="AO63" s="367">
        <f t="shared" si="21"/>
        <v>97.999030174502295</v>
      </c>
      <c r="AP63" s="367">
        <f t="shared" si="21"/>
        <v>95.059059269267223</v>
      </c>
      <c r="AQ63" s="367">
        <f t="shared" si="21"/>
        <v>92.207287491189206</v>
      </c>
      <c r="AR63" s="367">
        <f t="shared" si="21"/>
        <v>89.441068866453534</v>
      </c>
      <c r="AS63" s="367">
        <f t="shared" si="21"/>
        <v>86.757836800459927</v>
      </c>
      <c r="AT63" s="367">
        <f t="shared" si="21"/>
        <v>84.155101696446124</v>
      </c>
      <c r="AU63" s="367">
        <f t="shared" si="21"/>
        <v>81.630448645552747</v>
      </c>
      <c r="AV63" s="367">
        <f t="shared" si="21"/>
        <v>79.181535186186167</v>
      </c>
      <c r="AW63" s="367">
        <f t="shared" si="21"/>
        <v>76.806089130600583</v>
      </c>
      <c r="AX63" s="367">
        <f t="shared" si="21"/>
        <v>74.501906456682562</v>
      </c>
      <c r="AY63" s="367">
        <f t="shared" si="21"/>
        <v>72.266849262982092</v>
      </c>
      <c r="AZ63" s="367">
        <f t="shared" si="21"/>
        <v>70.098843785092626</v>
      </c>
      <c r="BA63" s="367">
        <f t="shared" si="21"/>
        <v>67.995878471539854</v>
      </c>
      <c r="BB63" s="367">
        <f t="shared" si="21"/>
        <v>65.956002117393652</v>
      </c>
      <c r="BC63" s="367">
        <f t="shared" si="21"/>
        <v>63.977322053871845</v>
      </c>
      <c r="BD63" s="367">
        <f t="shared" si="21"/>
        <v>62.058002392255688</v>
      </c>
      <c r="BE63" s="367">
        <f t="shared" si="21"/>
        <v>60.196262320488017</v>
      </c>
    </row>
    <row r="64" spans="1:57" s="347" customFormat="1" hidden="1" outlineLevel="1">
      <c r="A64" s="347" t="s">
        <v>134</v>
      </c>
      <c r="C64" s="367">
        <f>$C$49*C63</f>
        <v>9.3544257124561714</v>
      </c>
      <c r="D64" s="367">
        <f>$C$49*D63</f>
        <v>9.0737929410824858</v>
      </c>
      <c r="E64" s="367">
        <f>$C$49*E63</f>
        <v>8.8015791528500102</v>
      </c>
      <c r="F64" s="367">
        <f>$C$49*F63</f>
        <v>8.5375317782645084</v>
      </c>
      <c r="G64" s="367">
        <f>$C$49*G63</f>
        <v>8.2814058249165736</v>
      </c>
      <c r="H64" s="367">
        <f t="shared" ref="H64:BE64" si="22">$C$49*H63</f>
        <v>8.0329636501690764</v>
      </c>
      <c r="I64" s="367">
        <f t="shared" si="22"/>
        <v>7.7919747406640045</v>
      </c>
      <c r="J64" s="367">
        <f t="shared" si="22"/>
        <v>7.5582154984440839</v>
      </c>
      <c r="K64" s="367">
        <f t="shared" si="22"/>
        <v>7.3314690334907624</v>
      </c>
      <c r="L64" s="367">
        <f t="shared" si="22"/>
        <v>7.1115249624860395</v>
      </c>
      <c r="M64" s="367">
        <f t="shared" si="22"/>
        <v>6.8981792136114581</v>
      </c>
      <c r="N64" s="367">
        <f t="shared" si="22"/>
        <v>6.6912338372031144</v>
      </c>
      <c r="O64" s="367">
        <f t="shared" si="22"/>
        <v>6.4904968220870209</v>
      </c>
      <c r="P64" s="367">
        <f t="shared" si="22"/>
        <v>6.295781917424411</v>
      </c>
      <c r="Q64" s="367">
        <f t="shared" si="22"/>
        <v>6.1069084599016783</v>
      </c>
      <c r="R64" s="367">
        <f t="shared" si="22"/>
        <v>5.923701206104627</v>
      </c>
      <c r="S64" s="367">
        <f t="shared" si="22"/>
        <v>5.7459901699214884</v>
      </c>
      <c r="T64" s="367">
        <f t="shared" si="22"/>
        <v>5.5736104648238438</v>
      </c>
      <c r="U64" s="367">
        <f t="shared" si="22"/>
        <v>5.4064021508791287</v>
      </c>
      <c r="V64" s="367">
        <f t="shared" si="22"/>
        <v>5.2442100863527541</v>
      </c>
      <c r="W64" s="367">
        <f t="shared" si="22"/>
        <v>5.0868837837621719</v>
      </c>
      <c r="X64" s="367">
        <f t="shared" si="22"/>
        <v>4.9342772702493063</v>
      </c>
      <c r="Y64" s="367">
        <f t="shared" si="22"/>
        <v>4.7862489521418272</v>
      </c>
      <c r="Z64" s="367">
        <f t="shared" si="22"/>
        <v>4.642661483577573</v>
      </c>
      <c r="AA64" s="367">
        <f t="shared" si="22"/>
        <v>4.5033816390702457</v>
      </c>
      <c r="AB64" s="367">
        <f t="shared" si="22"/>
        <v>4.3682801898981376</v>
      </c>
      <c r="AC64" s="367">
        <f t="shared" si="22"/>
        <v>4.2372317842011933</v>
      </c>
      <c r="AD64" s="367">
        <f t="shared" si="22"/>
        <v>4.1101148306751583</v>
      </c>
      <c r="AE64" s="367">
        <f t="shared" si="22"/>
        <v>3.986811385754903</v>
      </c>
      <c r="AF64" s="367">
        <f t="shared" si="22"/>
        <v>3.8672070441822561</v>
      </c>
      <c r="AG64" s="367">
        <f t="shared" si="22"/>
        <v>3.7511908328567887</v>
      </c>
      <c r="AH64" s="367">
        <f t="shared" si="22"/>
        <v>3.6386551078710849</v>
      </c>
      <c r="AI64" s="367">
        <f t="shared" si="22"/>
        <v>3.5294954546349522</v>
      </c>
      <c r="AJ64" s="367">
        <f t="shared" si="22"/>
        <v>3.4236105909959038</v>
      </c>
      <c r="AK64" s="367">
        <f t="shared" si="22"/>
        <v>3.3209022732660265</v>
      </c>
      <c r="AL64" s="367">
        <f t="shared" si="22"/>
        <v>3.2212752050680455</v>
      </c>
      <c r="AM64" s="367">
        <f t="shared" si="22"/>
        <v>3.1246369489160046</v>
      </c>
      <c r="AN64" s="367">
        <f t="shared" si="22"/>
        <v>3.0308978404485241</v>
      </c>
      <c r="AO64" s="367">
        <f t="shared" si="22"/>
        <v>2.9399709052350689</v>
      </c>
      <c r="AP64" s="367">
        <f t="shared" si="22"/>
        <v>2.8517717780780165</v>
      </c>
      <c r="AQ64" s="367">
        <f t="shared" si="22"/>
        <v>2.7662186247356759</v>
      </c>
      <c r="AR64" s="367">
        <f t="shared" si="22"/>
        <v>2.683232065993606</v>
      </c>
      <c r="AS64" s="367">
        <f t="shared" si="22"/>
        <v>2.6027351040137976</v>
      </c>
      <c r="AT64" s="367">
        <f t="shared" si="22"/>
        <v>2.5246530508933835</v>
      </c>
      <c r="AU64" s="367">
        <f t="shared" si="22"/>
        <v>2.4489134593665822</v>
      </c>
      <c r="AV64" s="367">
        <f t="shared" si="22"/>
        <v>2.3754460555855847</v>
      </c>
      <c r="AW64" s="367">
        <f t="shared" si="22"/>
        <v>2.3041826739180173</v>
      </c>
      <c r="AX64" s="367">
        <f t="shared" si="22"/>
        <v>2.2350571937004768</v>
      </c>
      <c r="AY64" s="367">
        <f t="shared" si="22"/>
        <v>2.1680054778894626</v>
      </c>
      <c r="AZ64" s="367">
        <f t="shared" si="22"/>
        <v>2.1029653135527786</v>
      </c>
      <c r="BA64" s="367">
        <f t="shared" si="22"/>
        <v>2.0398763541461955</v>
      </c>
      <c r="BB64" s="367">
        <f t="shared" si="22"/>
        <v>1.9786800635218096</v>
      </c>
      <c r="BC64" s="367">
        <f t="shared" si="22"/>
        <v>1.9193196616161552</v>
      </c>
      <c r="BD64" s="367">
        <f t="shared" si="22"/>
        <v>1.8617400717676706</v>
      </c>
      <c r="BE64" s="367">
        <f t="shared" si="22"/>
        <v>1.8058878696146405</v>
      </c>
    </row>
    <row r="65" spans="1:57" s="347" customFormat="1" hidden="1" outlineLevel="1">
      <c r="A65" s="347" t="s">
        <v>135</v>
      </c>
      <c r="B65" s="368">
        <f>C63</f>
        <v>311.8141904152057</v>
      </c>
      <c r="C65" s="368">
        <f>C63-C64</f>
        <v>302.45976470274951</v>
      </c>
      <c r="D65" s="368">
        <f>D63-D64</f>
        <v>293.38597176166701</v>
      </c>
      <c r="E65" s="368">
        <f>E63-E64</f>
        <v>284.58439260881698</v>
      </c>
      <c r="F65" s="368">
        <f>F63-F64</f>
        <v>276.04686083055248</v>
      </c>
      <c r="G65" s="368">
        <f>G63-G64</f>
        <v>267.76545500563589</v>
      </c>
      <c r="H65" s="368">
        <f t="shared" ref="H65:BE65" si="23">H63-H64</f>
        <v>259.73249135546683</v>
      </c>
      <c r="I65" s="368">
        <f t="shared" si="23"/>
        <v>251.94051661480282</v>
      </c>
      <c r="J65" s="368">
        <f t="shared" si="23"/>
        <v>244.38230111635875</v>
      </c>
      <c r="K65" s="368">
        <f t="shared" si="23"/>
        <v>237.050832082868</v>
      </c>
      <c r="L65" s="368">
        <f t="shared" si="23"/>
        <v>229.93930712038195</v>
      </c>
      <c r="M65" s="368">
        <f t="shared" si="23"/>
        <v>223.0411279067705</v>
      </c>
      <c r="N65" s="368">
        <f t="shared" si="23"/>
        <v>216.34989406956737</v>
      </c>
      <c r="O65" s="368">
        <f t="shared" si="23"/>
        <v>209.85939724748036</v>
      </c>
      <c r="P65" s="368">
        <f t="shared" si="23"/>
        <v>203.56361533005594</v>
      </c>
      <c r="Q65" s="368">
        <f t="shared" si="23"/>
        <v>197.45670687015425</v>
      </c>
      <c r="R65" s="368">
        <f t="shared" si="23"/>
        <v>191.53300566404963</v>
      </c>
      <c r="S65" s="368">
        <f t="shared" si="23"/>
        <v>185.78701549412813</v>
      </c>
      <c r="T65" s="368">
        <f t="shared" si="23"/>
        <v>180.21340502930428</v>
      </c>
      <c r="U65" s="368">
        <f t="shared" si="23"/>
        <v>174.80700287842515</v>
      </c>
      <c r="V65" s="368">
        <f t="shared" si="23"/>
        <v>169.5627927920724</v>
      </c>
      <c r="W65" s="368">
        <f t="shared" si="23"/>
        <v>164.47590900831023</v>
      </c>
      <c r="X65" s="368">
        <f t="shared" si="23"/>
        <v>159.54163173806091</v>
      </c>
      <c r="Y65" s="368">
        <f t="shared" si="23"/>
        <v>154.7553827859191</v>
      </c>
      <c r="Z65" s="368">
        <f t="shared" si="23"/>
        <v>150.11272130234153</v>
      </c>
      <c r="AA65" s="368">
        <f t="shared" si="23"/>
        <v>145.60933966327127</v>
      </c>
      <c r="AB65" s="368">
        <f t="shared" si="23"/>
        <v>141.24105947337313</v>
      </c>
      <c r="AC65" s="368">
        <f t="shared" si="23"/>
        <v>137.00382768917194</v>
      </c>
      <c r="AD65" s="368">
        <f t="shared" si="23"/>
        <v>132.89371285849677</v>
      </c>
      <c r="AE65" s="368">
        <f t="shared" si="23"/>
        <v>128.90690147274188</v>
      </c>
      <c r="AF65" s="368">
        <f t="shared" si="23"/>
        <v>125.03969442855963</v>
      </c>
      <c r="AG65" s="368">
        <f t="shared" si="23"/>
        <v>121.28850359570284</v>
      </c>
      <c r="AH65" s="368">
        <f t="shared" si="23"/>
        <v>117.64984848783175</v>
      </c>
      <c r="AI65" s="368">
        <f t="shared" si="23"/>
        <v>114.12035303319679</v>
      </c>
      <c r="AJ65" s="368">
        <f t="shared" si="23"/>
        <v>110.69674244220089</v>
      </c>
      <c r="AK65" s="368">
        <f t="shared" si="23"/>
        <v>107.37584016893486</v>
      </c>
      <c r="AL65" s="368">
        <f t="shared" si="23"/>
        <v>104.15456496386682</v>
      </c>
      <c r="AM65" s="368">
        <f t="shared" si="23"/>
        <v>101.02992801495081</v>
      </c>
      <c r="AN65" s="368">
        <f t="shared" si="23"/>
        <v>97.999030174502295</v>
      </c>
      <c r="AO65" s="368">
        <f t="shared" si="23"/>
        <v>95.059059269267223</v>
      </c>
      <c r="AP65" s="368">
        <f t="shared" si="23"/>
        <v>92.207287491189206</v>
      </c>
      <c r="AQ65" s="368">
        <f t="shared" si="23"/>
        <v>89.441068866453534</v>
      </c>
      <c r="AR65" s="368">
        <f t="shared" si="23"/>
        <v>86.757836800459927</v>
      </c>
      <c r="AS65" s="368">
        <f t="shared" si="23"/>
        <v>84.155101696446124</v>
      </c>
      <c r="AT65" s="368">
        <f t="shared" si="23"/>
        <v>81.630448645552747</v>
      </c>
      <c r="AU65" s="368">
        <f t="shared" si="23"/>
        <v>79.181535186186167</v>
      </c>
      <c r="AV65" s="368">
        <f t="shared" si="23"/>
        <v>76.806089130600583</v>
      </c>
      <c r="AW65" s="368">
        <f t="shared" si="23"/>
        <v>74.501906456682562</v>
      </c>
      <c r="AX65" s="368">
        <f t="shared" si="23"/>
        <v>72.266849262982092</v>
      </c>
      <c r="AY65" s="368">
        <f t="shared" si="23"/>
        <v>70.098843785092626</v>
      </c>
      <c r="AZ65" s="368">
        <f t="shared" si="23"/>
        <v>67.995878471539854</v>
      </c>
      <c r="BA65" s="368">
        <f t="shared" si="23"/>
        <v>65.956002117393652</v>
      </c>
      <c r="BB65" s="368">
        <f t="shared" si="23"/>
        <v>63.977322053871845</v>
      </c>
      <c r="BC65" s="368">
        <f t="shared" si="23"/>
        <v>62.058002392255688</v>
      </c>
      <c r="BD65" s="368">
        <f t="shared" si="23"/>
        <v>60.196262320488017</v>
      </c>
      <c r="BE65" s="368">
        <f t="shared" si="23"/>
        <v>58.390374450873374</v>
      </c>
    </row>
    <row r="66" spans="1:57" s="347" customFormat="1" hidden="1" outlineLevel="1">
      <c r="A66" s="365" t="s">
        <v>140</v>
      </c>
      <c r="B66" s="368"/>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row>
    <row r="67" spans="1:57" s="347" customFormat="1" hidden="1" outlineLevel="1">
      <c r="A67" s="347" t="s">
        <v>133</v>
      </c>
      <c r="B67" s="367"/>
      <c r="C67" s="372">
        <f>B$50</f>
        <v>0</v>
      </c>
      <c r="D67" s="367">
        <f>C69</f>
        <v>0</v>
      </c>
      <c r="E67" s="367">
        <f>D69</f>
        <v>0</v>
      </c>
      <c r="F67" s="367">
        <f>E69</f>
        <v>0</v>
      </c>
      <c r="G67" s="367">
        <f>F69</f>
        <v>0</v>
      </c>
      <c r="H67" s="367">
        <f t="shared" ref="H67:BE67" si="24">G69</f>
        <v>0</v>
      </c>
      <c r="I67" s="367">
        <f t="shared" si="24"/>
        <v>0</v>
      </c>
      <c r="J67" s="367">
        <f t="shared" si="24"/>
        <v>0</v>
      </c>
      <c r="K67" s="367">
        <f t="shared" si="24"/>
        <v>0</v>
      </c>
      <c r="L67" s="367">
        <f t="shared" si="24"/>
        <v>0</v>
      </c>
      <c r="M67" s="367">
        <f t="shared" si="24"/>
        <v>0</v>
      </c>
      <c r="N67" s="367">
        <f t="shared" si="24"/>
        <v>0</v>
      </c>
      <c r="O67" s="367">
        <f t="shared" si="24"/>
        <v>0</v>
      </c>
      <c r="P67" s="367">
        <f t="shared" si="24"/>
        <v>0</v>
      </c>
      <c r="Q67" s="367">
        <f t="shared" si="24"/>
        <v>0</v>
      </c>
      <c r="R67" s="367">
        <f t="shared" si="24"/>
        <v>0</v>
      </c>
      <c r="S67" s="367">
        <f t="shared" si="24"/>
        <v>0</v>
      </c>
      <c r="T67" s="367">
        <f t="shared" si="24"/>
        <v>0</v>
      </c>
      <c r="U67" s="367">
        <f t="shared" si="24"/>
        <v>0</v>
      </c>
      <c r="V67" s="367">
        <f t="shared" si="24"/>
        <v>0</v>
      </c>
      <c r="W67" s="367">
        <f t="shared" si="24"/>
        <v>0</v>
      </c>
      <c r="X67" s="367">
        <f t="shared" si="24"/>
        <v>0</v>
      </c>
      <c r="Y67" s="367">
        <f t="shared" si="24"/>
        <v>0</v>
      </c>
      <c r="Z67" s="367">
        <f t="shared" si="24"/>
        <v>0</v>
      </c>
      <c r="AA67" s="367">
        <f t="shared" si="24"/>
        <v>0</v>
      </c>
      <c r="AB67" s="367">
        <f t="shared" si="24"/>
        <v>0</v>
      </c>
      <c r="AC67" s="367">
        <f t="shared" si="24"/>
        <v>0</v>
      </c>
      <c r="AD67" s="367">
        <f t="shared" si="24"/>
        <v>0</v>
      </c>
      <c r="AE67" s="367">
        <f t="shared" si="24"/>
        <v>0</v>
      </c>
      <c r="AF67" s="367">
        <f t="shared" si="24"/>
        <v>0</v>
      </c>
      <c r="AG67" s="367">
        <f t="shared" si="24"/>
        <v>0</v>
      </c>
      <c r="AH67" s="367">
        <f t="shared" si="24"/>
        <v>0</v>
      </c>
      <c r="AI67" s="367">
        <f t="shared" si="24"/>
        <v>0</v>
      </c>
      <c r="AJ67" s="367">
        <f t="shared" si="24"/>
        <v>0</v>
      </c>
      <c r="AK67" s="367">
        <f t="shared" si="24"/>
        <v>0</v>
      </c>
      <c r="AL67" s="367">
        <f t="shared" si="24"/>
        <v>0</v>
      </c>
      <c r="AM67" s="367">
        <f t="shared" si="24"/>
        <v>0</v>
      </c>
      <c r="AN67" s="367">
        <f t="shared" si="24"/>
        <v>0</v>
      </c>
      <c r="AO67" s="367">
        <f t="shared" si="24"/>
        <v>0</v>
      </c>
      <c r="AP67" s="367">
        <f t="shared" si="24"/>
        <v>0</v>
      </c>
      <c r="AQ67" s="367">
        <f t="shared" si="24"/>
        <v>0</v>
      </c>
      <c r="AR67" s="367">
        <f t="shared" si="24"/>
        <v>0</v>
      </c>
      <c r="AS67" s="367">
        <f t="shared" si="24"/>
        <v>0</v>
      </c>
      <c r="AT67" s="367">
        <f t="shared" si="24"/>
        <v>0</v>
      </c>
      <c r="AU67" s="367">
        <f t="shared" si="24"/>
        <v>0</v>
      </c>
      <c r="AV67" s="367">
        <f t="shared" si="24"/>
        <v>0</v>
      </c>
      <c r="AW67" s="367">
        <f t="shared" si="24"/>
        <v>0</v>
      </c>
      <c r="AX67" s="367">
        <f t="shared" si="24"/>
        <v>0</v>
      </c>
      <c r="AY67" s="367">
        <f t="shared" si="24"/>
        <v>0</v>
      </c>
      <c r="AZ67" s="367">
        <f t="shared" si="24"/>
        <v>0</v>
      </c>
      <c r="BA67" s="367">
        <f t="shared" si="24"/>
        <v>0</v>
      </c>
      <c r="BB67" s="367">
        <f t="shared" si="24"/>
        <v>0</v>
      </c>
      <c r="BC67" s="367">
        <f t="shared" si="24"/>
        <v>0</v>
      </c>
      <c r="BD67" s="367">
        <f t="shared" si="24"/>
        <v>0</v>
      </c>
      <c r="BE67" s="367">
        <f t="shared" si="24"/>
        <v>0</v>
      </c>
    </row>
    <row r="68" spans="1:57" s="347" customFormat="1" hidden="1" outlineLevel="1">
      <c r="A68" s="347" t="s">
        <v>134</v>
      </c>
      <c r="C68" s="367">
        <f>$C$50*C67</f>
        <v>0</v>
      </c>
      <c r="D68" s="367">
        <f>$C$50*D67</f>
        <v>0</v>
      </c>
      <c r="E68" s="367">
        <f>$C$50*E67</f>
        <v>0</v>
      </c>
      <c r="F68" s="367">
        <f>$C$50*F67</f>
        <v>0</v>
      </c>
      <c r="G68" s="367">
        <f>$C$50*G67</f>
        <v>0</v>
      </c>
      <c r="H68" s="367">
        <f t="shared" ref="H68:BE68" si="25">$C$50*H67</f>
        <v>0</v>
      </c>
      <c r="I68" s="367">
        <f t="shared" si="25"/>
        <v>0</v>
      </c>
      <c r="J68" s="367">
        <f t="shared" si="25"/>
        <v>0</v>
      </c>
      <c r="K68" s="367">
        <f t="shared" si="25"/>
        <v>0</v>
      </c>
      <c r="L68" s="367">
        <f t="shared" si="25"/>
        <v>0</v>
      </c>
      <c r="M68" s="367">
        <f t="shared" si="25"/>
        <v>0</v>
      </c>
      <c r="N68" s="367">
        <f t="shared" si="25"/>
        <v>0</v>
      </c>
      <c r="O68" s="367">
        <f t="shared" si="25"/>
        <v>0</v>
      </c>
      <c r="P68" s="367">
        <f t="shared" si="25"/>
        <v>0</v>
      </c>
      <c r="Q68" s="367">
        <f t="shared" si="25"/>
        <v>0</v>
      </c>
      <c r="R68" s="367">
        <f t="shared" si="25"/>
        <v>0</v>
      </c>
      <c r="S68" s="367">
        <f t="shared" si="25"/>
        <v>0</v>
      </c>
      <c r="T68" s="367">
        <f t="shared" si="25"/>
        <v>0</v>
      </c>
      <c r="U68" s="367">
        <f t="shared" si="25"/>
        <v>0</v>
      </c>
      <c r="V68" s="367">
        <f t="shared" si="25"/>
        <v>0</v>
      </c>
      <c r="W68" s="367">
        <f t="shared" si="25"/>
        <v>0</v>
      </c>
      <c r="X68" s="367">
        <f t="shared" si="25"/>
        <v>0</v>
      </c>
      <c r="Y68" s="367">
        <f t="shared" si="25"/>
        <v>0</v>
      </c>
      <c r="Z68" s="367">
        <f t="shared" si="25"/>
        <v>0</v>
      </c>
      <c r="AA68" s="367">
        <f t="shared" si="25"/>
        <v>0</v>
      </c>
      <c r="AB68" s="367">
        <f t="shared" si="25"/>
        <v>0</v>
      </c>
      <c r="AC68" s="367">
        <f t="shared" si="25"/>
        <v>0</v>
      </c>
      <c r="AD68" s="367">
        <f t="shared" si="25"/>
        <v>0</v>
      </c>
      <c r="AE68" s="367">
        <f t="shared" si="25"/>
        <v>0</v>
      </c>
      <c r="AF68" s="367">
        <f t="shared" si="25"/>
        <v>0</v>
      </c>
      <c r="AG68" s="367">
        <f t="shared" si="25"/>
        <v>0</v>
      </c>
      <c r="AH68" s="367">
        <f t="shared" si="25"/>
        <v>0</v>
      </c>
      <c r="AI68" s="367">
        <f t="shared" si="25"/>
        <v>0</v>
      </c>
      <c r="AJ68" s="367">
        <f t="shared" si="25"/>
        <v>0</v>
      </c>
      <c r="AK68" s="367">
        <f t="shared" si="25"/>
        <v>0</v>
      </c>
      <c r="AL68" s="367">
        <f t="shared" si="25"/>
        <v>0</v>
      </c>
      <c r="AM68" s="367">
        <f t="shared" si="25"/>
        <v>0</v>
      </c>
      <c r="AN68" s="367">
        <f t="shared" si="25"/>
        <v>0</v>
      </c>
      <c r="AO68" s="367">
        <f t="shared" si="25"/>
        <v>0</v>
      </c>
      <c r="AP68" s="367">
        <f t="shared" si="25"/>
        <v>0</v>
      </c>
      <c r="AQ68" s="367">
        <f t="shared" si="25"/>
        <v>0</v>
      </c>
      <c r="AR68" s="367">
        <f t="shared" si="25"/>
        <v>0</v>
      </c>
      <c r="AS68" s="367">
        <f t="shared" si="25"/>
        <v>0</v>
      </c>
      <c r="AT68" s="367">
        <f t="shared" si="25"/>
        <v>0</v>
      </c>
      <c r="AU68" s="367">
        <f t="shared" si="25"/>
        <v>0</v>
      </c>
      <c r="AV68" s="367">
        <f t="shared" si="25"/>
        <v>0</v>
      </c>
      <c r="AW68" s="367">
        <f t="shared" si="25"/>
        <v>0</v>
      </c>
      <c r="AX68" s="367">
        <f t="shared" si="25"/>
        <v>0</v>
      </c>
      <c r="AY68" s="367">
        <f t="shared" si="25"/>
        <v>0</v>
      </c>
      <c r="AZ68" s="367">
        <f t="shared" si="25"/>
        <v>0</v>
      </c>
      <c r="BA68" s="367">
        <f t="shared" si="25"/>
        <v>0</v>
      </c>
      <c r="BB68" s="367">
        <f t="shared" si="25"/>
        <v>0</v>
      </c>
      <c r="BC68" s="367">
        <f t="shared" si="25"/>
        <v>0</v>
      </c>
      <c r="BD68" s="367">
        <f t="shared" si="25"/>
        <v>0</v>
      </c>
      <c r="BE68" s="367">
        <f t="shared" si="25"/>
        <v>0</v>
      </c>
    </row>
    <row r="69" spans="1:57" s="347" customFormat="1" hidden="1" outlineLevel="1">
      <c r="A69" s="347" t="s">
        <v>135</v>
      </c>
      <c r="B69" s="368">
        <f>C67</f>
        <v>0</v>
      </c>
      <c r="C69" s="368">
        <f>C67-C68</f>
        <v>0</v>
      </c>
      <c r="D69" s="368">
        <f>D67-D68</f>
        <v>0</v>
      </c>
      <c r="E69" s="368">
        <f>E67-E68</f>
        <v>0</v>
      </c>
      <c r="F69" s="368">
        <f>F67-F68</f>
        <v>0</v>
      </c>
      <c r="G69" s="368">
        <f>G67-G68</f>
        <v>0</v>
      </c>
      <c r="H69" s="368">
        <f t="shared" ref="H69:BE69" si="26">H67-H68</f>
        <v>0</v>
      </c>
      <c r="I69" s="368">
        <f t="shared" si="26"/>
        <v>0</v>
      </c>
      <c r="J69" s="368">
        <f t="shared" si="26"/>
        <v>0</v>
      </c>
      <c r="K69" s="368">
        <f t="shared" si="26"/>
        <v>0</v>
      </c>
      <c r="L69" s="368">
        <f t="shared" si="26"/>
        <v>0</v>
      </c>
      <c r="M69" s="368">
        <f t="shared" si="26"/>
        <v>0</v>
      </c>
      <c r="N69" s="368">
        <f t="shared" si="26"/>
        <v>0</v>
      </c>
      <c r="O69" s="368">
        <f t="shared" si="26"/>
        <v>0</v>
      </c>
      <c r="P69" s="368">
        <f t="shared" si="26"/>
        <v>0</v>
      </c>
      <c r="Q69" s="368">
        <f t="shared" si="26"/>
        <v>0</v>
      </c>
      <c r="R69" s="368">
        <f t="shared" si="26"/>
        <v>0</v>
      </c>
      <c r="S69" s="368">
        <f t="shared" si="26"/>
        <v>0</v>
      </c>
      <c r="T69" s="368">
        <f t="shared" si="26"/>
        <v>0</v>
      </c>
      <c r="U69" s="368">
        <f t="shared" si="26"/>
        <v>0</v>
      </c>
      <c r="V69" s="368">
        <f t="shared" si="26"/>
        <v>0</v>
      </c>
      <c r="W69" s="368">
        <f t="shared" si="26"/>
        <v>0</v>
      </c>
      <c r="X69" s="368">
        <f t="shared" si="26"/>
        <v>0</v>
      </c>
      <c r="Y69" s="368">
        <f t="shared" si="26"/>
        <v>0</v>
      </c>
      <c r="Z69" s="368">
        <f t="shared" si="26"/>
        <v>0</v>
      </c>
      <c r="AA69" s="368">
        <f t="shared" si="26"/>
        <v>0</v>
      </c>
      <c r="AB69" s="368">
        <f t="shared" si="26"/>
        <v>0</v>
      </c>
      <c r="AC69" s="368">
        <f t="shared" si="26"/>
        <v>0</v>
      </c>
      <c r="AD69" s="368">
        <f t="shared" si="26"/>
        <v>0</v>
      </c>
      <c r="AE69" s="368">
        <f t="shared" si="26"/>
        <v>0</v>
      </c>
      <c r="AF69" s="368">
        <f t="shared" si="26"/>
        <v>0</v>
      </c>
      <c r="AG69" s="368">
        <f t="shared" si="26"/>
        <v>0</v>
      </c>
      <c r="AH69" s="368">
        <f t="shared" si="26"/>
        <v>0</v>
      </c>
      <c r="AI69" s="368">
        <f t="shared" si="26"/>
        <v>0</v>
      </c>
      <c r="AJ69" s="368">
        <f t="shared" si="26"/>
        <v>0</v>
      </c>
      <c r="AK69" s="368">
        <f t="shared" si="26"/>
        <v>0</v>
      </c>
      <c r="AL69" s="368">
        <f t="shared" si="26"/>
        <v>0</v>
      </c>
      <c r="AM69" s="368">
        <f t="shared" si="26"/>
        <v>0</v>
      </c>
      <c r="AN69" s="368">
        <f t="shared" si="26"/>
        <v>0</v>
      </c>
      <c r="AO69" s="368">
        <f t="shared" si="26"/>
        <v>0</v>
      </c>
      <c r="AP69" s="368">
        <f t="shared" si="26"/>
        <v>0</v>
      </c>
      <c r="AQ69" s="368">
        <f t="shared" si="26"/>
        <v>0</v>
      </c>
      <c r="AR69" s="368">
        <f t="shared" si="26"/>
        <v>0</v>
      </c>
      <c r="AS69" s="368">
        <f t="shared" si="26"/>
        <v>0</v>
      </c>
      <c r="AT69" s="368">
        <f t="shared" si="26"/>
        <v>0</v>
      </c>
      <c r="AU69" s="368">
        <f t="shared" si="26"/>
        <v>0</v>
      </c>
      <c r="AV69" s="368">
        <f t="shared" si="26"/>
        <v>0</v>
      </c>
      <c r="AW69" s="368">
        <f t="shared" si="26"/>
        <v>0</v>
      </c>
      <c r="AX69" s="368">
        <f t="shared" si="26"/>
        <v>0</v>
      </c>
      <c r="AY69" s="368">
        <f t="shared" si="26"/>
        <v>0</v>
      </c>
      <c r="AZ69" s="368">
        <f t="shared" si="26"/>
        <v>0</v>
      </c>
      <c r="BA69" s="368">
        <f t="shared" si="26"/>
        <v>0</v>
      </c>
      <c r="BB69" s="368">
        <f t="shared" si="26"/>
        <v>0</v>
      </c>
      <c r="BC69" s="368">
        <f t="shared" si="26"/>
        <v>0</v>
      </c>
      <c r="BD69" s="368">
        <f t="shared" si="26"/>
        <v>0</v>
      </c>
      <c r="BE69" s="368">
        <f t="shared" si="26"/>
        <v>0</v>
      </c>
    </row>
    <row r="70" spans="1:57" s="347" customFormat="1" hidden="1" outlineLevel="1">
      <c r="A70" s="365" t="s">
        <v>141</v>
      </c>
      <c r="B70" s="368"/>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row>
    <row r="71" spans="1:57" s="347" customFormat="1" hidden="1" outlineLevel="1">
      <c r="A71" s="347" t="s">
        <v>133</v>
      </c>
      <c r="B71" s="367"/>
      <c r="C71" s="372">
        <f>B$51</f>
        <v>15.393985730139292</v>
      </c>
      <c r="D71" s="367">
        <f>C73</f>
        <v>14.239436800378845</v>
      </c>
      <c r="E71" s="367">
        <f>D73</f>
        <v>13.171479040350432</v>
      </c>
      <c r="F71" s="367">
        <f>E73</f>
        <v>12.183618112324149</v>
      </c>
      <c r="G71" s="367">
        <f>F73</f>
        <v>11.269846753899838</v>
      </c>
      <c r="H71" s="367">
        <f t="shared" ref="H71:BE71" si="27">G73</f>
        <v>10.42460824735735</v>
      </c>
      <c r="I71" s="367">
        <f t="shared" si="27"/>
        <v>9.6427626288055492</v>
      </c>
      <c r="J71" s="367">
        <f t="shared" si="27"/>
        <v>8.9195554316451329</v>
      </c>
      <c r="K71" s="367">
        <f t="shared" si="27"/>
        <v>8.2505887742717476</v>
      </c>
      <c r="L71" s="367">
        <f t="shared" si="27"/>
        <v>7.6317946162013666</v>
      </c>
      <c r="M71" s="367">
        <f t="shared" si="27"/>
        <v>7.0594100199862639</v>
      </c>
      <c r="N71" s="367">
        <f t="shared" si="27"/>
        <v>6.5299542684872947</v>
      </c>
      <c r="O71" s="367">
        <f t="shared" si="27"/>
        <v>6.0402076983507476</v>
      </c>
      <c r="P71" s="367">
        <f t="shared" si="27"/>
        <v>5.5871921209744411</v>
      </c>
      <c r="Q71" s="367">
        <f t="shared" si="27"/>
        <v>5.1681527119013584</v>
      </c>
      <c r="R71" s="367">
        <f t="shared" si="27"/>
        <v>4.7805412585087561</v>
      </c>
      <c r="S71" s="367">
        <f t="shared" si="27"/>
        <v>4.4220006641205991</v>
      </c>
      <c r="T71" s="367">
        <f t="shared" si="27"/>
        <v>4.0903506143115544</v>
      </c>
      <c r="U71" s="367">
        <f t="shared" si="27"/>
        <v>3.783574318238188</v>
      </c>
      <c r="V71" s="367">
        <f t="shared" si="27"/>
        <v>3.4998062443703239</v>
      </c>
      <c r="W71" s="367">
        <f t="shared" si="27"/>
        <v>3.2373207760425498</v>
      </c>
      <c r="X71" s="367">
        <f t="shared" si="27"/>
        <v>2.9945217178393584</v>
      </c>
      <c r="Y71" s="367">
        <f t="shared" si="27"/>
        <v>2.7699325890014066</v>
      </c>
      <c r="Z71" s="367">
        <f t="shared" si="27"/>
        <v>2.562187644826301</v>
      </c>
      <c r="AA71" s="367">
        <f t="shared" si="27"/>
        <v>2.3700235714643285</v>
      </c>
      <c r="AB71" s="367">
        <f t="shared" si="27"/>
        <v>2.1922718036045037</v>
      </c>
      <c r="AC71" s="367">
        <f t="shared" si="27"/>
        <v>2.027851418334166</v>
      </c>
      <c r="AD71" s="367">
        <f t="shared" si="27"/>
        <v>1.8757625619591036</v>
      </c>
      <c r="AE71" s="367">
        <f t="shared" si="27"/>
        <v>1.7350803698121708</v>
      </c>
      <c r="AF71" s="367">
        <f t="shared" si="27"/>
        <v>1.6049493420762579</v>
      </c>
      <c r="AG71" s="367">
        <f t="shared" si="27"/>
        <v>1.4845781414205386</v>
      </c>
      <c r="AH71" s="367">
        <f t="shared" si="27"/>
        <v>1.3732347808139982</v>
      </c>
      <c r="AI71" s="367">
        <f t="shared" si="27"/>
        <v>1.2702421722529484</v>
      </c>
      <c r="AJ71" s="367">
        <f t="shared" si="27"/>
        <v>1.1749740093339773</v>
      </c>
      <c r="AK71" s="367">
        <f t="shared" si="27"/>
        <v>1.086850958633929</v>
      </c>
      <c r="AL71" s="367">
        <f t="shared" si="27"/>
        <v>1.0053371367363844</v>
      </c>
      <c r="AM71" s="367">
        <f t="shared" si="27"/>
        <v>0.92993685148115557</v>
      </c>
      <c r="AN71" s="367">
        <f t="shared" si="27"/>
        <v>0.86019158762006886</v>
      </c>
      <c r="AO71" s="367">
        <f t="shared" si="27"/>
        <v>0.79567721854856366</v>
      </c>
      <c r="AP71" s="367">
        <f t="shared" si="27"/>
        <v>0.73600142715742134</v>
      </c>
      <c r="AQ71" s="367">
        <f t="shared" si="27"/>
        <v>0.68080132012061478</v>
      </c>
      <c r="AR71" s="367">
        <f t="shared" si="27"/>
        <v>0.62974122111156872</v>
      </c>
      <c r="AS71" s="367">
        <f t="shared" si="27"/>
        <v>0.5825106295282011</v>
      </c>
      <c r="AT71" s="367">
        <f t="shared" si="27"/>
        <v>0.53882233231358601</v>
      </c>
      <c r="AU71" s="367">
        <f t="shared" si="27"/>
        <v>0.49841065739006707</v>
      </c>
      <c r="AV71" s="367">
        <f t="shared" si="27"/>
        <v>0.46102985808581204</v>
      </c>
      <c r="AW71" s="367">
        <f t="shared" si="27"/>
        <v>0.42645261872937612</v>
      </c>
      <c r="AX71" s="367">
        <f t="shared" si="27"/>
        <v>0.39446867232467292</v>
      </c>
      <c r="AY71" s="367">
        <f t="shared" si="27"/>
        <v>0.36488352190032247</v>
      </c>
      <c r="AZ71" s="367">
        <f t="shared" si="27"/>
        <v>0.33751725775779828</v>
      </c>
      <c r="BA71" s="367">
        <f t="shared" si="27"/>
        <v>0.31220346342596339</v>
      </c>
      <c r="BB71" s="367">
        <f t="shared" si="27"/>
        <v>0.28878820366901614</v>
      </c>
      <c r="BC71" s="367">
        <f t="shared" si="27"/>
        <v>0.26712908839383992</v>
      </c>
      <c r="BD71" s="367">
        <f t="shared" si="27"/>
        <v>0.24709440676430192</v>
      </c>
      <c r="BE71" s="367">
        <f t="shared" si="27"/>
        <v>0.22856232625697928</v>
      </c>
    </row>
    <row r="72" spans="1:57" s="347" customFormat="1" hidden="1" outlineLevel="1">
      <c r="A72" s="347" t="s">
        <v>134</v>
      </c>
      <c r="C72" s="367">
        <f>$C$51*C71</f>
        <v>1.1545489297604468</v>
      </c>
      <c r="D72" s="367">
        <f>$C$51*D71</f>
        <v>1.0679577600284134</v>
      </c>
      <c r="E72" s="367">
        <f>$C$51*E71</f>
        <v>0.98786092802628234</v>
      </c>
      <c r="F72" s="367">
        <f>$C$51*F71</f>
        <v>0.91377135842431112</v>
      </c>
      <c r="G72" s="367">
        <f>$C$51*G71</f>
        <v>0.84523850654248778</v>
      </c>
      <c r="H72" s="367">
        <f t="shared" ref="H72:BE72" si="28">$C$51*H71</f>
        <v>0.78184561855180124</v>
      </c>
      <c r="I72" s="367">
        <f t="shared" si="28"/>
        <v>0.72320719716041615</v>
      </c>
      <c r="J72" s="367">
        <f t="shared" si="28"/>
        <v>0.6689666573733849</v>
      </c>
      <c r="K72" s="367">
        <f t="shared" si="28"/>
        <v>0.61879415807038107</v>
      </c>
      <c r="L72" s="367">
        <f t="shared" si="28"/>
        <v>0.57238459621510251</v>
      </c>
      <c r="M72" s="367">
        <f t="shared" si="28"/>
        <v>0.52945575149896973</v>
      </c>
      <c r="N72" s="367">
        <f t="shared" si="28"/>
        <v>0.4897465701365471</v>
      </c>
      <c r="O72" s="367">
        <f t="shared" si="28"/>
        <v>0.45301557737630604</v>
      </c>
      <c r="P72" s="367">
        <f t="shared" si="28"/>
        <v>0.41903940907308307</v>
      </c>
      <c r="Q72" s="367">
        <f t="shared" si="28"/>
        <v>0.38761145339260189</v>
      </c>
      <c r="R72" s="367">
        <f t="shared" si="28"/>
        <v>0.35854059438815672</v>
      </c>
      <c r="S72" s="367">
        <f t="shared" si="28"/>
        <v>0.33165004980904494</v>
      </c>
      <c r="T72" s="367">
        <f t="shared" si="28"/>
        <v>0.30677629607336659</v>
      </c>
      <c r="U72" s="367">
        <f t="shared" si="28"/>
        <v>0.28376807386786407</v>
      </c>
      <c r="V72" s="367">
        <f t="shared" si="28"/>
        <v>0.26248546832777431</v>
      </c>
      <c r="W72" s="367">
        <f t="shared" si="28"/>
        <v>0.24279905820319123</v>
      </c>
      <c r="X72" s="367">
        <f t="shared" si="28"/>
        <v>0.22458912883795187</v>
      </c>
      <c r="Y72" s="367">
        <f t="shared" si="28"/>
        <v>0.2077449441751055</v>
      </c>
      <c r="Z72" s="367">
        <f t="shared" si="28"/>
        <v>0.19216407336197258</v>
      </c>
      <c r="AA72" s="367">
        <f t="shared" si="28"/>
        <v>0.17775176785982463</v>
      </c>
      <c r="AB72" s="367">
        <f t="shared" si="28"/>
        <v>0.16442038527033778</v>
      </c>
      <c r="AC72" s="367">
        <f t="shared" si="28"/>
        <v>0.15208885637506245</v>
      </c>
      <c r="AD72" s="367">
        <f t="shared" si="28"/>
        <v>0.14068219214693276</v>
      </c>
      <c r="AE72" s="367">
        <f t="shared" si="28"/>
        <v>0.13013102773591281</v>
      </c>
      <c r="AF72" s="367">
        <f t="shared" si="28"/>
        <v>0.12037120065571934</v>
      </c>
      <c r="AG72" s="367">
        <f t="shared" si="28"/>
        <v>0.11134336060654039</v>
      </c>
      <c r="AH72" s="367">
        <f t="shared" si="28"/>
        <v>0.10299260856104986</v>
      </c>
      <c r="AI72" s="367">
        <f t="shared" si="28"/>
        <v>9.5268162918971125E-2</v>
      </c>
      <c r="AJ72" s="367">
        <f t="shared" si="28"/>
        <v>8.8123050700048292E-2</v>
      </c>
      <c r="AK72" s="367">
        <f t="shared" si="28"/>
        <v>8.1513821897544678E-2</v>
      </c>
      <c r="AL72" s="367">
        <f t="shared" si="28"/>
        <v>7.5400285255228822E-2</v>
      </c>
      <c r="AM72" s="367">
        <f t="shared" si="28"/>
        <v>6.9745263861086662E-2</v>
      </c>
      <c r="AN72" s="367">
        <f t="shared" si="28"/>
        <v>6.4514369071505165E-2</v>
      </c>
      <c r="AO72" s="367">
        <f t="shared" si="28"/>
        <v>5.967579139114227E-2</v>
      </c>
      <c r="AP72" s="367">
        <f t="shared" si="28"/>
        <v>5.5200107036806598E-2</v>
      </c>
      <c r="AQ72" s="367">
        <f t="shared" si="28"/>
        <v>5.1060099009046109E-2</v>
      </c>
      <c r="AR72" s="367">
        <f t="shared" si="28"/>
        <v>4.7230591583367655E-2</v>
      </c>
      <c r="AS72" s="367">
        <f t="shared" si="28"/>
        <v>4.3688297214615084E-2</v>
      </c>
      <c r="AT72" s="367">
        <f t="shared" si="28"/>
        <v>4.041167492351895E-2</v>
      </c>
      <c r="AU72" s="367">
        <f t="shared" si="28"/>
        <v>3.738079930425503E-2</v>
      </c>
      <c r="AV72" s="367">
        <f t="shared" si="28"/>
        <v>3.4577239356435904E-2</v>
      </c>
      <c r="AW72" s="367">
        <f t="shared" si="28"/>
        <v>3.1983946404703208E-2</v>
      </c>
      <c r="AX72" s="367">
        <f t="shared" si="28"/>
        <v>2.9585150424350469E-2</v>
      </c>
      <c r="AY72" s="367">
        <f t="shared" si="28"/>
        <v>2.7366264142524185E-2</v>
      </c>
      <c r="AZ72" s="367">
        <f t="shared" si="28"/>
        <v>2.5313794331834869E-2</v>
      </c>
      <c r="BA72" s="367">
        <f t="shared" si="28"/>
        <v>2.3415259756947252E-2</v>
      </c>
      <c r="BB72" s="367">
        <f t="shared" si="28"/>
        <v>2.1659115275176211E-2</v>
      </c>
      <c r="BC72" s="367">
        <f t="shared" si="28"/>
        <v>2.0034681629537993E-2</v>
      </c>
      <c r="BD72" s="367">
        <f t="shared" si="28"/>
        <v>1.8532080507322642E-2</v>
      </c>
      <c r="BE72" s="367">
        <f t="shared" si="28"/>
        <v>1.7142174469273446E-2</v>
      </c>
    </row>
    <row r="73" spans="1:57" s="347" customFormat="1" hidden="1" outlineLevel="1">
      <c r="A73" s="347" t="s">
        <v>135</v>
      </c>
      <c r="B73" s="368">
        <f>C71</f>
        <v>15.393985730139292</v>
      </c>
      <c r="C73" s="368">
        <f>C71-C72</f>
        <v>14.239436800378845</v>
      </c>
      <c r="D73" s="368">
        <f>D71-D72</f>
        <v>13.171479040350432</v>
      </c>
      <c r="E73" s="368">
        <f>E71-E72</f>
        <v>12.183618112324149</v>
      </c>
      <c r="F73" s="368">
        <f>F71-F72</f>
        <v>11.269846753899838</v>
      </c>
      <c r="G73" s="368">
        <f>G71-G72</f>
        <v>10.42460824735735</v>
      </c>
      <c r="H73" s="368">
        <f t="shared" ref="H73:BE73" si="29">H71-H72</f>
        <v>9.6427626288055492</v>
      </c>
      <c r="I73" s="368">
        <f t="shared" si="29"/>
        <v>8.9195554316451329</v>
      </c>
      <c r="J73" s="368">
        <f t="shared" si="29"/>
        <v>8.2505887742717476</v>
      </c>
      <c r="K73" s="368">
        <f t="shared" si="29"/>
        <v>7.6317946162013666</v>
      </c>
      <c r="L73" s="368">
        <f t="shared" si="29"/>
        <v>7.0594100199862639</v>
      </c>
      <c r="M73" s="368">
        <f t="shared" si="29"/>
        <v>6.5299542684872947</v>
      </c>
      <c r="N73" s="368">
        <f t="shared" si="29"/>
        <v>6.0402076983507476</v>
      </c>
      <c r="O73" s="368">
        <f t="shared" si="29"/>
        <v>5.5871921209744411</v>
      </c>
      <c r="P73" s="368">
        <f t="shared" si="29"/>
        <v>5.1681527119013584</v>
      </c>
      <c r="Q73" s="368">
        <f t="shared" si="29"/>
        <v>4.7805412585087561</v>
      </c>
      <c r="R73" s="368">
        <f t="shared" si="29"/>
        <v>4.4220006641205991</v>
      </c>
      <c r="S73" s="368">
        <f t="shared" si="29"/>
        <v>4.0903506143115544</v>
      </c>
      <c r="T73" s="368">
        <f t="shared" si="29"/>
        <v>3.783574318238188</v>
      </c>
      <c r="U73" s="368">
        <f t="shared" si="29"/>
        <v>3.4998062443703239</v>
      </c>
      <c r="V73" s="368">
        <f t="shared" si="29"/>
        <v>3.2373207760425498</v>
      </c>
      <c r="W73" s="368">
        <f t="shared" si="29"/>
        <v>2.9945217178393584</v>
      </c>
      <c r="X73" s="368">
        <f t="shared" si="29"/>
        <v>2.7699325890014066</v>
      </c>
      <c r="Y73" s="368">
        <f t="shared" si="29"/>
        <v>2.562187644826301</v>
      </c>
      <c r="Z73" s="368">
        <f t="shared" si="29"/>
        <v>2.3700235714643285</v>
      </c>
      <c r="AA73" s="368">
        <f t="shared" si="29"/>
        <v>2.1922718036045037</v>
      </c>
      <c r="AB73" s="368">
        <f t="shared" si="29"/>
        <v>2.027851418334166</v>
      </c>
      <c r="AC73" s="368">
        <f t="shared" si="29"/>
        <v>1.8757625619591036</v>
      </c>
      <c r="AD73" s="368">
        <f t="shared" si="29"/>
        <v>1.7350803698121708</v>
      </c>
      <c r="AE73" s="368">
        <f t="shared" si="29"/>
        <v>1.6049493420762579</v>
      </c>
      <c r="AF73" s="368">
        <f t="shared" si="29"/>
        <v>1.4845781414205386</v>
      </c>
      <c r="AG73" s="368">
        <f t="shared" si="29"/>
        <v>1.3732347808139982</v>
      </c>
      <c r="AH73" s="368">
        <f t="shared" si="29"/>
        <v>1.2702421722529484</v>
      </c>
      <c r="AI73" s="368">
        <f t="shared" si="29"/>
        <v>1.1749740093339773</v>
      </c>
      <c r="AJ73" s="368">
        <f t="shared" si="29"/>
        <v>1.086850958633929</v>
      </c>
      <c r="AK73" s="368">
        <f t="shared" si="29"/>
        <v>1.0053371367363844</v>
      </c>
      <c r="AL73" s="368">
        <f t="shared" si="29"/>
        <v>0.92993685148115557</v>
      </c>
      <c r="AM73" s="368">
        <f t="shared" si="29"/>
        <v>0.86019158762006886</v>
      </c>
      <c r="AN73" s="368">
        <f t="shared" si="29"/>
        <v>0.79567721854856366</v>
      </c>
      <c r="AO73" s="368">
        <f t="shared" si="29"/>
        <v>0.73600142715742134</v>
      </c>
      <c r="AP73" s="368">
        <f t="shared" si="29"/>
        <v>0.68080132012061478</v>
      </c>
      <c r="AQ73" s="368">
        <f t="shared" si="29"/>
        <v>0.62974122111156872</v>
      </c>
      <c r="AR73" s="368">
        <f t="shared" si="29"/>
        <v>0.5825106295282011</v>
      </c>
      <c r="AS73" s="368">
        <f t="shared" si="29"/>
        <v>0.53882233231358601</v>
      </c>
      <c r="AT73" s="368">
        <f t="shared" si="29"/>
        <v>0.49841065739006707</v>
      </c>
      <c r="AU73" s="368">
        <f t="shared" si="29"/>
        <v>0.46102985808581204</v>
      </c>
      <c r="AV73" s="368">
        <f t="shared" si="29"/>
        <v>0.42645261872937612</v>
      </c>
      <c r="AW73" s="368">
        <f t="shared" si="29"/>
        <v>0.39446867232467292</v>
      </c>
      <c r="AX73" s="368">
        <f t="shared" si="29"/>
        <v>0.36488352190032247</v>
      </c>
      <c r="AY73" s="368">
        <f t="shared" si="29"/>
        <v>0.33751725775779828</v>
      </c>
      <c r="AZ73" s="368">
        <f t="shared" si="29"/>
        <v>0.31220346342596339</v>
      </c>
      <c r="BA73" s="368">
        <f t="shared" si="29"/>
        <v>0.28878820366901614</v>
      </c>
      <c r="BB73" s="368">
        <f t="shared" si="29"/>
        <v>0.26712908839383992</v>
      </c>
      <c r="BC73" s="368">
        <f t="shared" si="29"/>
        <v>0.24709440676430192</v>
      </c>
      <c r="BD73" s="368">
        <f t="shared" si="29"/>
        <v>0.22856232625697928</v>
      </c>
      <c r="BE73" s="368">
        <f t="shared" si="29"/>
        <v>0.21142015178770585</v>
      </c>
    </row>
    <row r="74" spans="1:57" s="347" customFormat="1" hidden="1" outlineLevel="1">
      <c r="A74" s="365" t="s">
        <v>142</v>
      </c>
      <c r="B74" s="368"/>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row>
    <row r="75" spans="1:57" s="347" customFormat="1" hidden="1" outlineLevel="1">
      <c r="A75" s="347" t="s">
        <v>133</v>
      </c>
      <c r="B75" s="367"/>
      <c r="C75" s="372">
        <f>B$52</f>
        <v>36.806139831218253</v>
      </c>
      <c r="D75" s="367">
        <f>C77</f>
        <v>35.701955636281703</v>
      </c>
      <c r="E75" s="367">
        <f>D77</f>
        <v>34.630896967193252</v>
      </c>
      <c r="F75" s="367">
        <f>E77</f>
        <v>33.591970058177452</v>
      </c>
      <c r="G75" s="367">
        <f>F77</f>
        <v>32.584210956432131</v>
      </c>
      <c r="H75" s="367">
        <f t="shared" ref="H75:BE75" si="30">G77</f>
        <v>31.606684627739167</v>
      </c>
      <c r="I75" s="367">
        <f t="shared" si="30"/>
        <v>30.658484088906992</v>
      </c>
      <c r="J75" s="367">
        <f t="shared" si="30"/>
        <v>29.738729566239783</v>
      </c>
      <c r="K75" s="367">
        <f t="shared" si="30"/>
        <v>28.84656767925259</v>
      </c>
      <c r="L75" s="367">
        <f t="shared" si="30"/>
        <v>27.981170648875011</v>
      </c>
      <c r="M75" s="367">
        <f t="shared" si="30"/>
        <v>27.141735529408759</v>
      </c>
      <c r="N75" s="367">
        <f t="shared" si="30"/>
        <v>26.327483463526498</v>
      </c>
      <c r="O75" s="367">
        <f t="shared" si="30"/>
        <v>25.537658959620703</v>
      </c>
      <c r="P75" s="367">
        <f t="shared" si="30"/>
        <v>24.771529190832084</v>
      </c>
      <c r="Q75" s="367">
        <f t="shared" si="30"/>
        <v>24.028383315107121</v>
      </c>
      <c r="R75" s="367">
        <f t="shared" si="30"/>
        <v>23.307531815653906</v>
      </c>
      <c r="S75" s="367">
        <f t="shared" si="30"/>
        <v>22.608305861184288</v>
      </c>
      <c r="T75" s="367">
        <f t="shared" si="30"/>
        <v>21.93005668534876</v>
      </c>
      <c r="U75" s="367">
        <f t="shared" si="30"/>
        <v>21.272154984788298</v>
      </c>
      <c r="V75" s="367">
        <f t="shared" si="30"/>
        <v>20.633990335244647</v>
      </c>
      <c r="W75" s="367">
        <f t="shared" si="30"/>
        <v>20.014970625187306</v>
      </c>
      <c r="X75" s="367">
        <f t="shared" si="30"/>
        <v>19.414521506431687</v>
      </c>
      <c r="Y75" s="367">
        <f t="shared" si="30"/>
        <v>18.832085861238735</v>
      </c>
      <c r="Z75" s="367">
        <f t="shared" si="30"/>
        <v>18.267123285401574</v>
      </c>
      <c r="AA75" s="367">
        <f t="shared" si="30"/>
        <v>17.719109586839526</v>
      </c>
      <c r="AB75" s="367">
        <f t="shared" si="30"/>
        <v>17.187536299234338</v>
      </c>
      <c r="AC75" s="367">
        <f t="shared" si="30"/>
        <v>16.671910210257309</v>
      </c>
      <c r="AD75" s="367">
        <f t="shared" si="30"/>
        <v>16.171752903949589</v>
      </c>
      <c r="AE75" s="367">
        <f t="shared" si="30"/>
        <v>15.6866003168311</v>
      </c>
      <c r="AF75" s="367">
        <f t="shared" si="30"/>
        <v>15.216002307326168</v>
      </c>
      <c r="AG75" s="367">
        <f t="shared" si="30"/>
        <v>14.759522238106383</v>
      </c>
      <c r="AH75" s="367">
        <f t="shared" si="30"/>
        <v>14.316736570963192</v>
      </c>
      <c r="AI75" s="367">
        <f t="shared" si="30"/>
        <v>13.887234473834296</v>
      </c>
      <c r="AJ75" s="367">
        <f t="shared" si="30"/>
        <v>13.470617439619266</v>
      </c>
      <c r="AK75" s="367">
        <f t="shared" si="30"/>
        <v>13.066498916430689</v>
      </c>
      <c r="AL75" s="367">
        <f t="shared" si="30"/>
        <v>12.674503948937769</v>
      </c>
      <c r="AM75" s="367">
        <f t="shared" si="30"/>
        <v>12.294268830469635</v>
      </c>
      <c r="AN75" s="367">
        <f t="shared" si="30"/>
        <v>11.925440765555546</v>
      </c>
      <c r="AO75" s="367">
        <f t="shared" si="30"/>
        <v>11.56767754258888</v>
      </c>
      <c r="AP75" s="367">
        <f t="shared" si="30"/>
        <v>11.220647216311214</v>
      </c>
      <c r="AQ75" s="367">
        <f t="shared" si="30"/>
        <v>10.884027799821878</v>
      </c>
      <c r="AR75" s="367">
        <f t="shared" si="30"/>
        <v>10.557506965827221</v>
      </c>
      <c r="AS75" s="367">
        <f t="shared" si="30"/>
        <v>10.240781756852405</v>
      </c>
      <c r="AT75" s="367">
        <f t="shared" si="30"/>
        <v>9.9335583041468336</v>
      </c>
      <c r="AU75" s="367">
        <f t="shared" si="30"/>
        <v>9.6355515550224293</v>
      </c>
      <c r="AV75" s="367">
        <f t="shared" si="30"/>
        <v>9.3464850083717561</v>
      </c>
      <c r="AW75" s="367">
        <f t="shared" si="30"/>
        <v>9.0660904581206037</v>
      </c>
      <c r="AX75" s="367">
        <f t="shared" si="30"/>
        <v>8.7941077443769853</v>
      </c>
      <c r="AY75" s="367">
        <f t="shared" si="30"/>
        <v>8.5302845120456752</v>
      </c>
      <c r="AZ75" s="367">
        <f t="shared" si="30"/>
        <v>8.2743759766843041</v>
      </c>
      <c r="BA75" s="367">
        <f t="shared" si="30"/>
        <v>8.0261446973837742</v>
      </c>
      <c r="BB75" s="367">
        <f t="shared" si="30"/>
        <v>7.7853603564622613</v>
      </c>
      <c r="BC75" s="367">
        <f t="shared" si="30"/>
        <v>7.5517995457683931</v>
      </c>
      <c r="BD75" s="367">
        <f t="shared" si="30"/>
        <v>7.3252455593953414</v>
      </c>
      <c r="BE75" s="367">
        <f t="shared" si="30"/>
        <v>7.105488192613481</v>
      </c>
    </row>
    <row r="76" spans="1:57" s="347" customFormat="1" hidden="1" outlineLevel="1">
      <c r="A76" s="347" t="s">
        <v>134</v>
      </c>
      <c r="C76" s="367">
        <f>$C$52*C75</f>
        <v>1.1041841949365476</v>
      </c>
      <c r="D76" s="367">
        <f>$C$52*D75</f>
        <v>1.0710586690884512</v>
      </c>
      <c r="E76" s="367">
        <f>$C$52*E75</f>
        <v>1.0389269090157975</v>
      </c>
      <c r="F76" s="367">
        <f>$C$52*F75</f>
        <v>1.0077591017453236</v>
      </c>
      <c r="G76" s="367">
        <f>$C$52*G75</f>
        <v>0.97752632869296385</v>
      </c>
      <c r="H76" s="367">
        <f t="shared" ref="H76:BE76" si="31">$C$52*H75</f>
        <v>0.94820053883217492</v>
      </c>
      <c r="I76" s="367">
        <f t="shared" si="31"/>
        <v>0.9197545226672097</v>
      </c>
      <c r="J76" s="367">
        <f t="shared" si="31"/>
        <v>0.89216188698719345</v>
      </c>
      <c r="K76" s="367">
        <f t="shared" si="31"/>
        <v>0.86539703037757765</v>
      </c>
      <c r="L76" s="367">
        <f t="shared" si="31"/>
        <v>0.83943511946625027</v>
      </c>
      <c r="M76" s="367">
        <f t="shared" si="31"/>
        <v>0.81425206588226273</v>
      </c>
      <c r="N76" s="367">
        <f t="shared" si="31"/>
        <v>0.78982450390579495</v>
      </c>
      <c r="O76" s="367">
        <f t="shared" si="31"/>
        <v>0.76612976878862105</v>
      </c>
      <c r="P76" s="367">
        <f t="shared" si="31"/>
        <v>0.74314587572496249</v>
      </c>
      <c r="Q76" s="367">
        <f t="shared" si="31"/>
        <v>0.72085149945321358</v>
      </c>
      <c r="R76" s="367">
        <f t="shared" si="31"/>
        <v>0.69922595446961711</v>
      </c>
      <c r="S76" s="367">
        <f t="shared" si="31"/>
        <v>0.67824917583552857</v>
      </c>
      <c r="T76" s="367">
        <f t="shared" si="31"/>
        <v>0.65790170056046271</v>
      </c>
      <c r="U76" s="367">
        <f t="shared" si="31"/>
        <v>0.63816464954364893</v>
      </c>
      <c r="V76" s="367">
        <f t="shared" si="31"/>
        <v>0.61901971005733936</v>
      </c>
      <c r="W76" s="367">
        <f t="shared" si="31"/>
        <v>0.60044911875561913</v>
      </c>
      <c r="X76" s="367">
        <f t="shared" si="31"/>
        <v>0.58243564519295055</v>
      </c>
      <c r="Y76" s="367">
        <f t="shared" si="31"/>
        <v>0.56496257583716203</v>
      </c>
      <c r="Z76" s="367">
        <f t="shared" si="31"/>
        <v>0.54801369856204718</v>
      </c>
      <c r="AA76" s="367">
        <f t="shared" si="31"/>
        <v>0.53157328760518574</v>
      </c>
      <c r="AB76" s="367">
        <f t="shared" si="31"/>
        <v>0.51562608897703011</v>
      </c>
      <c r="AC76" s="367">
        <f t="shared" si="31"/>
        <v>0.50015730630771926</v>
      </c>
      <c r="AD76" s="367">
        <f t="shared" si="31"/>
        <v>0.48515258711848763</v>
      </c>
      <c r="AE76" s="367">
        <f t="shared" si="31"/>
        <v>0.47059800950493297</v>
      </c>
      <c r="AF76" s="367">
        <f t="shared" si="31"/>
        <v>0.45648006921978501</v>
      </c>
      <c r="AG76" s="367">
        <f t="shared" si="31"/>
        <v>0.44278566714319145</v>
      </c>
      <c r="AH76" s="367">
        <f t="shared" si="31"/>
        <v>0.42950209712889575</v>
      </c>
      <c r="AI76" s="367">
        <f t="shared" si="31"/>
        <v>0.41661703421502888</v>
      </c>
      <c r="AJ76" s="367">
        <f t="shared" si="31"/>
        <v>0.40411852318857799</v>
      </c>
      <c r="AK76" s="367">
        <f t="shared" si="31"/>
        <v>0.39199496749292068</v>
      </c>
      <c r="AL76" s="367">
        <f t="shared" si="31"/>
        <v>0.38023511846813307</v>
      </c>
      <c r="AM76" s="367">
        <f t="shared" si="31"/>
        <v>0.36882806491408904</v>
      </c>
      <c r="AN76" s="367">
        <f t="shared" si="31"/>
        <v>0.35776322296666635</v>
      </c>
      <c r="AO76" s="367">
        <f t="shared" si="31"/>
        <v>0.34703032627766639</v>
      </c>
      <c r="AP76" s="367">
        <f t="shared" si="31"/>
        <v>0.33661941648933641</v>
      </c>
      <c r="AQ76" s="367">
        <f t="shared" si="31"/>
        <v>0.32652083399465631</v>
      </c>
      <c r="AR76" s="367">
        <f t="shared" si="31"/>
        <v>0.3167252089748166</v>
      </c>
      <c r="AS76" s="367">
        <f t="shared" si="31"/>
        <v>0.30722345270557211</v>
      </c>
      <c r="AT76" s="367">
        <f t="shared" si="31"/>
        <v>0.298006749124405</v>
      </c>
      <c r="AU76" s="367">
        <f t="shared" si="31"/>
        <v>0.28906654665067288</v>
      </c>
      <c r="AV76" s="367">
        <f t="shared" si="31"/>
        <v>0.28039455025115267</v>
      </c>
      <c r="AW76" s="367">
        <f t="shared" si="31"/>
        <v>0.2719827137436181</v>
      </c>
      <c r="AX76" s="367">
        <f t="shared" si="31"/>
        <v>0.26382323233130955</v>
      </c>
      <c r="AY76" s="367">
        <f t="shared" si="31"/>
        <v>0.25590853536137026</v>
      </c>
      <c r="AZ76" s="367">
        <f t="shared" si="31"/>
        <v>0.24823127930052913</v>
      </c>
      <c r="BA76" s="367">
        <f t="shared" si="31"/>
        <v>0.24078434092151321</v>
      </c>
      <c r="BB76" s="367">
        <f t="shared" si="31"/>
        <v>0.23356081069386783</v>
      </c>
      <c r="BC76" s="367">
        <f t="shared" si="31"/>
        <v>0.2265539863730518</v>
      </c>
      <c r="BD76" s="367">
        <f t="shared" si="31"/>
        <v>0.21975736678186022</v>
      </c>
      <c r="BE76" s="367">
        <f t="shared" si="31"/>
        <v>0.21316464577840441</v>
      </c>
    </row>
    <row r="77" spans="1:57" s="347" customFormat="1" hidden="1" outlineLevel="1">
      <c r="A77" s="347" t="s">
        <v>135</v>
      </c>
      <c r="B77" s="368">
        <f>C75</f>
        <v>36.806139831218253</v>
      </c>
      <c r="C77" s="368">
        <f>C75-C76</f>
        <v>35.701955636281703</v>
      </c>
      <c r="D77" s="368">
        <f>D75-D76</f>
        <v>34.630896967193252</v>
      </c>
      <c r="E77" s="368">
        <f>E75-E76</f>
        <v>33.591970058177452</v>
      </c>
      <c r="F77" s="368">
        <f>F75-F76</f>
        <v>32.584210956432131</v>
      </c>
      <c r="G77" s="368">
        <f>G75-G76</f>
        <v>31.606684627739167</v>
      </c>
      <c r="H77" s="368">
        <f t="shared" ref="H77:BE77" si="32">H75-H76</f>
        <v>30.658484088906992</v>
      </c>
      <c r="I77" s="368">
        <f t="shared" si="32"/>
        <v>29.738729566239783</v>
      </c>
      <c r="J77" s="368">
        <f t="shared" si="32"/>
        <v>28.84656767925259</v>
      </c>
      <c r="K77" s="368">
        <f t="shared" si="32"/>
        <v>27.981170648875011</v>
      </c>
      <c r="L77" s="368">
        <f t="shared" si="32"/>
        <v>27.141735529408759</v>
      </c>
      <c r="M77" s="368">
        <f t="shared" si="32"/>
        <v>26.327483463526498</v>
      </c>
      <c r="N77" s="368">
        <f t="shared" si="32"/>
        <v>25.537658959620703</v>
      </c>
      <c r="O77" s="368">
        <f t="shared" si="32"/>
        <v>24.771529190832084</v>
      </c>
      <c r="P77" s="368">
        <f t="shared" si="32"/>
        <v>24.028383315107121</v>
      </c>
      <c r="Q77" s="368">
        <f t="shared" si="32"/>
        <v>23.307531815653906</v>
      </c>
      <c r="R77" s="368">
        <f t="shared" si="32"/>
        <v>22.608305861184288</v>
      </c>
      <c r="S77" s="368">
        <f t="shared" si="32"/>
        <v>21.93005668534876</v>
      </c>
      <c r="T77" s="368">
        <f t="shared" si="32"/>
        <v>21.272154984788298</v>
      </c>
      <c r="U77" s="368">
        <f t="shared" si="32"/>
        <v>20.633990335244647</v>
      </c>
      <c r="V77" s="368">
        <f t="shared" si="32"/>
        <v>20.014970625187306</v>
      </c>
      <c r="W77" s="368">
        <f t="shared" si="32"/>
        <v>19.414521506431687</v>
      </c>
      <c r="X77" s="368">
        <f t="shared" si="32"/>
        <v>18.832085861238735</v>
      </c>
      <c r="Y77" s="368">
        <f t="shared" si="32"/>
        <v>18.267123285401574</v>
      </c>
      <c r="Z77" s="368">
        <f t="shared" si="32"/>
        <v>17.719109586839526</v>
      </c>
      <c r="AA77" s="368">
        <f t="shared" si="32"/>
        <v>17.187536299234338</v>
      </c>
      <c r="AB77" s="368">
        <f t="shared" si="32"/>
        <v>16.671910210257309</v>
      </c>
      <c r="AC77" s="368">
        <f t="shared" si="32"/>
        <v>16.171752903949589</v>
      </c>
      <c r="AD77" s="368">
        <f t="shared" si="32"/>
        <v>15.6866003168311</v>
      </c>
      <c r="AE77" s="368">
        <f t="shared" si="32"/>
        <v>15.216002307326168</v>
      </c>
      <c r="AF77" s="368">
        <f t="shared" si="32"/>
        <v>14.759522238106383</v>
      </c>
      <c r="AG77" s="368">
        <f t="shared" si="32"/>
        <v>14.316736570963192</v>
      </c>
      <c r="AH77" s="368">
        <f t="shared" si="32"/>
        <v>13.887234473834296</v>
      </c>
      <c r="AI77" s="368">
        <f t="shared" si="32"/>
        <v>13.470617439619266</v>
      </c>
      <c r="AJ77" s="368">
        <f t="shared" si="32"/>
        <v>13.066498916430689</v>
      </c>
      <c r="AK77" s="368">
        <f t="shared" si="32"/>
        <v>12.674503948937769</v>
      </c>
      <c r="AL77" s="368">
        <f t="shared" si="32"/>
        <v>12.294268830469635</v>
      </c>
      <c r="AM77" s="368">
        <f t="shared" si="32"/>
        <v>11.925440765555546</v>
      </c>
      <c r="AN77" s="368">
        <f t="shared" si="32"/>
        <v>11.56767754258888</v>
      </c>
      <c r="AO77" s="368">
        <f t="shared" si="32"/>
        <v>11.220647216311214</v>
      </c>
      <c r="AP77" s="368">
        <f t="shared" si="32"/>
        <v>10.884027799821878</v>
      </c>
      <c r="AQ77" s="368">
        <f t="shared" si="32"/>
        <v>10.557506965827221</v>
      </c>
      <c r="AR77" s="368">
        <f t="shared" si="32"/>
        <v>10.240781756852405</v>
      </c>
      <c r="AS77" s="368">
        <f t="shared" si="32"/>
        <v>9.9335583041468336</v>
      </c>
      <c r="AT77" s="368">
        <f t="shared" si="32"/>
        <v>9.6355515550224293</v>
      </c>
      <c r="AU77" s="368">
        <f t="shared" si="32"/>
        <v>9.3464850083717561</v>
      </c>
      <c r="AV77" s="368">
        <f t="shared" si="32"/>
        <v>9.0660904581206037</v>
      </c>
      <c r="AW77" s="368">
        <f t="shared" si="32"/>
        <v>8.7941077443769853</v>
      </c>
      <c r="AX77" s="368">
        <f t="shared" si="32"/>
        <v>8.5302845120456752</v>
      </c>
      <c r="AY77" s="368">
        <f t="shared" si="32"/>
        <v>8.2743759766843041</v>
      </c>
      <c r="AZ77" s="368">
        <f t="shared" si="32"/>
        <v>8.0261446973837742</v>
      </c>
      <c r="BA77" s="368">
        <f t="shared" si="32"/>
        <v>7.7853603564622613</v>
      </c>
      <c r="BB77" s="368">
        <f t="shared" si="32"/>
        <v>7.5517995457683931</v>
      </c>
      <c r="BC77" s="368">
        <f t="shared" si="32"/>
        <v>7.3252455593953414</v>
      </c>
      <c r="BD77" s="368">
        <f t="shared" si="32"/>
        <v>7.105488192613481</v>
      </c>
      <c r="BE77" s="368">
        <f t="shared" si="32"/>
        <v>6.892323546835077</v>
      </c>
    </row>
    <row r="78" spans="1:57" s="347" customFormat="1" hidden="1" outlineLevel="1">
      <c r="A78" s="365" t="s">
        <v>143</v>
      </c>
      <c r="B78" s="368"/>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row>
    <row r="79" spans="1:57" s="347" customFormat="1" hidden="1" outlineLevel="1">
      <c r="A79" s="347" t="s">
        <v>133</v>
      </c>
      <c r="B79" s="367"/>
      <c r="C79" s="372">
        <f>B$53</f>
        <v>1.6535323740744809</v>
      </c>
      <c r="D79" s="367">
        <f>C81</f>
        <v>1.5295174460188949</v>
      </c>
      <c r="E79" s="367">
        <f>D81</f>
        <v>1.4148036375674777</v>
      </c>
      <c r="F79" s="367">
        <f>E81</f>
        <v>1.3086933647499168</v>
      </c>
      <c r="G79" s="367">
        <f>F81</f>
        <v>1.2105413623936732</v>
      </c>
      <c r="H79" s="367">
        <f t="shared" ref="H79:BE79" si="33">G81</f>
        <v>1.1197507602141477</v>
      </c>
      <c r="I79" s="367">
        <f t="shared" si="33"/>
        <v>1.0357694531980866</v>
      </c>
      <c r="J79" s="367">
        <f t="shared" si="33"/>
        <v>0.95808674420823003</v>
      </c>
      <c r="K79" s="367">
        <f t="shared" si="33"/>
        <v>0.88623023839261283</v>
      </c>
      <c r="L79" s="367">
        <f t="shared" si="33"/>
        <v>0.81976297051316682</v>
      </c>
      <c r="M79" s="367">
        <f t="shared" si="33"/>
        <v>0.75828074772467935</v>
      </c>
      <c r="N79" s="367">
        <f t="shared" si="33"/>
        <v>0.7014096916453284</v>
      </c>
      <c r="O79" s="367">
        <f t="shared" si="33"/>
        <v>0.64880396477192881</v>
      </c>
      <c r="P79" s="367">
        <f t="shared" si="33"/>
        <v>0.60014366741403413</v>
      </c>
      <c r="Q79" s="367">
        <f t="shared" si="33"/>
        <v>0.55513289235798158</v>
      </c>
      <c r="R79" s="367">
        <f t="shared" si="33"/>
        <v>0.51349792543113293</v>
      </c>
      <c r="S79" s="367">
        <f t="shared" si="33"/>
        <v>0.47498558102379795</v>
      </c>
      <c r="T79" s="367">
        <f t="shared" si="33"/>
        <v>0.43936166244701313</v>
      </c>
      <c r="U79" s="367">
        <f t="shared" si="33"/>
        <v>0.40640953776348715</v>
      </c>
      <c r="V79" s="367">
        <f t="shared" si="33"/>
        <v>0.37592882243122561</v>
      </c>
      <c r="W79" s="367">
        <f t="shared" si="33"/>
        <v>0.34773416074888369</v>
      </c>
      <c r="X79" s="367">
        <f t="shared" si="33"/>
        <v>0.32165409869271744</v>
      </c>
      <c r="Y79" s="367">
        <f t="shared" si="33"/>
        <v>0.29753004129076366</v>
      </c>
      <c r="Z79" s="367">
        <f t="shared" si="33"/>
        <v>0.27521528819395641</v>
      </c>
      <c r="AA79" s="367">
        <f t="shared" si="33"/>
        <v>0.25457414157940966</v>
      </c>
      <c r="AB79" s="367">
        <f t="shared" si="33"/>
        <v>0.23548108096095394</v>
      </c>
      <c r="AC79" s="367">
        <f t="shared" si="33"/>
        <v>0.2178199998888824</v>
      </c>
      <c r="AD79" s="367">
        <f t="shared" si="33"/>
        <v>0.20148349989721623</v>
      </c>
      <c r="AE79" s="367">
        <f t="shared" si="33"/>
        <v>0.18637223740492501</v>
      </c>
      <c r="AF79" s="367">
        <f t="shared" si="33"/>
        <v>0.17239431959955565</v>
      </c>
      <c r="AG79" s="367">
        <f t="shared" si="33"/>
        <v>0.15946474562958898</v>
      </c>
      <c r="AH79" s="367">
        <f t="shared" si="33"/>
        <v>0.1475048897073698</v>
      </c>
      <c r="AI79" s="367">
        <f t="shared" si="33"/>
        <v>0.13644202297931707</v>
      </c>
      <c r="AJ79" s="367">
        <f t="shared" si="33"/>
        <v>0.1262088712558683</v>
      </c>
      <c r="AK79" s="367">
        <f t="shared" si="33"/>
        <v>0.11674320591167818</v>
      </c>
      <c r="AL79" s="367">
        <f t="shared" si="33"/>
        <v>0.10798746546830232</v>
      </c>
      <c r="AM79" s="367">
        <f t="shared" si="33"/>
        <v>9.9888405558179641E-2</v>
      </c>
      <c r="AN79" s="367">
        <f t="shared" si="33"/>
        <v>9.2396775141316168E-2</v>
      </c>
      <c r="AO79" s="367">
        <f t="shared" si="33"/>
        <v>8.5467017005717461E-2</v>
      </c>
      <c r="AP79" s="367">
        <f t="shared" si="33"/>
        <v>7.9056990730288657E-2</v>
      </c>
      <c r="AQ79" s="367">
        <f t="shared" si="33"/>
        <v>7.3127716425517006E-2</v>
      </c>
      <c r="AR79" s="367">
        <f t="shared" si="33"/>
        <v>6.7643137693603236E-2</v>
      </c>
      <c r="AS79" s="367">
        <f t="shared" si="33"/>
        <v>6.2569902366582997E-2</v>
      </c>
      <c r="AT79" s="367">
        <f t="shared" si="33"/>
        <v>5.7877159689089269E-2</v>
      </c>
      <c r="AU79" s="367">
        <f t="shared" si="33"/>
        <v>5.3536372712407576E-2</v>
      </c>
      <c r="AV79" s="367">
        <f t="shared" si="33"/>
        <v>4.9521144758977009E-2</v>
      </c>
      <c r="AW79" s="367">
        <f t="shared" si="33"/>
        <v>4.5807058902053735E-2</v>
      </c>
      <c r="AX79" s="367">
        <f t="shared" si="33"/>
        <v>4.2371529484399706E-2</v>
      </c>
      <c r="AY79" s="367">
        <f t="shared" si="33"/>
        <v>3.9193664773069729E-2</v>
      </c>
      <c r="AZ79" s="367">
        <f t="shared" si="33"/>
        <v>3.6254139915089502E-2</v>
      </c>
      <c r="BA79" s="367">
        <f t="shared" si="33"/>
        <v>3.3535079421457788E-2</v>
      </c>
      <c r="BB79" s="367">
        <f t="shared" si="33"/>
        <v>3.1019948464848453E-2</v>
      </c>
      <c r="BC79" s="367">
        <f t="shared" si="33"/>
        <v>2.8693452329984818E-2</v>
      </c>
      <c r="BD79" s="367">
        <f t="shared" si="33"/>
        <v>2.6541443405235957E-2</v>
      </c>
      <c r="BE79" s="367">
        <f t="shared" si="33"/>
        <v>2.4550835149843259E-2</v>
      </c>
    </row>
    <row r="80" spans="1:57" s="347" customFormat="1" hidden="1" outlineLevel="1">
      <c r="A80" s="347" t="s">
        <v>134</v>
      </c>
      <c r="C80" s="367">
        <f>$C$53*C79</f>
        <v>0.12401492805558606</v>
      </c>
      <c r="D80" s="367">
        <f>$C$53*D79</f>
        <v>0.11471380845141711</v>
      </c>
      <c r="E80" s="367">
        <f>$C$53*E79</f>
        <v>0.10611027281756083</v>
      </c>
      <c r="F80" s="367">
        <f>$C$53*F79</f>
        <v>9.8152002356243759E-2</v>
      </c>
      <c r="G80" s="367">
        <f>$C$53*G79</f>
        <v>9.079060217952549E-2</v>
      </c>
      <c r="H80" s="367">
        <f t="shared" ref="H80:BE80" si="34">$C$53*H79</f>
        <v>8.3981307016061074E-2</v>
      </c>
      <c r="I80" s="367">
        <f t="shared" si="34"/>
        <v>7.7682708989856492E-2</v>
      </c>
      <c r="J80" s="367">
        <f t="shared" si="34"/>
        <v>7.1856505815617255E-2</v>
      </c>
      <c r="K80" s="367">
        <f t="shared" si="34"/>
        <v>6.6467267879445957E-2</v>
      </c>
      <c r="L80" s="367">
        <f t="shared" si="34"/>
        <v>6.1482222788487507E-2</v>
      </c>
      <c r="M80" s="367">
        <f t="shared" si="34"/>
        <v>5.6871056079350946E-2</v>
      </c>
      <c r="N80" s="367">
        <f t="shared" si="34"/>
        <v>5.2605726873399629E-2</v>
      </c>
      <c r="O80" s="367">
        <f t="shared" si="34"/>
        <v>4.8660297357894657E-2</v>
      </c>
      <c r="P80" s="367">
        <f t="shared" si="34"/>
        <v>4.5010775056052561E-2</v>
      </c>
      <c r="Q80" s="367">
        <f t="shared" si="34"/>
        <v>4.1634966926848614E-2</v>
      </c>
      <c r="R80" s="367">
        <f t="shared" si="34"/>
        <v>3.8512344407334968E-2</v>
      </c>
      <c r="S80" s="367">
        <f t="shared" si="34"/>
        <v>3.5623918576784847E-2</v>
      </c>
      <c r="T80" s="367">
        <f t="shared" si="34"/>
        <v>3.2952124683525985E-2</v>
      </c>
      <c r="U80" s="367">
        <f t="shared" si="34"/>
        <v>3.0480715332261536E-2</v>
      </c>
      <c r="V80" s="367">
        <f t="shared" si="34"/>
        <v>2.8194661682341918E-2</v>
      </c>
      <c r="W80" s="367">
        <f t="shared" si="34"/>
        <v>2.6080062056166278E-2</v>
      </c>
      <c r="X80" s="367">
        <f t="shared" si="34"/>
        <v>2.4124057401953808E-2</v>
      </c>
      <c r="Y80" s="367">
        <f t="shared" si="34"/>
        <v>2.2314753096807274E-2</v>
      </c>
      <c r="Z80" s="367">
        <f t="shared" si="34"/>
        <v>2.0641146614546729E-2</v>
      </c>
      <c r="AA80" s="367">
        <f t="shared" si="34"/>
        <v>1.9093060618455723E-2</v>
      </c>
      <c r="AB80" s="367">
        <f t="shared" si="34"/>
        <v>1.7661081072071545E-2</v>
      </c>
      <c r="AC80" s="367">
        <f t="shared" si="34"/>
        <v>1.6336499991666181E-2</v>
      </c>
      <c r="AD80" s="367">
        <f t="shared" si="34"/>
        <v>1.5111262492291217E-2</v>
      </c>
      <c r="AE80" s="367">
        <f t="shared" si="34"/>
        <v>1.3977917805369375E-2</v>
      </c>
      <c r="AF80" s="367">
        <f t="shared" si="34"/>
        <v>1.2929573969966673E-2</v>
      </c>
      <c r="AG80" s="367">
        <f t="shared" si="34"/>
        <v>1.1959855922219173E-2</v>
      </c>
      <c r="AH80" s="367">
        <f t="shared" si="34"/>
        <v>1.1062866728052735E-2</v>
      </c>
      <c r="AI80" s="367">
        <f t="shared" si="34"/>
        <v>1.0233151723448779E-2</v>
      </c>
      <c r="AJ80" s="367">
        <f t="shared" si="34"/>
        <v>9.4656653441901224E-3</v>
      </c>
      <c r="AK80" s="367">
        <f t="shared" si="34"/>
        <v>8.7557404433758635E-3</v>
      </c>
      <c r="AL80" s="367">
        <f t="shared" si="34"/>
        <v>8.0990599101226739E-3</v>
      </c>
      <c r="AM80" s="367">
        <f t="shared" si="34"/>
        <v>7.4916304168634726E-3</v>
      </c>
      <c r="AN80" s="367">
        <f t="shared" si="34"/>
        <v>6.9297581355987122E-3</v>
      </c>
      <c r="AO80" s="367">
        <f t="shared" si="34"/>
        <v>6.4100262754288092E-3</v>
      </c>
      <c r="AP80" s="367">
        <f t="shared" si="34"/>
        <v>5.9292743047716489E-3</v>
      </c>
      <c r="AQ80" s="367">
        <f t="shared" si="34"/>
        <v>5.4845787319137756E-3</v>
      </c>
      <c r="AR80" s="367">
        <f t="shared" si="34"/>
        <v>5.0732353270202422E-3</v>
      </c>
      <c r="AS80" s="367">
        <f t="shared" si="34"/>
        <v>4.6927426774937249E-3</v>
      </c>
      <c r="AT80" s="367">
        <f t="shared" si="34"/>
        <v>4.3407869766816948E-3</v>
      </c>
      <c r="AU80" s="367">
        <f t="shared" si="34"/>
        <v>4.0152279534305677E-3</v>
      </c>
      <c r="AV80" s="367">
        <f t="shared" si="34"/>
        <v>3.7140858569232756E-3</v>
      </c>
      <c r="AW80" s="367">
        <f t="shared" si="34"/>
        <v>3.43552941765403E-3</v>
      </c>
      <c r="AX80" s="367">
        <f t="shared" si="34"/>
        <v>3.1778647113299779E-3</v>
      </c>
      <c r="AY80" s="367">
        <f t="shared" si="34"/>
        <v>2.9395248579802296E-3</v>
      </c>
      <c r="AZ80" s="367">
        <f t="shared" si="34"/>
        <v>2.7190604936317125E-3</v>
      </c>
      <c r="BA80" s="367">
        <f t="shared" si="34"/>
        <v>2.5151309566093338E-3</v>
      </c>
      <c r="BB80" s="367">
        <f t="shared" si="34"/>
        <v>2.3264961348636341E-3</v>
      </c>
      <c r="BC80" s="367">
        <f t="shared" si="34"/>
        <v>2.1520089247488612E-3</v>
      </c>
      <c r="BD80" s="367">
        <f t="shared" si="34"/>
        <v>1.9906082553926966E-3</v>
      </c>
      <c r="BE80" s="367">
        <f t="shared" si="34"/>
        <v>1.8413126362382443E-3</v>
      </c>
    </row>
    <row r="81" spans="1:57" s="347" customFormat="1" hidden="1" outlineLevel="1">
      <c r="A81" s="347" t="s">
        <v>135</v>
      </c>
      <c r="B81" s="368">
        <f>C79</f>
        <v>1.6535323740744809</v>
      </c>
      <c r="C81" s="368">
        <f>C79-C80</f>
        <v>1.5295174460188949</v>
      </c>
      <c r="D81" s="368">
        <f>D79-D80</f>
        <v>1.4148036375674777</v>
      </c>
      <c r="E81" s="368">
        <f>E79-E80</f>
        <v>1.3086933647499168</v>
      </c>
      <c r="F81" s="368">
        <f>F79-F80</f>
        <v>1.2105413623936732</v>
      </c>
      <c r="G81" s="368">
        <f>G79-G80</f>
        <v>1.1197507602141477</v>
      </c>
      <c r="H81" s="368">
        <f t="shared" ref="H81:BE81" si="35">H79-H80</f>
        <v>1.0357694531980866</v>
      </c>
      <c r="I81" s="368">
        <f t="shared" si="35"/>
        <v>0.95808674420823003</v>
      </c>
      <c r="J81" s="368">
        <f t="shared" si="35"/>
        <v>0.88623023839261283</v>
      </c>
      <c r="K81" s="368">
        <f t="shared" si="35"/>
        <v>0.81976297051316682</v>
      </c>
      <c r="L81" s="368">
        <f t="shared" si="35"/>
        <v>0.75828074772467935</v>
      </c>
      <c r="M81" s="368">
        <f t="shared" si="35"/>
        <v>0.7014096916453284</v>
      </c>
      <c r="N81" s="368">
        <f t="shared" si="35"/>
        <v>0.64880396477192881</v>
      </c>
      <c r="O81" s="368">
        <f t="shared" si="35"/>
        <v>0.60014366741403413</v>
      </c>
      <c r="P81" s="368">
        <f t="shared" si="35"/>
        <v>0.55513289235798158</v>
      </c>
      <c r="Q81" s="368">
        <f t="shared" si="35"/>
        <v>0.51349792543113293</v>
      </c>
      <c r="R81" s="368">
        <f t="shared" si="35"/>
        <v>0.47498558102379795</v>
      </c>
      <c r="S81" s="368">
        <f t="shared" si="35"/>
        <v>0.43936166244701313</v>
      </c>
      <c r="T81" s="368">
        <f t="shared" si="35"/>
        <v>0.40640953776348715</v>
      </c>
      <c r="U81" s="368">
        <f t="shared" si="35"/>
        <v>0.37592882243122561</v>
      </c>
      <c r="V81" s="368">
        <f t="shared" si="35"/>
        <v>0.34773416074888369</v>
      </c>
      <c r="W81" s="368">
        <f t="shared" si="35"/>
        <v>0.32165409869271744</v>
      </c>
      <c r="X81" s="368">
        <f t="shared" si="35"/>
        <v>0.29753004129076366</v>
      </c>
      <c r="Y81" s="368">
        <f t="shared" si="35"/>
        <v>0.27521528819395641</v>
      </c>
      <c r="Z81" s="368">
        <f t="shared" si="35"/>
        <v>0.25457414157940966</v>
      </c>
      <c r="AA81" s="368">
        <f t="shared" si="35"/>
        <v>0.23548108096095394</v>
      </c>
      <c r="AB81" s="368">
        <f t="shared" si="35"/>
        <v>0.2178199998888824</v>
      </c>
      <c r="AC81" s="368">
        <f t="shared" si="35"/>
        <v>0.20148349989721623</v>
      </c>
      <c r="AD81" s="368">
        <f t="shared" si="35"/>
        <v>0.18637223740492501</v>
      </c>
      <c r="AE81" s="368">
        <f t="shared" si="35"/>
        <v>0.17239431959955565</v>
      </c>
      <c r="AF81" s="368">
        <f t="shared" si="35"/>
        <v>0.15946474562958898</v>
      </c>
      <c r="AG81" s="368">
        <f t="shared" si="35"/>
        <v>0.1475048897073698</v>
      </c>
      <c r="AH81" s="368">
        <f t="shared" si="35"/>
        <v>0.13644202297931707</v>
      </c>
      <c r="AI81" s="368">
        <f t="shared" si="35"/>
        <v>0.1262088712558683</v>
      </c>
      <c r="AJ81" s="368">
        <f t="shared" si="35"/>
        <v>0.11674320591167818</v>
      </c>
      <c r="AK81" s="368">
        <f t="shared" si="35"/>
        <v>0.10798746546830232</v>
      </c>
      <c r="AL81" s="368">
        <f t="shared" si="35"/>
        <v>9.9888405558179641E-2</v>
      </c>
      <c r="AM81" s="368">
        <f t="shared" si="35"/>
        <v>9.2396775141316168E-2</v>
      </c>
      <c r="AN81" s="368">
        <f t="shared" si="35"/>
        <v>8.5467017005717461E-2</v>
      </c>
      <c r="AO81" s="368">
        <f t="shared" si="35"/>
        <v>7.9056990730288657E-2</v>
      </c>
      <c r="AP81" s="368">
        <f t="shared" si="35"/>
        <v>7.3127716425517006E-2</v>
      </c>
      <c r="AQ81" s="368">
        <f t="shared" si="35"/>
        <v>6.7643137693603236E-2</v>
      </c>
      <c r="AR81" s="368">
        <f t="shared" si="35"/>
        <v>6.2569902366582997E-2</v>
      </c>
      <c r="AS81" s="368">
        <f t="shared" si="35"/>
        <v>5.7877159689089269E-2</v>
      </c>
      <c r="AT81" s="368">
        <f t="shared" si="35"/>
        <v>5.3536372712407576E-2</v>
      </c>
      <c r="AU81" s="368">
        <f t="shared" si="35"/>
        <v>4.9521144758977009E-2</v>
      </c>
      <c r="AV81" s="368">
        <f t="shared" si="35"/>
        <v>4.5807058902053735E-2</v>
      </c>
      <c r="AW81" s="368">
        <f t="shared" si="35"/>
        <v>4.2371529484399706E-2</v>
      </c>
      <c r="AX81" s="368">
        <f t="shared" si="35"/>
        <v>3.9193664773069729E-2</v>
      </c>
      <c r="AY81" s="368">
        <f t="shared" si="35"/>
        <v>3.6254139915089502E-2</v>
      </c>
      <c r="AZ81" s="368">
        <f t="shared" si="35"/>
        <v>3.3535079421457788E-2</v>
      </c>
      <c r="BA81" s="368">
        <f t="shared" si="35"/>
        <v>3.1019948464848453E-2</v>
      </c>
      <c r="BB81" s="368">
        <f t="shared" si="35"/>
        <v>2.8693452329984818E-2</v>
      </c>
      <c r="BC81" s="368">
        <f t="shared" si="35"/>
        <v>2.6541443405235957E-2</v>
      </c>
      <c r="BD81" s="368">
        <f t="shared" si="35"/>
        <v>2.4550835149843259E-2</v>
      </c>
      <c r="BE81" s="368">
        <f t="shared" si="35"/>
        <v>2.2709522513605016E-2</v>
      </c>
    </row>
    <row r="82" spans="1:57" s="347" customFormat="1" hidden="1" outlineLevel="1">
      <c r="A82" s="365" t="s">
        <v>144</v>
      </c>
      <c r="B82" s="368"/>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row>
    <row r="83" spans="1:57" s="347" customFormat="1" hidden="1" outlineLevel="1">
      <c r="A83" s="347" t="s">
        <v>133</v>
      </c>
      <c r="B83" s="367"/>
      <c r="C83" s="372">
        <f>B$54</f>
        <v>3.2972065686708847</v>
      </c>
      <c r="D83" s="367">
        <f>C85</f>
        <v>2.0607541054193028</v>
      </c>
      <c r="E83" s="367">
        <f>D85</f>
        <v>1.2879713158870643</v>
      </c>
      <c r="F83" s="367">
        <f>E85</f>
        <v>0.80498207242941522</v>
      </c>
      <c r="G83" s="367">
        <f>F85</f>
        <v>0.50311379526838451</v>
      </c>
      <c r="H83" s="367">
        <f t="shared" ref="H83:BE83" si="36">G85</f>
        <v>0.31444612204274031</v>
      </c>
      <c r="I83" s="367">
        <f t="shared" si="36"/>
        <v>0.1965288262767127</v>
      </c>
      <c r="J83" s="367">
        <f t="shared" si="36"/>
        <v>0.12283051642294543</v>
      </c>
      <c r="K83" s="367">
        <f t="shared" si="36"/>
        <v>7.676907276434089E-2</v>
      </c>
      <c r="L83" s="367">
        <f t="shared" si="36"/>
        <v>4.7980670477713053E-2</v>
      </c>
      <c r="M83" s="367">
        <f t="shared" si="36"/>
        <v>2.9987919048570656E-2</v>
      </c>
      <c r="N83" s="367">
        <f t="shared" si="36"/>
        <v>1.8742449405356659E-2</v>
      </c>
      <c r="O83" s="367">
        <f t="shared" si="36"/>
        <v>1.1714030878347912E-2</v>
      </c>
      <c r="P83" s="367">
        <f t="shared" si="36"/>
        <v>7.3212692989674446E-3</v>
      </c>
      <c r="Q83" s="367">
        <f t="shared" si="36"/>
        <v>4.5757933118546531E-3</v>
      </c>
      <c r="R83" s="367">
        <f t="shared" si="36"/>
        <v>2.8598708199091584E-3</v>
      </c>
      <c r="S83" s="367">
        <f t="shared" si="36"/>
        <v>1.787419262443224E-3</v>
      </c>
      <c r="T83" s="367">
        <f t="shared" si="36"/>
        <v>1.1171370390270149E-3</v>
      </c>
      <c r="U83" s="367">
        <f t="shared" si="36"/>
        <v>6.9821064939188434E-4</v>
      </c>
      <c r="V83" s="367">
        <f t="shared" si="36"/>
        <v>4.3638165586992771E-4</v>
      </c>
      <c r="W83" s="367">
        <f t="shared" si="36"/>
        <v>2.7273853491870483E-4</v>
      </c>
      <c r="X83" s="367">
        <f t="shared" si="36"/>
        <v>1.7046158432419052E-4</v>
      </c>
      <c r="Y83" s="367">
        <f t="shared" si="36"/>
        <v>1.0653849020261907E-4</v>
      </c>
      <c r="Z83" s="367">
        <f t="shared" si="36"/>
        <v>6.6586556376636917E-5</v>
      </c>
      <c r="AA83" s="367">
        <f t="shared" si="36"/>
        <v>4.1616597735398073E-5</v>
      </c>
      <c r="AB83" s="367">
        <f t="shared" si="36"/>
        <v>2.6010373584623797E-5</v>
      </c>
      <c r="AC83" s="367">
        <f t="shared" si="36"/>
        <v>1.6256483490389873E-5</v>
      </c>
      <c r="AD83" s="367">
        <f t="shared" si="36"/>
        <v>1.016030218149367E-5</v>
      </c>
      <c r="AE83" s="367">
        <f t="shared" si="36"/>
        <v>6.3501888634335442E-6</v>
      </c>
      <c r="AF83" s="367">
        <f t="shared" si="36"/>
        <v>3.9688680396459651E-6</v>
      </c>
      <c r="AG83" s="367">
        <f t="shared" si="36"/>
        <v>2.4805425247787281E-6</v>
      </c>
      <c r="AH83" s="367">
        <f t="shared" si="36"/>
        <v>1.5503390779867051E-6</v>
      </c>
      <c r="AI83" s="367">
        <f t="shared" si="36"/>
        <v>9.6896192374169064E-7</v>
      </c>
      <c r="AJ83" s="367">
        <f t="shared" si="36"/>
        <v>6.0560120233855662E-7</v>
      </c>
      <c r="AK83" s="367">
        <f t="shared" si="36"/>
        <v>3.7850075146159789E-7</v>
      </c>
      <c r="AL83" s="367">
        <f t="shared" si="36"/>
        <v>2.3656296966349869E-7</v>
      </c>
      <c r="AM83" s="367">
        <f t="shared" si="36"/>
        <v>1.4785185603968667E-7</v>
      </c>
      <c r="AN83" s="367">
        <f t="shared" si="36"/>
        <v>9.2407410024804162E-8</v>
      </c>
      <c r="AO83" s="367">
        <f t="shared" si="36"/>
        <v>5.7754631265502598E-8</v>
      </c>
      <c r="AP83" s="367">
        <f t="shared" si="36"/>
        <v>3.6096644540939124E-8</v>
      </c>
      <c r="AQ83" s="367">
        <f t="shared" si="36"/>
        <v>2.2560402838086953E-8</v>
      </c>
      <c r="AR83" s="367">
        <f t="shared" si="36"/>
        <v>1.4100251773804346E-8</v>
      </c>
      <c r="AS83" s="367">
        <f t="shared" si="36"/>
        <v>8.8126573586277155E-9</v>
      </c>
      <c r="AT83" s="367">
        <f t="shared" si="36"/>
        <v>5.5079108491423222E-9</v>
      </c>
      <c r="AU83" s="367">
        <f t="shared" si="36"/>
        <v>3.4424442807139512E-9</v>
      </c>
      <c r="AV83" s="367">
        <f t="shared" si="36"/>
        <v>2.1515276754462197E-9</v>
      </c>
      <c r="AW83" s="367">
        <f t="shared" si="36"/>
        <v>1.3447047971538874E-9</v>
      </c>
      <c r="AX83" s="367">
        <f t="shared" si="36"/>
        <v>8.4044049822117963E-10</v>
      </c>
      <c r="AY83" s="367">
        <f t="shared" si="36"/>
        <v>5.2527531138823723E-10</v>
      </c>
      <c r="AZ83" s="367">
        <f t="shared" si="36"/>
        <v>3.2829706961764824E-10</v>
      </c>
      <c r="BA83" s="367">
        <f t="shared" si="36"/>
        <v>2.0518566851103016E-10</v>
      </c>
      <c r="BB83" s="367">
        <f t="shared" si="36"/>
        <v>1.2824104281939385E-10</v>
      </c>
      <c r="BC83" s="367">
        <f t="shared" si="36"/>
        <v>8.0150651762121161E-11</v>
      </c>
      <c r="BD83" s="367">
        <f t="shared" si="36"/>
        <v>5.0094157351325727E-11</v>
      </c>
      <c r="BE83" s="367">
        <f t="shared" si="36"/>
        <v>3.1308848344578576E-11</v>
      </c>
    </row>
    <row r="84" spans="1:57" s="347" customFormat="1" hidden="1" outlineLevel="1">
      <c r="A84" s="347" t="s">
        <v>134</v>
      </c>
      <c r="C84" s="367">
        <f>$C$54*C83</f>
        <v>1.2364524632515819</v>
      </c>
      <c r="D84" s="367">
        <f>$C$54*D83</f>
        <v>0.77278278953223856</v>
      </c>
      <c r="E84" s="367">
        <f>$C$54*E83</f>
        <v>0.4829892434576491</v>
      </c>
      <c r="F84" s="367">
        <f>$C$54*F83</f>
        <v>0.30186827716103071</v>
      </c>
      <c r="G84" s="367">
        <f>$C$54*G83</f>
        <v>0.18866767322564421</v>
      </c>
      <c r="H84" s="367">
        <f t="shared" ref="H84:BE84" si="37">$C$54*H83</f>
        <v>0.11791729576602761</v>
      </c>
      <c r="I84" s="367">
        <f t="shared" si="37"/>
        <v>7.3698309853767269E-2</v>
      </c>
      <c r="J84" s="367">
        <f t="shared" si="37"/>
        <v>4.6061443658604539E-2</v>
      </c>
      <c r="K84" s="367">
        <f t="shared" si="37"/>
        <v>2.8788402286627834E-2</v>
      </c>
      <c r="L84" s="367">
        <f t="shared" si="37"/>
        <v>1.7992751429142397E-2</v>
      </c>
      <c r="M84" s="367">
        <f t="shared" si="37"/>
        <v>1.1245469643213997E-2</v>
      </c>
      <c r="N84" s="367">
        <f t="shared" si="37"/>
        <v>7.0284185270087472E-3</v>
      </c>
      <c r="O84" s="367">
        <f t="shared" si="37"/>
        <v>4.3927615793804674E-3</v>
      </c>
      <c r="P84" s="367">
        <f t="shared" si="37"/>
        <v>2.7454759871127915E-3</v>
      </c>
      <c r="Q84" s="367">
        <f t="shared" si="37"/>
        <v>1.7159224919454949E-3</v>
      </c>
      <c r="R84" s="367">
        <f t="shared" si="37"/>
        <v>1.0724515574659344E-3</v>
      </c>
      <c r="S84" s="367">
        <f t="shared" si="37"/>
        <v>6.7028222341620905E-4</v>
      </c>
      <c r="T84" s="367">
        <f t="shared" si="37"/>
        <v>4.189263896351306E-4</v>
      </c>
      <c r="U84" s="367">
        <f t="shared" si="37"/>
        <v>2.6182899352195663E-4</v>
      </c>
      <c r="V84" s="367">
        <f t="shared" si="37"/>
        <v>1.6364312095122288E-4</v>
      </c>
      <c r="W84" s="367">
        <f t="shared" si="37"/>
        <v>1.0227695059451431E-4</v>
      </c>
      <c r="X84" s="367">
        <f t="shared" si="37"/>
        <v>6.3923094121571449E-5</v>
      </c>
      <c r="Y84" s="367">
        <f t="shared" si="37"/>
        <v>3.9951933825982156E-5</v>
      </c>
      <c r="Z84" s="367">
        <f t="shared" si="37"/>
        <v>2.4969958641238844E-5</v>
      </c>
      <c r="AA84" s="367">
        <f t="shared" si="37"/>
        <v>1.5606224150774276E-5</v>
      </c>
      <c r="AB84" s="367">
        <f t="shared" si="37"/>
        <v>9.753890094233924E-6</v>
      </c>
      <c r="AC84" s="367">
        <f t="shared" si="37"/>
        <v>6.0961813088962029E-6</v>
      </c>
      <c r="AD84" s="367">
        <f t="shared" si="37"/>
        <v>3.8101133180601262E-6</v>
      </c>
      <c r="AE84" s="367">
        <f t="shared" si="37"/>
        <v>2.3813208237875791E-6</v>
      </c>
      <c r="AF84" s="367">
        <f t="shared" si="37"/>
        <v>1.488325514867237E-6</v>
      </c>
      <c r="AG84" s="367">
        <f t="shared" si="37"/>
        <v>9.3020344679202304E-7</v>
      </c>
      <c r="AH84" s="367">
        <f t="shared" si="37"/>
        <v>5.8137715424501443E-7</v>
      </c>
      <c r="AI84" s="367">
        <f t="shared" si="37"/>
        <v>3.6336072140313402E-7</v>
      </c>
      <c r="AJ84" s="367">
        <f t="shared" si="37"/>
        <v>2.2710045087695873E-7</v>
      </c>
      <c r="AK84" s="367">
        <f t="shared" si="37"/>
        <v>1.419377817980992E-7</v>
      </c>
      <c r="AL84" s="367">
        <f t="shared" si="37"/>
        <v>8.8711113623812005E-8</v>
      </c>
      <c r="AM84" s="367">
        <f t="shared" si="37"/>
        <v>5.5444446014882501E-8</v>
      </c>
      <c r="AN84" s="367">
        <f t="shared" si="37"/>
        <v>3.4652778759301564E-8</v>
      </c>
      <c r="AO84" s="367">
        <f t="shared" si="37"/>
        <v>2.1657986724563474E-8</v>
      </c>
      <c r="AP84" s="367">
        <f t="shared" si="37"/>
        <v>1.3536241702852171E-8</v>
      </c>
      <c r="AQ84" s="367">
        <f t="shared" si="37"/>
        <v>8.460151064282607E-9</v>
      </c>
      <c r="AR84" s="367">
        <f t="shared" si="37"/>
        <v>5.2875944151766298E-9</v>
      </c>
      <c r="AS84" s="367">
        <f t="shared" si="37"/>
        <v>3.3047465094853933E-9</v>
      </c>
      <c r="AT84" s="367">
        <f t="shared" si="37"/>
        <v>2.065466568428371E-9</v>
      </c>
      <c r="AU84" s="367">
        <f t="shared" si="37"/>
        <v>1.2909166052677317E-9</v>
      </c>
      <c r="AV84" s="367">
        <f t="shared" si="37"/>
        <v>8.0682287829233238E-10</v>
      </c>
      <c r="AW84" s="367">
        <f t="shared" si="37"/>
        <v>5.0426429893270778E-10</v>
      </c>
      <c r="AX84" s="367">
        <f t="shared" si="37"/>
        <v>3.1516518683294235E-10</v>
      </c>
      <c r="AY84" s="367">
        <f t="shared" si="37"/>
        <v>1.9697824177058896E-10</v>
      </c>
      <c r="AZ84" s="367">
        <f t="shared" si="37"/>
        <v>1.2311140110661808E-10</v>
      </c>
      <c r="BA84" s="367">
        <f t="shared" si="37"/>
        <v>7.6944625691636312E-11</v>
      </c>
      <c r="BB84" s="367">
        <f t="shared" si="37"/>
        <v>4.8090391057272692E-11</v>
      </c>
      <c r="BC84" s="367">
        <f t="shared" si="37"/>
        <v>3.0056494410795434E-11</v>
      </c>
      <c r="BD84" s="367">
        <f t="shared" si="37"/>
        <v>1.8785309006747148E-11</v>
      </c>
      <c r="BE84" s="367">
        <f t="shared" si="37"/>
        <v>1.1740818129216966E-11</v>
      </c>
    </row>
    <row r="85" spans="1:57" s="347" customFormat="1" hidden="1" outlineLevel="1">
      <c r="A85" s="347" t="s">
        <v>135</v>
      </c>
      <c r="B85" s="368">
        <f>C83</f>
        <v>3.2972065686708847</v>
      </c>
      <c r="C85" s="368">
        <f>C83-C84</f>
        <v>2.0607541054193028</v>
      </c>
      <c r="D85" s="368">
        <f>D83-D84</f>
        <v>1.2879713158870643</v>
      </c>
      <c r="E85" s="368">
        <f>E83-E84</f>
        <v>0.80498207242941522</v>
      </c>
      <c r="F85" s="368">
        <f>F83-F84</f>
        <v>0.50311379526838451</v>
      </c>
      <c r="G85" s="368">
        <f>G83-G84</f>
        <v>0.31444612204274031</v>
      </c>
      <c r="H85" s="368">
        <f t="shared" ref="H85:BE85" si="38">H83-H84</f>
        <v>0.1965288262767127</v>
      </c>
      <c r="I85" s="368">
        <f t="shared" si="38"/>
        <v>0.12283051642294543</v>
      </c>
      <c r="J85" s="368">
        <f t="shared" si="38"/>
        <v>7.676907276434089E-2</v>
      </c>
      <c r="K85" s="368">
        <f t="shared" si="38"/>
        <v>4.7980670477713053E-2</v>
      </c>
      <c r="L85" s="368">
        <f t="shared" si="38"/>
        <v>2.9987919048570656E-2</v>
      </c>
      <c r="M85" s="368">
        <f t="shared" si="38"/>
        <v>1.8742449405356659E-2</v>
      </c>
      <c r="N85" s="368">
        <f t="shared" si="38"/>
        <v>1.1714030878347912E-2</v>
      </c>
      <c r="O85" s="368">
        <f t="shared" si="38"/>
        <v>7.3212692989674446E-3</v>
      </c>
      <c r="P85" s="368">
        <f t="shared" si="38"/>
        <v>4.5757933118546531E-3</v>
      </c>
      <c r="Q85" s="368">
        <f t="shared" si="38"/>
        <v>2.8598708199091584E-3</v>
      </c>
      <c r="R85" s="368">
        <f t="shared" si="38"/>
        <v>1.787419262443224E-3</v>
      </c>
      <c r="S85" s="368">
        <f t="shared" si="38"/>
        <v>1.1171370390270149E-3</v>
      </c>
      <c r="T85" s="368">
        <f t="shared" si="38"/>
        <v>6.9821064939188434E-4</v>
      </c>
      <c r="U85" s="368">
        <f t="shared" si="38"/>
        <v>4.3638165586992771E-4</v>
      </c>
      <c r="V85" s="368">
        <f t="shared" si="38"/>
        <v>2.7273853491870483E-4</v>
      </c>
      <c r="W85" s="368">
        <f t="shared" si="38"/>
        <v>1.7046158432419052E-4</v>
      </c>
      <c r="X85" s="368">
        <f t="shared" si="38"/>
        <v>1.0653849020261907E-4</v>
      </c>
      <c r="Y85" s="368">
        <f t="shared" si="38"/>
        <v>6.6586556376636917E-5</v>
      </c>
      <c r="Z85" s="368">
        <f t="shared" si="38"/>
        <v>4.1616597735398073E-5</v>
      </c>
      <c r="AA85" s="368">
        <f t="shared" si="38"/>
        <v>2.6010373584623797E-5</v>
      </c>
      <c r="AB85" s="368">
        <f t="shared" si="38"/>
        <v>1.6256483490389873E-5</v>
      </c>
      <c r="AC85" s="368">
        <f t="shared" si="38"/>
        <v>1.016030218149367E-5</v>
      </c>
      <c r="AD85" s="368">
        <f t="shared" si="38"/>
        <v>6.3501888634335442E-6</v>
      </c>
      <c r="AE85" s="368">
        <f t="shared" si="38"/>
        <v>3.9688680396459651E-6</v>
      </c>
      <c r="AF85" s="368">
        <f t="shared" si="38"/>
        <v>2.4805425247787281E-6</v>
      </c>
      <c r="AG85" s="368">
        <f t="shared" si="38"/>
        <v>1.5503390779867051E-6</v>
      </c>
      <c r="AH85" s="368">
        <f t="shared" si="38"/>
        <v>9.6896192374169064E-7</v>
      </c>
      <c r="AI85" s="368">
        <f t="shared" si="38"/>
        <v>6.0560120233855662E-7</v>
      </c>
      <c r="AJ85" s="368">
        <f t="shared" si="38"/>
        <v>3.7850075146159789E-7</v>
      </c>
      <c r="AK85" s="368">
        <f t="shared" si="38"/>
        <v>2.3656296966349869E-7</v>
      </c>
      <c r="AL85" s="368">
        <f t="shared" si="38"/>
        <v>1.4785185603968667E-7</v>
      </c>
      <c r="AM85" s="368">
        <f t="shared" si="38"/>
        <v>9.2407410024804162E-8</v>
      </c>
      <c r="AN85" s="368">
        <f t="shared" si="38"/>
        <v>5.7754631265502598E-8</v>
      </c>
      <c r="AO85" s="368">
        <f t="shared" si="38"/>
        <v>3.6096644540939124E-8</v>
      </c>
      <c r="AP85" s="368">
        <f t="shared" si="38"/>
        <v>2.2560402838086953E-8</v>
      </c>
      <c r="AQ85" s="368">
        <f t="shared" si="38"/>
        <v>1.4100251773804346E-8</v>
      </c>
      <c r="AR85" s="368">
        <f t="shared" si="38"/>
        <v>8.8126573586277155E-9</v>
      </c>
      <c r="AS85" s="368">
        <f t="shared" si="38"/>
        <v>5.5079108491423222E-9</v>
      </c>
      <c r="AT85" s="368">
        <f t="shared" si="38"/>
        <v>3.4424442807139512E-9</v>
      </c>
      <c r="AU85" s="368">
        <f t="shared" si="38"/>
        <v>2.1515276754462197E-9</v>
      </c>
      <c r="AV85" s="368">
        <f t="shared" si="38"/>
        <v>1.3447047971538874E-9</v>
      </c>
      <c r="AW85" s="368">
        <f t="shared" si="38"/>
        <v>8.4044049822117963E-10</v>
      </c>
      <c r="AX85" s="368">
        <f t="shared" si="38"/>
        <v>5.2527531138823723E-10</v>
      </c>
      <c r="AY85" s="368">
        <f t="shared" si="38"/>
        <v>3.2829706961764824E-10</v>
      </c>
      <c r="AZ85" s="368">
        <f t="shared" si="38"/>
        <v>2.0518566851103016E-10</v>
      </c>
      <c r="BA85" s="368">
        <f t="shared" si="38"/>
        <v>1.2824104281939385E-10</v>
      </c>
      <c r="BB85" s="368">
        <f t="shared" si="38"/>
        <v>8.0150651762121161E-11</v>
      </c>
      <c r="BC85" s="368">
        <f t="shared" si="38"/>
        <v>5.0094157351325727E-11</v>
      </c>
      <c r="BD85" s="368">
        <f t="shared" si="38"/>
        <v>3.1308848344578576E-11</v>
      </c>
      <c r="BE85" s="368">
        <f t="shared" si="38"/>
        <v>1.956803021536161E-11</v>
      </c>
    </row>
    <row r="86" spans="1:57" s="347" customFormat="1" hidden="1" outlineLevel="1">
      <c r="A86" s="365" t="s">
        <v>145</v>
      </c>
      <c r="B86" s="368"/>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row>
    <row r="87" spans="1:57" s="347" customFormat="1" hidden="1" outlineLevel="1">
      <c r="A87" s="347" t="s">
        <v>133</v>
      </c>
      <c r="B87" s="367"/>
      <c r="C87" s="372">
        <f>B$55</f>
        <v>0</v>
      </c>
      <c r="D87" s="367">
        <f>C89</f>
        <v>0</v>
      </c>
      <c r="E87" s="367">
        <f>D89</f>
        <v>0</v>
      </c>
      <c r="F87" s="367">
        <f>E89</f>
        <v>0</v>
      </c>
      <c r="G87" s="367">
        <f>F89</f>
        <v>0</v>
      </c>
      <c r="H87" s="367">
        <f t="shared" ref="H87:BE87" si="39">G89</f>
        <v>0</v>
      </c>
      <c r="I87" s="367">
        <f t="shared" si="39"/>
        <v>0</v>
      </c>
      <c r="J87" s="367">
        <f t="shared" si="39"/>
        <v>0</v>
      </c>
      <c r="K87" s="367">
        <f t="shared" si="39"/>
        <v>0</v>
      </c>
      <c r="L87" s="367">
        <f t="shared" si="39"/>
        <v>0</v>
      </c>
      <c r="M87" s="367">
        <f t="shared" si="39"/>
        <v>0</v>
      </c>
      <c r="N87" s="367">
        <f t="shared" si="39"/>
        <v>0</v>
      </c>
      <c r="O87" s="367">
        <f t="shared" si="39"/>
        <v>0</v>
      </c>
      <c r="P87" s="367">
        <f t="shared" si="39"/>
        <v>0</v>
      </c>
      <c r="Q87" s="367">
        <f t="shared" si="39"/>
        <v>0</v>
      </c>
      <c r="R87" s="367">
        <f t="shared" si="39"/>
        <v>0</v>
      </c>
      <c r="S87" s="367">
        <f t="shared" si="39"/>
        <v>0</v>
      </c>
      <c r="T87" s="367">
        <f t="shared" si="39"/>
        <v>0</v>
      </c>
      <c r="U87" s="367">
        <f t="shared" si="39"/>
        <v>0</v>
      </c>
      <c r="V87" s="367">
        <f t="shared" si="39"/>
        <v>0</v>
      </c>
      <c r="W87" s="367">
        <f t="shared" si="39"/>
        <v>0</v>
      </c>
      <c r="X87" s="367">
        <f t="shared" si="39"/>
        <v>0</v>
      </c>
      <c r="Y87" s="367">
        <f t="shared" si="39"/>
        <v>0</v>
      </c>
      <c r="Z87" s="367">
        <f t="shared" si="39"/>
        <v>0</v>
      </c>
      <c r="AA87" s="367">
        <f t="shared" si="39"/>
        <v>0</v>
      </c>
      <c r="AB87" s="367">
        <f t="shared" si="39"/>
        <v>0</v>
      </c>
      <c r="AC87" s="367">
        <f t="shared" si="39"/>
        <v>0</v>
      </c>
      <c r="AD87" s="367">
        <f t="shared" si="39"/>
        <v>0</v>
      </c>
      <c r="AE87" s="367">
        <f t="shared" si="39"/>
        <v>0</v>
      </c>
      <c r="AF87" s="367">
        <f t="shared" si="39"/>
        <v>0</v>
      </c>
      <c r="AG87" s="367">
        <f t="shared" si="39"/>
        <v>0</v>
      </c>
      <c r="AH87" s="367">
        <f t="shared" si="39"/>
        <v>0</v>
      </c>
      <c r="AI87" s="367">
        <f t="shared" si="39"/>
        <v>0</v>
      </c>
      <c r="AJ87" s="367">
        <f t="shared" si="39"/>
        <v>0</v>
      </c>
      <c r="AK87" s="367">
        <f t="shared" si="39"/>
        <v>0</v>
      </c>
      <c r="AL87" s="367">
        <f t="shared" si="39"/>
        <v>0</v>
      </c>
      <c r="AM87" s="367">
        <f t="shared" si="39"/>
        <v>0</v>
      </c>
      <c r="AN87" s="367">
        <f t="shared" si="39"/>
        <v>0</v>
      </c>
      <c r="AO87" s="367">
        <f t="shared" si="39"/>
        <v>0</v>
      </c>
      <c r="AP87" s="367">
        <f t="shared" si="39"/>
        <v>0</v>
      </c>
      <c r="AQ87" s="367">
        <f t="shared" si="39"/>
        <v>0</v>
      </c>
      <c r="AR87" s="367">
        <f t="shared" si="39"/>
        <v>0</v>
      </c>
      <c r="AS87" s="367">
        <f t="shared" si="39"/>
        <v>0</v>
      </c>
      <c r="AT87" s="367">
        <f t="shared" si="39"/>
        <v>0</v>
      </c>
      <c r="AU87" s="367">
        <f t="shared" si="39"/>
        <v>0</v>
      </c>
      <c r="AV87" s="367">
        <f t="shared" si="39"/>
        <v>0</v>
      </c>
      <c r="AW87" s="367">
        <f t="shared" si="39"/>
        <v>0</v>
      </c>
      <c r="AX87" s="367">
        <f t="shared" si="39"/>
        <v>0</v>
      </c>
      <c r="AY87" s="367">
        <f t="shared" si="39"/>
        <v>0</v>
      </c>
      <c r="AZ87" s="367">
        <f t="shared" si="39"/>
        <v>0</v>
      </c>
      <c r="BA87" s="367">
        <f t="shared" si="39"/>
        <v>0</v>
      </c>
      <c r="BB87" s="367">
        <f t="shared" si="39"/>
        <v>0</v>
      </c>
      <c r="BC87" s="367">
        <f t="shared" si="39"/>
        <v>0</v>
      </c>
      <c r="BD87" s="367">
        <f t="shared" si="39"/>
        <v>0</v>
      </c>
      <c r="BE87" s="367">
        <f t="shared" si="39"/>
        <v>0</v>
      </c>
    </row>
    <row r="88" spans="1:57" s="347" customFormat="1" hidden="1" outlineLevel="1">
      <c r="A88" s="347" t="s">
        <v>134</v>
      </c>
      <c r="C88" s="367">
        <f>$C$55*C87</f>
        <v>0</v>
      </c>
      <c r="D88" s="367">
        <f>$C$55*D87</f>
        <v>0</v>
      </c>
      <c r="E88" s="367">
        <f>$C$55*E87</f>
        <v>0</v>
      </c>
      <c r="F88" s="367">
        <f>$C$55*F87</f>
        <v>0</v>
      </c>
      <c r="G88" s="367">
        <f>$C$55*G87</f>
        <v>0</v>
      </c>
      <c r="H88" s="367">
        <f t="shared" ref="H88:BE88" si="40">$C$55*H87</f>
        <v>0</v>
      </c>
      <c r="I88" s="367">
        <f t="shared" si="40"/>
        <v>0</v>
      </c>
      <c r="J88" s="367">
        <f t="shared" si="40"/>
        <v>0</v>
      </c>
      <c r="K88" s="367">
        <f t="shared" si="40"/>
        <v>0</v>
      </c>
      <c r="L88" s="367">
        <f t="shared" si="40"/>
        <v>0</v>
      </c>
      <c r="M88" s="367">
        <f t="shared" si="40"/>
        <v>0</v>
      </c>
      <c r="N88" s="367">
        <f t="shared" si="40"/>
        <v>0</v>
      </c>
      <c r="O88" s="367">
        <f t="shared" si="40"/>
        <v>0</v>
      </c>
      <c r="P88" s="367">
        <f t="shared" si="40"/>
        <v>0</v>
      </c>
      <c r="Q88" s="367">
        <f t="shared" si="40"/>
        <v>0</v>
      </c>
      <c r="R88" s="367">
        <f t="shared" si="40"/>
        <v>0</v>
      </c>
      <c r="S88" s="367">
        <f t="shared" si="40"/>
        <v>0</v>
      </c>
      <c r="T88" s="367">
        <f t="shared" si="40"/>
        <v>0</v>
      </c>
      <c r="U88" s="367">
        <f t="shared" si="40"/>
        <v>0</v>
      </c>
      <c r="V88" s="367">
        <f t="shared" si="40"/>
        <v>0</v>
      </c>
      <c r="W88" s="367">
        <f t="shared" si="40"/>
        <v>0</v>
      </c>
      <c r="X88" s="367">
        <f t="shared" si="40"/>
        <v>0</v>
      </c>
      <c r="Y88" s="367">
        <f t="shared" si="40"/>
        <v>0</v>
      </c>
      <c r="Z88" s="367">
        <f t="shared" si="40"/>
        <v>0</v>
      </c>
      <c r="AA88" s="367">
        <f t="shared" si="40"/>
        <v>0</v>
      </c>
      <c r="AB88" s="367">
        <f t="shared" si="40"/>
        <v>0</v>
      </c>
      <c r="AC88" s="367">
        <f t="shared" si="40"/>
        <v>0</v>
      </c>
      <c r="AD88" s="367">
        <f t="shared" si="40"/>
        <v>0</v>
      </c>
      <c r="AE88" s="367">
        <f t="shared" si="40"/>
        <v>0</v>
      </c>
      <c r="AF88" s="367">
        <f t="shared" si="40"/>
        <v>0</v>
      </c>
      <c r="AG88" s="367">
        <f t="shared" si="40"/>
        <v>0</v>
      </c>
      <c r="AH88" s="367">
        <f t="shared" si="40"/>
        <v>0</v>
      </c>
      <c r="AI88" s="367">
        <f t="shared" si="40"/>
        <v>0</v>
      </c>
      <c r="AJ88" s="367">
        <f t="shared" si="40"/>
        <v>0</v>
      </c>
      <c r="AK88" s="367">
        <f t="shared" si="40"/>
        <v>0</v>
      </c>
      <c r="AL88" s="367">
        <f t="shared" si="40"/>
        <v>0</v>
      </c>
      <c r="AM88" s="367">
        <f t="shared" si="40"/>
        <v>0</v>
      </c>
      <c r="AN88" s="367">
        <f t="shared" si="40"/>
        <v>0</v>
      </c>
      <c r="AO88" s="367">
        <f t="shared" si="40"/>
        <v>0</v>
      </c>
      <c r="AP88" s="367">
        <f t="shared" si="40"/>
        <v>0</v>
      </c>
      <c r="AQ88" s="367">
        <f t="shared" si="40"/>
        <v>0</v>
      </c>
      <c r="AR88" s="367">
        <f t="shared" si="40"/>
        <v>0</v>
      </c>
      <c r="AS88" s="367">
        <f t="shared" si="40"/>
        <v>0</v>
      </c>
      <c r="AT88" s="367">
        <f t="shared" si="40"/>
        <v>0</v>
      </c>
      <c r="AU88" s="367">
        <f t="shared" si="40"/>
        <v>0</v>
      </c>
      <c r="AV88" s="367">
        <f t="shared" si="40"/>
        <v>0</v>
      </c>
      <c r="AW88" s="367">
        <f t="shared" si="40"/>
        <v>0</v>
      </c>
      <c r="AX88" s="367">
        <f t="shared" si="40"/>
        <v>0</v>
      </c>
      <c r="AY88" s="367">
        <f t="shared" si="40"/>
        <v>0</v>
      </c>
      <c r="AZ88" s="367">
        <f t="shared" si="40"/>
        <v>0</v>
      </c>
      <c r="BA88" s="367">
        <f t="shared" si="40"/>
        <v>0</v>
      </c>
      <c r="BB88" s="367">
        <f t="shared" si="40"/>
        <v>0</v>
      </c>
      <c r="BC88" s="367">
        <f t="shared" si="40"/>
        <v>0</v>
      </c>
      <c r="BD88" s="367">
        <f t="shared" si="40"/>
        <v>0</v>
      </c>
      <c r="BE88" s="367">
        <f t="shared" si="40"/>
        <v>0</v>
      </c>
    </row>
    <row r="89" spans="1:57" s="347" customFormat="1" hidden="1" outlineLevel="1">
      <c r="A89" s="347" t="s">
        <v>135</v>
      </c>
      <c r="B89" s="368">
        <f>C87</f>
        <v>0</v>
      </c>
      <c r="C89" s="368">
        <f>C87-C88</f>
        <v>0</v>
      </c>
      <c r="D89" s="368">
        <f>D87-D88</f>
        <v>0</v>
      </c>
      <c r="E89" s="368">
        <f>E87-E88</f>
        <v>0</v>
      </c>
      <c r="F89" s="368">
        <f>F87-F88</f>
        <v>0</v>
      </c>
      <c r="G89" s="368">
        <f>G87-G88</f>
        <v>0</v>
      </c>
      <c r="H89" s="368">
        <f t="shared" ref="H89:BE89" si="41">H87-H88</f>
        <v>0</v>
      </c>
      <c r="I89" s="368">
        <f t="shared" si="41"/>
        <v>0</v>
      </c>
      <c r="J89" s="368">
        <f t="shared" si="41"/>
        <v>0</v>
      </c>
      <c r="K89" s="368">
        <f t="shared" si="41"/>
        <v>0</v>
      </c>
      <c r="L89" s="368">
        <f t="shared" si="41"/>
        <v>0</v>
      </c>
      <c r="M89" s="368">
        <f t="shared" si="41"/>
        <v>0</v>
      </c>
      <c r="N89" s="368">
        <f t="shared" si="41"/>
        <v>0</v>
      </c>
      <c r="O89" s="368">
        <f t="shared" si="41"/>
        <v>0</v>
      </c>
      <c r="P89" s="368">
        <f t="shared" si="41"/>
        <v>0</v>
      </c>
      <c r="Q89" s="368">
        <f t="shared" si="41"/>
        <v>0</v>
      </c>
      <c r="R89" s="368">
        <f t="shared" si="41"/>
        <v>0</v>
      </c>
      <c r="S89" s="368">
        <f t="shared" si="41"/>
        <v>0</v>
      </c>
      <c r="T89" s="368">
        <f t="shared" si="41"/>
        <v>0</v>
      </c>
      <c r="U89" s="368">
        <f t="shared" si="41"/>
        <v>0</v>
      </c>
      <c r="V89" s="368">
        <f t="shared" si="41"/>
        <v>0</v>
      </c>
      <c r="W89" s="368">
        <f t="shared" si="41"/>
        <v>0</v>
      </c>
      <c r="X89" s="368">
        <f t="shared" si="41"/>
        <v>0</v>
      </c>
      <c r="Y89" s="368">
        <f t="shared" si="41"/>
        <v>0</v>
      </c>
      <c r="Z89" s="368">
        <f t="shared" si="41"/>
        <v>0</v>
      </c>
      <c r="AA89" s="368">
        <f t="shared" si="41"/>
        <v>0</v>
      </c>
      <c r="AB89" s="368">
        <f t="shared" si="41"/>
        <v>0</v>
      </c>
      <c r="AC89" s="368">
        <f t="shared" si="41"/>
        <v>0</v>
      </c>
      <c r="AD89" s="368">
        <f t="shared" si="41"/>
        <v>0</v>
      </c>
      <c r="AE89" s="368">
        <f t="shared" si="41"/>
        <v>0</v>
      </c>
      <c r="AF89" s="368">
        <f t="shared" si="41"/>
        <v>0</v>
      </c>
      <c r="AG89" s="368">
        <f t="shared" si="41"/>
        <v>0</v>
      </c>
      <c r="AH89" s="368">
        <f t="shared" si="41"/>
        <v>0</v>
      </c>
      <c r="AI89" s="368">
        <f t="shared" si="41"/>
        <v>0</v>
      </c>
      <c r="AJ89" s="368">
        <f t="shared" si="41"/>
        <v>0</v>
      </c>
      <c r="AK89" s="368">
        <f t="shared" si="41"/>
        <v>0</v>
      </c>
      <c r="AL89" s="368">
        <f t="shared" si="41"/>
        <v>0</v>
      </c>
      <c r="AM89" s="368">
        <f t="shared" si="41"/>
        <v>0</v>
      </c>
      <c r="AN89" s="368">
        <f t="shared" si="41"/>
        <v>0</v>
      </c>
      <c r="AO89" s="368">
        <f t="shared" si="41"/>
        <v>0</v>
      </c>
      <c r="AP89" s="368">
        <f t="shared" si="41"/>
        <v>0</v>
      </c>
      <c r="AQ89" s="368">
        <f t="shared" si="41"/>
        <v>0</v>
      </c>
      <c r="AR89" s="368">
        <f t="shared" si="41"/>
        <v>0</v>
      </c>
      <c r="AS89" s="368">
        <f t="shared" si="41"/>
        <v>0</v>
      </c>
      <c r="AT89" s="368">
        <f t="shared" si="41"/>
        <v>0</v>
      </c>
      <c r="AU89" s="368">
        <f t="shared" si="41"/>
        <v>0</v>
      </c>
      <c r="AV89" s="368">
        <f t="shared" si="41"/>
        <v>0</v>
      </c>
      <c r="AW89" s="368">
        <f t="shared" si="41"/>
        <v>0</v>
      </c>
      <c r="AX89" s="368">
        <f t="shared" si="41"/>
        <v>0</v>
      </c>
      <c r="AY89" s="368">
        <f t="shared" si="41"/>
        <v>0</v>
      </c>
      <c r="AZ89" s="368">
        <f t="shared" si="41"/>
        <v>0</v>
      </c>
      <c r="BA89" s="368">
        <f t="shared" si="41"/>
        <v>0</v>
      </c>
      <c r="BB89" s="368">
        <f t="shared" si="41"/>
        <v>0</v>
      </c>
      <c r="BC89" s="368">
        <f t="shared" si="41"/>
        <v>0</v>
      </c>
      <c r="BD89" s="368">
        <f t="shared" si="41"/>
        <v>0</v>
      </c>
      <c r="BE89" s="368">
        <f t="shared" si="41"/>
        <v>0</v>
      </c>
    </row>
    <row r="90" spans="1:57" s="347" customFormat="1" hidden="1" outlineLevel="1">
      <c r="A90" s="365" t="s">
        <v>112</v>
      </c>
      <c r="B90" s="368"/>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row>
    <row r="91" spans="1:57" s="347" customFormat="1" hidden="1" outlineLevel="1">
      <c r="A91" s="347" t="s">
        <v>133</v>
      </c>
      <c r="B91" s="367"/>
      <c r="C91" s="372">
        <f>B$56</f>
        <v>7.2814963572285123</v>
      </c>
      <c r="D91" s="367">
        <f>C93</f>
        <v>6.7353841304363735</v>
      </c>
      <c r="E91" s="367">
        <f>D93</f>
        <v>6.2302303206536456</v>
      </c>
      <c r="F91" s="367">
        <f>E93</f>
        <v>5.7629630466046224</v>
      </c>
      <c r="G91" s="367">
        <f>F93</f>
        <v>5.3307408181092759</v>
      </c>
      <c r="H91" s="367">
        <f t="shared" ref="H91:BE91" si="42">G93</f>
        <v>4.9309352567510807</v>
      </c>
      <c r="I91" s="367">
        <f t="shared" si="42"/>
        <v>4.5611151124947495</v>
      </c>
      <c r="J91" s="367">
        <f t="shared" si="42"/>
        <v>4.2190314790576435</v>
      </c>
      <c r="K91" s="367">
        <f t="shared" si="42"/>
        <v>3.9026041181283202</v>
      </c>
      <c r="L91" s="367">
        <f t="shared" si="42"/>
        <v>3.6099088092686964</v>
      </c>
      <c r="M91" s="367">
        <f t="shared" si="42"/>
        <v>3.3391656485735441</v>
      </c>
      <c r="N91" s="367">
        <f t="shared" si="42"/>
        <v>3.0887282249305281</v>
      </c>
      <c r="O91" s="367">
        <f t="shared" si="42"/>
        <v>2.8570736080607384</v>
      </c>
      <c r="P91" s="367">
        <f t="shared" si="42"/>
        <v>2.6427930874561829</v>
      </c>
      <c r="Q91" s="367">
        <f t="shared" si="42"/>
        <v>2.4445836058969692</v>
      </c>
      <c r="R91" s="367">
        <f t="shared" si="42"/>
        <v>2.2612398354546963</v>
      </c>
      <c r="S91" s="367">
        <f t="shared" si="42"/>
        <v>2.0916468477955941</v>
      </c>
      <c r="T91" s="367">
        <f t="shared" si="42"/>
        <v>1.9347733342109246</v>
      </c>
      <c r="U91" s="367">
        <f t="shared" si="42"/>
        <v>1.7896653341451052</v>
      </c>
      <c r="V91" s="367">
        <f t="shared" si="42"/>
        <v>1.6554404340842224</v>
      </c>
      <c r="W91" s="367">
        <f t="shared" si="42"/>
        <v>1.5312824015279056</v>
      </c>
      <c r="X91" s="367">
        <f t="shared" si="42"/>
        <v>1.4164362214133126</v>
      </c>
      <c r="Y91" s="367">
        <f t="shared" si="42"/>
        <v>1.3102035048073142</v>
      </c>
      <c r="Z91" s="367">
        <f t="shared" si="42"/>
        <v>1.2119382419467657</v>
      </c>
      <c r="AA91" s="367">
        <f t="shared" si="42"/>
        <v>1.1210428738007583</v>
      </c>
      <c r="AB91" s="367">
        <f t="shared" si="42"/>
        <v>1.0369646582657015</v>
      </c>
      <c r="AC91" s="367">
        <f t="shared" si="42"/>
        <v>0.95919230889577389</v>
      </c>
      <c r="AD91" s="367">
        <f t="shared" si="42"/>
        <v>0.88725288572859085</v>
      </c>
      <c r="AE91" s="367">
        <f t="shared" si="42"/>
        <v>0.82070891929894652</v>
      </c>
      <c r="AF91" s="367">
        <f t="shared" si="42"/>
        <v>0.75915575035152549</v>
      </c>
      <c r="AG91" s="367">
        <f t="shared" si="42"/>
        <v>0.70221906907516107</v>
      </c>
      <c r="AH91" s="367">
        <f t="shared" si="42"/>
        <v>0.64955263889452397</v>
      </c>
      <c r="AI91" s="367">
        <f t="shared" si="42"/>
        <v>0.60083619097743468</v>
      </c>
      <c r="AJ91" s="367">
        <f t="shared" si="42"/>
        <v>0.55577347665412713</v>
      </c>
      <c r="AK91" s="367">
        <f t="shared" si="42"/>
        <v>0.51409046590506757</v>
      </c>
      <c r="AL91" s="367">
        <f t="shared" si="42"/>
        <v>0.47553368096218751</v>
      </c>
      <c r="AM91" s="367">
        <f t="shared" si="42"/>
        <v>0.43986865489002347</v>
      </c>
      <c r="AN91" s="367">
        <f t="shared" si="42"/>
        <v>0.40687850577327173</v>
      </c>
      <c r="AO91" s="367">
        <f t="shared" si="42"/>
        <v>0.37636261784027636</v>
      </c>
      <c r="AP91" s="367">
        <f t="shared" si="42"/>
        <v>0.34813542150225563</v>
      </c>
      <c r="AQ91" s="367">
        <f t="shared" si="42"/>
        <v>0.32202526488958644</v>
      </c>
      <c r="AR91" s="367">
        <f t="shared" si="42"/>
        <v>0.29787337002286746</v>
      </c>
      <c r="AS91" s="367">
        <f t="shared" si="42"/>
        <v>0.27553286727115239</v>
      </c>
      <c r="AT91" s="367">
        <f t="shared" si="42"/>
        <v>0.25486790222581596</v>
      </c>
      <c r="AU91" s="367">
        <f t="shared" si="42"/>
        <v>0.23575280955887976</v>
      </c>
      <c r="AV91" s="367">
        <f t="shared" si="42"/>
        <v>0.21807134884196377</v>
      </c>
      <c r="AW91" s="367">
        <f t="shared" si="42"/>
        <v>0.20171599767881648</v>
      </c>
      <c r="AX91" s="367">
        <f t="shared" si="42"/>
        <v>0.18658729785290526</v>
      </c>
      <c r="AY91" s="367">
        <f t="shared" si="42"/>
        <v>0.17259325051393737</v>
      </c>
      <c r="AZ91" s="367">
        <f t="shared" si="42"/>
        <v>0.15964875672539205</v>
      </c>
      <c r="BA91" s="367">
        <f t="shared" si="42"/>
        <v>0.14767509997098766</v>
      </c>
      <c r="BB91" s="367">
        <f t="shared" si="42"/>
        <v>0.13659946747316359</v>
      </c>
      <c r="BC91" s="367">
        <f t="shared" si="42"/>
        <v>0.12635450741267631</v>
      </c>
      <c r="BD91" s="367">
        <f t="shared" si="42"/>
        <v>0.11687791935672559</v>
      </c>
      <c r="BE91" s="367">
        <f t="shared" si="42"/>
        <v>0.10811207540497117</v>
      </c>
    </row>
    <row r="92" spans="1:57" s="347" customFormat="1" hidden="1" outlineLevel="1">
      <c r="A92" s="347" t="s">
        <v>134</v>
      </c>
      <c r="C92" s="367">
        <f>$C$56*C91</f>
        <v>0.54611222679213844</v>
      </c>
      <c r="D92" s="367">
        <f>$C$56*D91</f>
        <v>0.50515380978272795</v>
      </c>
      <c r="E92" s="367">
        <f>$C$56*E91</f>
        <v>0.46726727404902341</v>
      </c>
      <c r="F92" s="367">
        <f>$C$56*F91</f>
        <v>0.43222222849534669</v>
      </c>
      <c r="G92" s="367">
        <f>$C$56*G91</f>
        <v>0.39980556135819567</v>
      </c>
      <c r="H92" s="367">
        <f t="shared" ref="H92:BE92" si="43">$C$56*H91</f>
        <v>0.36982014425633103</v>
      </c>
      <c r="I92" s="367">
        <f t="shared" si="43"/>
        <v>0.34208363343710618</v>
      </c>
      <c r="J92" s="367">
        <f t="shared" si="43"/>
        <v>0.31642736092932328</v>
      </c>
      <c r="K92" s="367">
        <f t="shared" si="43"/>
        <v>0.29269530885962403</v>
      </c>
      <c r="L92" s="367">
        <f t="shared" si="43"/>
        <v>0.2707431606951522</v>
      </c>
      <c r="M92" s="367">
        <f t="shared" si="43"/>
        <v>0.2504374236430158</v>
      </c>
      <c r="N92" s="367">
        <f t="shared" si="43"/>
        <v>0.23165461686978961</v>
      </c>
      <c r="O92" s="367">
        <f t="shared" si="43"/>
        <v>0.21428052060455538</v>
      </c>
      <c r="P92" s="367">
        <f t="shared" si="43"/>
        <v>0.19820948155921372</v>
      </c>
      <c r="Q92" s="367">
        <f t="shared" si="43"/>
        <v>0.18334377044227268</v>
      </c>
      <c r="R92" s="367">
        <f t="shared" si="43"/>
        <v>0.16959298765910222</v>
      </c>
      <c r="S92" s="367">
        <f t="shared" si="43"/>
        <v>0.15687351358466955</v>
      </c>
      <c r="T92" s="367">
        <f t="shared" si="43"/>
        <v>0.14510800006581934</v>
      </c>
      <c r="U92" s="367">
        <f t="shared" si="43"/>
        <v>0.13422490006088289</v>
      </c>
      <c r="V92" s="367">
        <f t="shared" si="43"/>
        <v>0.12415803255631667</v>
      </c>
      <c r="W92" s="367">
        <f t="shared" si="43"/>
        <v>0.11484618011459291</v>
      </c>
      <c r="X92" s="367">
        <f t="shared" si="43"/>
        <v>0.10623271660599844</v>
      </c>
      <c r="Y92" s="367">
        <f t="shared" si="43"/>
        <v>9.8265262860548555E-2</v>
      </c>
      <c r="Z92" s="367">
        <f t="shared" si="43"/>
        <v>9.0895368146007419E-2</v>
      </c>
      <c r="AA92" s="367">
        <f t="shared" si="43"/>
        <v>8.4078215535056872E-2</v>
      </c>
      <c r="AB92" s="367">
        <f t="shared" si="43"/>
        <v>7.7772349369927607E-2</v>
      </c>
      <c r="AC92" s="367">
        <f t="shared" si="43"/>
        <v>7.1939423167183034E-2</v>
      </c>
      <c r="AD92" s="367">
        <f t="shared" si="43"/>
        <v>6.6543966429644316E-2</v>
      </c>
      <c r="AE92" s="367">
        <f t="shared" si="43"/>
        <v>6.1553168947420987E-2</v>
      </c>
      <c r="AF92" s="367">
        <f t="shared" si="43"/>
        <v>5.6936681276364406E-2</v>
      </c>
      <c r="AG92" s="367">
        <f t="shared" si="43"/>
        <v>5.2666430180637082E-2</v>
      </c>
      <c r="AH92" s="367">
        <f t="shared" si="43"/>
        <v>4.8716447917089296E-2</v>
      </c>
      <c r="AI92" s="367">
        <f t="shared" si="43"/>
        <v>4.50627143233076E-2</v>
      </c>
      <c r="AJ92" s="367">
        <f t="shared" si="43"/>
        <v>4.1683010749059536E-2</v>
      </c>
      <c r="AK92" s="367">
        <f t="shared" si="43"/>
        <v>3.8556784942880069E-2</v>
      </c>
      <c r="AL92" s="367">
        <f t="shared" si="43"/>
        <v>3.5665026072164062E-2</v>
      </c>
      <c r="AM92" s="367">
        <f t="shared" si="43"/>
        <v>3.2990149116751757E-2</v>
      </c>
      <c r="AN92" s="367">
        <f t="shared" si="43"/>
        <v>3.0515887932995377E-2</v>
      </c>
      <c r="AO92" s="367">
        <f t="shared" si="43"/>
        <v>2.8227196338020726E-2</v>
      </c>
      <c r="AP92" s="367">
        <f t="shared" si="43"/>
        <v>2.6110156612669171E-2</v>
      </c>
      <c r="AQ92" s="367">
        <f t="shared" si="43"/>
        <v>2.4151894866718981E-2</v>
      </c>
      <c r="AR92" s="367">
        <f t="shared" si="43"/>
        <v>2.234050275171506E-2</v>
      </c>
      <c r="AS92" s="367">
        <f t="shared" si="43"/>
        <v>2.0664965045336429E-2</v>
      </c>
      <c r="AT92" s="367">
        <f t="shared" si="43"/>
        <v>1.9115092666936197E-2</v>
      </c>
      <c r="AU92" s="367">
        <f t="shared" si="43"/>
        <v>1.7681460716915981E-2</v>
      </c>
      <c r="AV92" s="367">
        <f t="shared" si="43"/>
        <v>1.6355351163147281E-2</v>
      </c>
      <c r="AW92" s="367">
        <f t="shared" si="43"/>
        <v>1.5128699825911236E-2</v>
      </c>
      <c r="AX92" s="367">
        <f t="shared" si="43"/>
        <v>1.3994047338967894E-2</v>
      </c>
      <c r="AY92" s="367">
        <f t="shared" si="43"/>
        <v>1.2944493788545302E-2</v>
      </c>
      <c r="AZ92" s="367">
        <f t="shared" si="43"/>
        <v>1.1973656754404404E-2</v>
      </c>
      <c r="BA92" s="367">
        <f t="shared" si="43"/>
        <v>1.1075632497824074E-2</v>
      </c>
      <c r="BB92" s="367">
        <f t="shared" si="43"/>
        <v>1.0244960060487269E-2</v>
      </c>
      <c r="BC92" s="367">
        <f t="shared" si="43"/>
        <v>9.4765880559507226E-3</v>
      </c>
      <c r="BD92" s="367">
        <f t="shared" si="43"/>
        <v>8.7658439517544189E-3</v>
      </c>
      <c r="BE92" s="367">
        <f t="shared" si="43"/>
        <v>8.1084056553728367E-3</v>
      </c>
    </row>
    <row r="93" spans="1:57" s="347" customFormat="1" hidden="1" outlineLevel="1">
      <c r="A93" s="347" t="s">
        <v>135</v>
      </c>
      <c r="B93" s="368">
        <f>C91</f>
        <v>7.2814963572285123</v>
      </c>
      <c r="C93" s="368">
        <f>C91-C92</f>
        <v>6.7353841304363735</v>
      </c>
      <c r="D93" s="368">
        <f>D91-D92</f>
        <v>6.2302303206536456</v>
      </c>
      <c r="E93" s="368">
        <f>E91-E92</f>
        <v>5.7629630466046224</v>
      </c>
      <c r="F93" s="368">
        <f>F91-F92</f>
        <v>5.3307408181092759</v>
      </c>
      <c r="G93" s="368">
        <f>G91-G92</f>
        <v>4.9309352567510807</v>
      </c>
      <c r="H93" s="368">
        <f t="shared" ref="H93:BE93" si="44">H91-H92</f>
        <v>4.5611151124947495</v>
      </c>
      <c r="I93" s="368">
        <f t="shared" si="44"/>
        <v>4.2190314790576435</v>
      </c>
      <c r="J93" s="368">
        <f t="shared" si="44"/>
        <v>3.9026041181283202</v>
      </c>
      <c r="K93" s="368">
        <f t="shared" si="44"/>
        <v>3.6099088092686964</v>
      </c>
      <c r="L93" s="368">
        <f t="shared" si="44"/>
        <v>3.3391656485735441</v>
      </c>
      <c r="M93" s="368">
        <f t="shared" si="44"/>
        <v>3.0887282249305281</v>
      </c>
      <c r="N93" s="368">
        <f t="shared" si="44"/>
        <v>2.8570736080607384</v>
      </c>
      <c r="O93" s="368">
        <f t="shared" si="44"/>
        <v>2.6427930874561829</v>
      </c>
      <c r="P93" s="368">
        <f t="shared" si="44"/>
        <v>2.4445836058969692</v>
      </c>
      <c r="Q93" s="368">
        <f t="shared" si="44"/>
        <v>2.2612398354546963</v>
      </c>
      <c r="R93" s="368">
        <f t="shared" si="44"/>
        <v>2.0916468477955941</v>
      </c>
      <c r="S93" s="368">
        <f t="shared" si="44"/>
        <v>1.9347733342109246</v>
      </c>
      <c r="T93" s="368">
        <f t="shared" si="44"/>
        <v>1.7896653341451052</v>
      </c>
      <c r="U93" s="368">
        <f t="shared" si="44"/>
        <v>1.6554404340842224</v>
      </c>
      <c r="V93" s="368">
        <f t="shared" si="44"/>
        <v>1.5312824015279056</v>
      </c>
      <c r="W93" s="368">
        <f t="shared" si="44"/>
        <v>1.4164362214133126</v>
      </c>
      <c r="X93" s="368">
        <f t="shared" si="44"/>
        <v>1.3102035048073142</v>
      </c>
      <c r="Y93" s="368">
        <f t="shared" si="44"/>
        <v>1.2119382419467657</v>
      </c>
      <c r="Z93" s="368">
        <f t="shared" si="44"/>
        <v>1.1210428738007583</v>
      </c>
      <c r="AA93" s="368">
        <f t="shared" si="44"/>
        <v>1.0369646582657015</v>
      </c>
      <c r="AB93" s="368">
        <f t="shared" si="44"/>
        <v>0.95919230889577389</v>
      </c>
      <c r="AC93" s="368">
        <f t="shared" si="44"/>
        <v>0.88725288572859085</v>
      </c>
      <c r="AD93" s="368">
        <f t="shared" si="44"/>
        <v>0.82070891929894652</v>
      </c>
      <c r="AE93" s="368">
        <f t="shared" si="44"/>
        <v>0.75915575035152549</v>
      </c>
      <c r="AF93" s="368">
        <f t="shared" si="44"/>
        <v>0.70221906907516107</v>
      </c>
      <c r="AG93" s="368">
        <f t="shared" si="44"/>
        <v>0.64955263889452397</v>
      </c>
      <c r="AH93" s="368">
        <f t="shared" si="44"/>
        <v>0.60083619097743468</v>
      </c>
      <c r="AI93" s="368">
        <f t="shared" si="44"/>
        <v>0.55577347665412713</v>
      </c>
      <c r="AJ93" s="368">
        <f t="shared" si="44"/>
        <v>0.51409046590506757</v>
      </c>
      <c r="AK93" s="368">
        <f t="shared" si="44"/>
        <v>0.47553368096218751</v>
      </c>
      <c r="AL93" s="368">
        <f t="shared" si="44"/>
        <v>0.43986865489002347</v>
      </c>
      <c r="AM93" s="368">
        <f t="shared" si="44"/>
        <v>0.40687850577327173</v>
      </c>
      <c r="AN93" s="368">
        <f t="shared" si="44"/>
        <v>0.37636261784027636</v>
      </c>
      <c r="AO93" s="368">
        <f t="shared" si="44"/>
        <v>0.34813542150225563</v>
      </c>
      <c r="AP93" s="368">
        <f t="shared" si="44"/>
        <v>0.32202526488958644</v>
      </c>
      <c r="AQ93" s="368">
        <f t="shared" si="44"/>
        <v>0.29787337002286746</v>
      </c>
      <c r="AR93" s="368">
        <f t="shared" si="44"/>
        <v>0.27553286727115239</v>
      </c>
      <c r="AS93" s="368">
        <f t="shared" si="44"/>
        <v>0.25486790222581596</v>
      </c>
      <c r="AT93" s="368">
        <f t="shared" si="44"/>
        <v>0.23575280955887976</v>
      </c>
      <c r="AU93" s="368">
        <f t="shared" si="44"/>
        <v>0.21807134884196377</v>
      </c>
      <c r="AV93" s="368">
        <f t="shared" si="44"/>
        <v>0.20171599767881648</v>
      </c>
      <c r="AW93" s="368">
        <f t="shared" si="44"/>
        <v>0.18658729785290526</v>
      </c>
      <c r="AX93" s="368">
        <f t="shared" si="44"/>
        <v>0.17259325051393737</v>
      </c>
      <c r="AY93" s="368">
        <f t="shared" si="44"/>
        <v>0.15964875672539205</v>
      </c>
      <c r="AZ93" s="368">
        <f t="shared" si="44"/>
        <v>0.14767509997098766</v>
      </c>
      <c r="BA93" s="368">
        <f t="shared" si="44"/>
        <v>0.13659946747316359</v>
      </c>
      <c r="BB93" s="368">
        <f t="shared" si="44"/>
        <v>0.12635450741267631</v>
      </c>
      <c r="BC93" s="368">
        <f t="shared" si="44"/>
        <v>0.11687791935672559</v>
      </c>
      <c r="BD93" s="368">
        <f t="shared" si="44"/>
        <v>0.10811207540497117</v>
      </c>
      <c r="BE93" s="368">
        <f t="shared" si="44"/>
        <v>0.10000366974959833</v>
      </c>
    </row>
    <row r="94" spans="1:57" s="347" customFormat="1" hidden="1" outlineLevel="1">
      <c r="A94" s="365" t="s">
        <v>113</v>
      </c>
      <c r="B94" s="368"/>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row>
    <row r="95" spans="1:57" s="347" customFormat="1" hidden="1" outlineLevel="1">
      <c r="A95" s="347" t="s">
        <v>133</v>
      </c>
      <c r="B95" s="367"/>
      <c r="C95" s="372">
        <f>B$57</f>
        <v>2.942480282604369</v>
      </c>
      <c r="D95" s="367">
        <f>C97</f>
        <v>1.7654881695626214</v>
      </c>
      <c r="E95" s="367">
        <f>D97</f>
        <v>1.0592929017375727</v>
      </c>
      <c r="F95" s="367">
        <f>E97</f>
        <v>0.63557574104254355</v>
      </c>
      <c r="G95" s="367">
        <f>F97</f>
        <v>0.38134544462552611</v>
      </c>
      <c r="H95" s="367">
        <f t="shared" ref="H95:BE95" si="45">G97</f>
        <v>0.22880726677531565</v>
      </c>
      <c r="I95" s="367">
        <f t="shared" si="45"/>
        <v>0.1372843600651894</v>
      </c>
      <c r="J95" s="367">
        <f t="shared" si="45"/>
        <v>8.2370616039113637E-2</v>
      </c>
      <c r="K95" s="367">
        <f t="shared" si="45"/>
        <v>4.9422369623468181E-2</v>
      </c>
      <c r="L95" s="367">
        <f t="shared" si="45"/>
        <v>2.9653421774080906E-2</v>
      </c>
      <c r="M95" s="367">
        <f t="shared" si="45"/>
        <v>1.7792053064448542E-2</v>
      </c>
      <c r="N95" s="367">
        <f t="shared" si="45"/>
        <v>1.0675231838669124E-2</v>
      </c>
      <c r="O95" s="367">
        <f t="shared" si="45"/>
        <v>6.4051391032014741E-3</v>
      </c>
      <c r="P95" s="367">
        <f t="shared" si="45"/>
        <v>3.8430834619208841E-3</v>
      </c>
      <c r="Q95" s="367">
        <f t="shared" si="45"/>
        <v>2.3058500771525304E-3</v>
      </c>
      <c r="R95" s="367">
        <f t="shared" si="45"/>
        <v>1.383510046291518E-3</v>
      </c>
      <c r="S95" s="367">
        <f t="shared" si="45"/>
        <v>8.3010602777491079E-4</v>
      </c>
      <c r="T95" s="367">
        <f t="shared" si="45"/>
        <v>4.9806361666494652E-4</v>
      </c>
      <c r="U95" s="367">
        <f t="shared" si="45"/>
        <v>2.9883816999896787E-4</v>
      </c>
      <c r="V95" s="367">
        <f t="shared" si="45"/>
        <v>1.7930290199938073E-4</v>
      </c>
      <c r="W95" s="367">
        <f t="shared" si="45"/>
        <v>1.0758174119962843E-4</v>
      </c>
      <c r="X95" s="367">
        <f t="shared" si="45"/>
        <v>6.4549044719777057E-5</v>
      </c>
      <c r="Y95" s="367">
        <f t="shared" si="45"/>
        <v>3.8729426831866233E-5</v>
      </c>
      <c r="Z95" s="367">
        <f t="shared" si="45"/>
        <v>2.323765609911974E-5</v>
      </c>
      <c r="AA95" s="367">
        <f t="shared" si="45"/>
        <v>1.3942593659471843E-5</v>
      </c>
      <c r="AB95" s="367">
        <f t="shared" si="45"/>
        <v>8.3655561956831063E-6</v>
      </c>
      <c r="AC95" s="367">
        <f t="shared" si="45"/>
        <v>5.0193337174098638E-6</v>
      </c>
      <c r="AD95" s="367">
        <f t="shared" si="45"/>
        <v>3.0116002304459183E-6</v>
      </c>
      <c r="AE95" s="367">
        <f t="shared" si="45"/>
        <v>1.8069601382675509E-6</v>
      </c>
      <c r="AF95" s="367">
        <f t="shared" si="45"/>
        <v>1.0841760829605305E-6</v>
      </c>
      <c r="AG95" s="367">
        <f t="shared" si="45"/>
        <v>6.505056497763182E-7</v>
      </c>
      <c r="AH95" s="367">
        <f t="shared" si="45"/>
        <v>3.9030338986579092E-7</v>
      </c>
      <c r="AI95" s="367">
        <f t="shared" si="45"/>
        <v>2.3418203391947455E-7</v>
      </c>
      <c r="AJ95" s="367">
        <f t="shared" si="45"/>
        <v>1.4050922035168473E-7</v>
      </c>
      <c r="AK95" s="367">
        <f t="shared" si="45"/>
        <v>8.4305532211010833E-8</v>
      </c>
      <c r="AL95" s="367">
        <f t="shared" si="45"/>
        <v>5.0583319326606497E-8</v>
      </c>
      <c r="AM95" s="367">
        <f t="shared" si="45"/>
        <v>3.0349991595963896E-8</v>
      </c>
      <c r="AN95" s="367">
        <f t="shared" si="45"/>
        <v>1.8209994957578337E-8</v>
      </c>
      <c r="AO95" s="367">
        <f t="shared" si="45"/>
        <v>1.0925996974547001E-8</v>
      </c>
      <c r="AP95" s="367">
        <f t="shared" si="45"/>
        <v>6.5555981847282005E-9</v>
      </c>
      <c r="AQ95" s="367">
        <f t="shared" si="45"/>
        <v>3.9333589108369203E-9</v>
      </c>
      <c r="AR95" s="367">
        <f t="shared" si="45"/>
        <v>2.3600153465021519E-9</v>
      </c>
      <c r="AS95" s="367">
        <f t="shared" si="45"/>
        <v>1.4160092079012912E-9</v>
      </c>
      <c r="AT95" s="367">
        <f t="shared" si="45"/>
        <v>8.4960552474077467E-10</v>
      </c>
      <c r="AU95" s="367">
        <f t="shared" si="45"/>
        <v>5.097633148444648E-10</v>
      </c>
      <c r="AV95" s="367">
        <f t="shared" si="45"/>
        <v>3.0585798890667884E-10</v>
      </c>
      <c r="AW95" s="367">
        <f t="shared" si="45"/>
        <v>1.8351479334400729E-10</v>
      </c>
      <c r="AX95" s="367">
        <f t="shared" si="45"/>
        <v>1.1010887600640437E-10</v>
      </c>
      <c r="AY95" s="367">
        <f t="shared" si="45"/>
        <v>6.6065325603842616E-11</v>
      </c>
      <c r="AZ95" s="367">
        <f t="shared" si="45"/>
        <v>3.9639195362305572E-11</v>
      </c>
      <c r="BA95" s="367">
        <f t="shared" si="45"/>
        <v>2.3783517217383342E-11</v>
      </c>
      <c r="BB95" s="367">
        <f t="shared" si="45"/>
        <v>1.4270110330430004E-11</v>
      </c>
      <c r="BC95" s="367">
        <f t="shared" si="45"/>
        <v>8.5620661982580024E-12</v>
      </c>
      <c r="BD95" s="367">
        <f t="shared" si="45"/>
        <v>5.1372397189548008E-12</v>
      </c>
      <c r="BE95" s="367">
        <f t="shared" si="45"/>
        <v>3.0823438313728803E-12</v>
      </c>
    </row>
    <row r="96" spans="1:57" s="347" customFormat="1" hidden="1" outlineLevel="1">
      <c r="A96" s="347" t="s">
        <v>134</v>
      </c>
      <c r="C96" s="367">
        <f>$C$57*C95</f>
        <v>1.1769921130417476</v>
      </c>
      <c r="D96" s="367">
        <f>$C$57*D95</f>
        <v>0.7061952678250486</v>
      </c>
      <c r="E96" s="367">
        <f>$C$57*E95</f>
        <v>0.42371716069502913</v>
      </c>
      <c r="F96" s="367">
        <f>$C$57*F95</f>
        <v>0.25423029641701744</v>
      </c>
      <c r="G96" s="367">
        <f>$C$57*G95</f>
        <v>0.15253817785021045</v>
      </c>
      <c r="H96" s="367">
        <f t="shared" ref="H96:BE96" si="46">$C$57*H95</f>
        <v>9.1522906710126264E-2</v>
      </c>
      <c r="I96" s="367">
        <f t="shared" si="46"/>
        <v>5.4913744026075767E-2</v>
      </c>
      <c r="J96" s="367">
        <f t="shared" si="46"/>
        <v>3.2948246415645456E-2</v>
      </c>
      <c r="K96" s="367">
        <f t="shared" si="46"/>
        <v>1.9768947849387274E-2</v>
      </c>
      <c r="L96" s="367">
        <f t="shared" si="46"/>
        <v>1.1861368709632364E-2</v>
      </c>
      <c r="M96" s="367">
        <f t="shared" si="46"/>
        <v>7.1168212257794175E-3</v>
      </c>
      <c r="N96" s="367">
        <f t="shared" si="46"/>
        <v>4.27009273546765E-3</v>
      </c>
      <c r="O96" s="367">
        <f t="shared" si="46"/>
        <v>2.56205564128059E-3</v>
      </c>
      <c r="P96" s="367">
        <f t="shared" si="46"/>
        <v>1.5372333847683537E-3</v>
      </c>
      <c r="Q96" s="367">
        <f t="shared" si="46"/>
        <v>9.2234003086101221E-4</v>
      </c>
      <c r="R96" s="367">
        <f t="shared" si="46"/>
        <v>5.5340401851660726E-4</v>
      </c>
      <c r="S96" s="367">
        <f t="shared" si="46"/>
        <v>3.3204241110996433E-4</v>
      </c>
      <c r="T96" s="367">
        <f t="shared" si="46"/>
        <v>1.9922544666597862E-4</v>
      </c>
      <c r="U96" s="367">
        <f t="shared" si="46"/>
        <v>1.1953526799958715E-4</v>
      </c>
      <c r="V96" s="367">
        <f t="shared" si="46"/>
        <v>7.1721160799752298E-5</v>
      </c>
      <c r="W96" s="367">
        <f t="shared" si="46"/>
        <v>4.3032696479851376E-5</v>
      </c>
      <c r="X96" s="367">
        <f t="shared" si="46"/>
        <v>2.5819617887910824E-5</v>
      </c>
      <c r="Y96" s="367">
        <f t="shared" si="46"/>
        <v>1.5491770732746492E-5</v>
      </c>
      <c r="Z96" s="367">
        <f t="shared" si="46"/>
        <v>9.2950624396478972E-6</v>
      </c>
      <c r="AA96" s="367">
        <f t="shared" si="46"/>
        <v>5.5770374637887378E-6</v>
      </c>
      <c r="AB96" s="367">
        <f t="shared" si="46"/>
        <v>3.3462224782732425E-6</v>
      </c>
      <c r="AC96" s="367">
        <f t="shared" si="46"/>
        <v>2.0077334869639455E-6</v>
      </c>
      <c r="AD96" s="367">
        <f t="shared" si="46"/>
        <v>1.2046400921783674E-6</v>
      </c>
      <c r="AE96" s="367">
        <f t="shared" si="46"/>
        <v>7.2278405530702039E-7</v>
      </c>
      <c r="AF96" s="367">
        <f t="shared" si="46"/>
        <v>4.3367043318421222E-7</v>
      </c>
      <c r="AG96" s="367">
        <f t="shared" si="46"/>
        <v>2.6020225991052728E-7</v>
      </c>
      <c r="AH96" s="367">
        <f t="shared" si="46"/>
        <v>1.5612135594631637E-7</v>
      </c>
      <c r="AI96" s="367">
        <f t="shared" si="46"/>
        <v>9.3672813567789826E-8</v>
      </c>
      <c r="AJ96" s="367">
        <f t="shared" si="46"/>
        <v>5.6203688140673893E-8</v>
      </c>
      <c r="AK96" s="367">
        <f t="shared" si="46"/>
        <v>3.3722212884404336E-8</v>
      </c>
      <c r="AL96" s="367">
        <f t="shared" si="46"/>
        <v>2.0233327730642602E-8</v>
      </c>
      <c r="AM96" s="367">
        <f t="shared" si="46"/>
        <v>1.2139996638385558E-8</v>
      </c>
      <c r="AN96" s="367">
        <f t="shared" si="46"/>
        <v>7.2839979830313355E-9</v>
      </c>
      <c r="AO96" s="367">
        <f t="shared" si="46"/>
        <v>4.3703987898188006E-9</v>
      </c>
      <c r="AP96" s="367">
        <f t="shared" si="46"/>
        <v>2.6222392738912802E-9</v>
      </c>
      <c r="AQ96" s="367">
        <f t="shared" si="46"/>
        <v>1.5733435643347682E-9</v>
      </c>
      <c r="AR96" s="367">
        <f t="shared" si="46"/>
        <v>9.440061386008607E-10</v>
      </c>
      <c r="AS96" s="367">
        <f t="shared" si="46"/>
        <v>5.6640368316051648E-10</v>
      </c>
      <c r="AT96" s="367">
        <f t="shared" si="46"/>
        <v>3.3984220989630987E-10</v>
      </c>
      <c r="AU96" s="367">
        <f t="shared" si="46"/>
        <v>2.0390532593778594E-10</v>
      </c>
      <c r="AV96" s="367">
        <f t="shared" si="46"/>
        <v>1.2234319556267155E-10</v>
      </c>
      <c r="AW96" s="367">
        <f t="shared" si="46"/>
        <v>7.340591733760292E-11</v>
      </c>
      <c r="AX96" s="367">
        <f t="shared" si="46"/>
        <v>4.4043550402561751E-11</v>
      </c>
      <c r="AY96" s="367">
        <f t="shared" si="46"/>
        <v>2.6426130241537047E-11</v>
      </c>
      <c r="AZ96" s="367">
        <f t="shared" si="46"/>
        <v>1.5855678144922231E-11</v>
      </c>
      <c r="BA96" s="367">
        <f t="shared" si="46"/>
        <v>9.5134068869533376E-12</v>
      </c>
      <c r="BB96" s="367">
        <f t="shared" si="46"/>
        <v>5.7080441321720016E-12</v>
      </c>
      <c r="BC96" s="367">
        <f t="shared" si="46"/>
        <v>3.4248264793032012E-12</v>
      </c>
      <c r="BD96" s="367">
        <f t="shared" si="46"/>
        <v>2.0548958875819205E-12</v>
      </c>
      <c r="BE96" s="367">
        <f t="shared" si="46"/>
        <v>1.2329375325491522E-12</v>
      </c>
    </row>
    <row r="97" spans="1:57" s="347" customFormat="1" hidden="1" outlineLevel="1">
      <c r="A97" s="347" t="s">
        <v>135</v>
      </c>
      <c r="B97" s="374">
        <f>C95</f>
        <v>2.942480282604369</v>
      </c>
      <c r="C97" s="368">
        <f>C95-C96</f>
        <v>1.7654881695626214</v>
      </c>
      <c r="D97" s="368">
        <f>D95-D96</f>
        <v>1.0592929017375727</v>
      </c>
      <c r="E97" s="368">
        <f>E95-E96</f>
        <v>0.63557574104254355</v>
      </c>
      <c r="F97" s="368">
        <f>F95-F96</f>
        <v>0.38134544462552611</v>
      </c>
      <c r="G97" s="368">
        <f>G95-G96</f>
        <v>0.22880726677531565</v>
      </c>
      <c r="H97" s="368">
        <f t="shared" ref="H97:BE97" si="47">H95-H96</f>
        <v>0.1372843600651894</v>
      </c>
      <c r="I97" s="368">
        <f t="shared" si="47"/>
        <v>8.2370616039113637E-2</v>
      </c>
      <c r="J97" s="368">
        <f t="shared" si="47"/>
        <v>4.9422369623468181E-2</v>
      </c>
      <c r="K97" s="368">
        <f t="shared" si="47"/>
        <v>2.9653421774080906E-2</v>
      </c>
      <c r="L97" s="368">
        <f t="shared" si="47"/>
        <v>1.7792053064448542E-2</v>
      </c>
      <c r="M97" s="368">
        <f t="shared" si="47"/>
        <v>1.0675231838669124E-2</v>
      </c>
      <c r="N97" s="368">
        <f t="shared" si="47"/>
        <v>6.4051391032014741E-3</v>
      </c>
      <c r="O97" s="368">
        <f t="shared" si="47"/>
        <v>3.8430834619208841E-3</v>
      </c>
      <c r="P97" s="368">
        <f t="shared" si="47"/>
        <v>2.3058500771525304E-3</v>
      </c>
      <c r="Q97" s="368">
        <f t="shared" si="47"/>
        <v>1.383510046291518E-3</v>
      </c>
      <c r="R97" s="368">
        <f t="shared" si="47"/>
        <v>8.3010602777491079E-4</v>
      </c>
      <c r="S97" s="368">
        <f t="shared" si="47"/>
        <v>4.9806361666494652E-4</v>
      </c>
      <c r="T97" s="368">
        <f t="shared" si="47"/>
        <v>2.9883816999896787E-4</v>
      </c>
      <c r="U97" s="368">
        <f t="shared" si="47"/>
        <v>1.7930290199938073E-4</v>
      </c>
      <c r="V97" s="368">
        <f t="shared" si="47"/>
        <v>1.0758174119962843E-4</v>
      </c>
      <c r="W97" s="368">
        <f t="shared" si="47"/>
        <v>6.4549044719777057E-5</v>
      </c>
      <c r="X97" s="368">
        <f t="shared" si="47"/>
        <v>3.8729426831866233E-5</v>
      </c>
      <c r="Y97" s="368">
        <f t="shared" si="47"/>
        <v>2.323765609911974E-5</v>
      </c>
      <c r="Z97" s="368">
        <f t="shared" si="47"/>
        <v>1.3942593659471843E-5</v>
      </c>
      <c r="AA97" s="368">
        <f t="shared" si="47"/>
        <v>8.3655561956831063E-6</v>
      </c>
      <c r="AB97" s="368">
        <f t="shared" si="47"/>
        <v>5.0193337174098638E-6</v>
      </c>
      <c r="AC97" s="368">
        <f t="shared" si="47"/>
        <v>3.0116002304459183E-6</v>
      </c>
      <c r="AD97" s="368">
        <f t="shared" si="47"/>
        <v>1.8069601382675509E-6</v>
      </c>
      <c r="AE97" s="368">
        <f t="shared" si="47"/>
        <v>1.0841760829605305E-6</v>
      </c>
      <c r="AF97" s="368">
        <f t="shared" si="47"/>
        <v>6.505056497763182E-7</v>
      </c>
      <c r="AG97" s="368">
        <f t="shared" si="47"/>
        <v>3.9030338986579092E-7</v>
      </c>
      <c r="AH97" s="368">
        <f t="shared" si="47"/>
        <v>2.3418203391947455E-7</v>
      </c>
      <c r="AI97" s="368">
        <f t="shared" si="47"/>
        <v>1.4050922035168473E-7</v>
      </c>
      <c r="AJ97" s="368">
        <f t="shared" si="47"/>
        <v>8.4305532211010833E-8</v>
      </c>
      <c r="AK97" s="368">
        <f t="shared" si="47"/>
        <v>5.0583319326606497E-8</v>
      </c>
      <c r="AL97" s="368">
        <f t="shared" si="47"/>
        <v>3.0349991595963896E-8</v>
      </c>
      <c r="AM97" s="368">
        <f t="shared" si="47"/>
        <v>1.8209994957578337E-8</v>
      </c>
      <c r="AN97" s="368">
        <f t="shared" si="47"/>
        <v>1.0925996974547001E-8</v>
      </c>
      <c r="AO97" s="368">
        <f t="shared" si="47"/>
        <v>6.5555981847282005E-9</v>
      </c>
      <c r="AP97" s="368">
        <f t="shared" si="47"/>
        <v>3.9333589108369203E-9</v>
      </c>
      <c r="AQ97" s="368">
        <f t="shared" si="47"/>
        <v>2.3600153465021519E-9</v>
      </c>
      <c r="AR97" s="368">
        <f t="shared" si="47"/>
        <v>1.4160092079012912E-9</v>
      </c>
      <c r="AS97" s="368">
        <f t="shared" si="47"/>
        <v>8.4960552474077467E-10</v>
      </c>
      <c r="AT97" s="368">
        <f t="shared" si="47"/>
        <v>5.097633148444648E-10</v>
      </c>
      <c r="AU97" s="368">
        <f t="shared" si="47"/>
        <v>3.0585798890667884E-10</v>
      </c>
      <c r="AV97" s="368">
        <f t="shared" si="47"/>
        <v>1.8351479334400729E-10</v>
      </c>
      <c r="AW97" s="368">
        <f t="shared" si="47"/>
        <v>1.1010887600640437E-10</v>
      </c>
      <c r="AX97" s="368">
        <f t="shared" si="47"/>
        <v>6.6065325603842616E-11</v>
      </c>
      <c r="AY97" s="368">
        <f t="shared" si="47"/>
        <v>3.9639195362305572E-11</v>
      </c>
      <c r="AZ97" s="368">
        <f t="shared" si="47"/>
        <v>2.3783517217383342E-11</v>
      </c>
      <c r="BA97" s="368">
        <f t="shared" si="47"/>
        <v>1.4270110330430004E-11</v>
      </c>
      <c r="BB97" s="368">
        <f t="shared" si="47"/>
        <v>8.5620661982580024E-12</v>
      </c>
      <c r="BC97" s="368">
        <f t="shared" si="47"/>
        <v>5.1372397189548008E-12</v>
      </c>
      <c r="BD97" s="368">
        <f t="shared" si="47"/>
        <v>3.0823438313728803E-12</v>
      </c>
      <c r="BE97" s="368">
        <f t="shared" si="47"/>
        <v>1.8494062988237283E-12</v>
      </c>
    </row>
    <row r="98" spans="1:57" s="347" customFormat="1" hidden="1" outlineLevel="1">
      <c r="A98" s="365" t="s">
        <v>114</v>
      </c>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row>
    <row r="99" spans="1:57" s="347" customFormat="1" hidden="1" outlineLevel="1">
      <c r="A99" s="347" t="s">
        <v>133</v>
      </c>
      <c r="C99" s="372">
        <f>B$58</f>
        <v>6.1896406004924707</v>
      </c>
      <c r="D99" s="367">
        <f>C101</f>
        <v>5.0973510827585056</v>
      </c>
      <c r="E99" s="367">
        <f>D101</f>
        <v>4.1978185387422986</v>
      </c>
      <c r="F99" s="367">
        <f>E101</f>
        <v>3.4570270319054224</v>
      </c>
      <c r="G99" s="367">
        <f>F101</f>
        <v>2.8469634380397597</v>
      </c>
      <c r="H99" s="367">
        <f t="shared" ref="H99:BE99" si="48">G101</f>
        <v>2.3445581254445083</v>
      </c>
      <c r="I99" s="367">
        <f t="shared" si="48"/>
        <v>1.9308125738954773</v>
      </c>
      <c r="J99" s="367">
        <f t="shared" si="48"/>
        <v>1.5900809432080401</v>
      </c>
      <c r="K99" s="367">
        <f t="shared" si="48"/>
        <v>1.3094784238183861</v>
      </c>
      <c r="L99" s="367">
        <f t="shared" si="48"/>
        <v>1.0783939960857298</v>
      </c>
      <c r="M99" s="367">
        <f t="shared" si="48"/>
        <v>0.88808917324707171</v>
      </c>
      <c r="N99" s="367">
        <f t="shared" si="48"/>
        <v>0.731367554438765</v>
      </c>
      <c r="O99" s="367">
        <f t="shared" si="48"/>
        <v>0.6023026918907477</v>
      </c>
      <c r="P99" s="367">
        <f t="shared" si="48"/>
        <v>0.49601398155708637</v>
      </c>
      <c r="Q99" s="367">
        <f t="shared" si="48"/>
        <v>0.40848210245877703</v>
      </c>
      <c r="R99" s="367">
        <f t="shared" si="48"/>
        <v>0.33639702555428697</v>
      </c>
      <c r="S99" s="367">
        <f t="shared" si="48"/>
        <v>0.2770328445741187</v>
      </c>
      <c r="T99" s="367">
        <f t="shared" si="48"/>
        <v>0.22814469553162717</v>
      </c>
      <c r="U99" s="367">
        <f t="shared" si="48"/>
        <v>0.18788386690839884</v>
      </c>
      <c r="V99" s="367">
        <f t="shared" si="48"/>
        <v>0.154727890395152</v>
      </c>
      <c r="W99" s="367">
        <f t="shared" si="48"/>
        <v>0.12742296856071342</v>
      </c>
      <c r="X99" s="367">
        <f t="shared" si="48"/>
        <v>0.10493656234411694</v>
      </c>
      <c r="Y99" s="367">
        <f t="shared" si="48"/>
        <v>8.6418345459861018E-2</v>
      </c>
      <c r="Z99" s="367">
        <f t="shared" si="48"/>
        <v>7.1168049202238487E-2</v>
      </c>
      <c r="AA99" s="367">
        <f t="shared" si="48"/>
        <v>5.8608981695961106E-2</v>
      </c>
      <c r="AB99" s="367">
        <f t="shared" si="48"/>
        <v>4.8266220220203264E-2</v>
      </c>
      <c r="AC99" s="367">
        <f t="shared" si="48"/>
        <v>3.9748651946049748E-2</v>
      </c>
      <c r="AD99" s="367">
        <f t="shared" si="48"/>
        <v>3.273418395557038E-2</v>
      </c>
      <c r="AE99" s="367">
        <f t="shared" si="48"/>
        <v>2.6957563257528547E-2</v>
      </c>
      <c r="AF99" s="367">
        <f t="shared" si="48"/>
        <v>2.2200346212082334E-2</v>
      </c>
      <c r="AG99" s="367">
        <f t="shared" si="48"/>
        <v>1.8282638057008981E-2</v>
      </c>
      <c r="AH99" s="367">
        <f t="shared" si="48"/>
        <v>1.5056290164595632E-2</v>
      </c>
      <c r="AI99" s="367">
        <f t="shared" si="48"/>
        <v>1.2399297782608168E-2</v>
      </c>
      <c r="AJ99" s="367">
        <f t="shared" si="48"/>
        <v>1.0211186409206726E-2</v>
      </c>
      <c r="AK99" s="367">
        <f t="shared" si="48"/>
        <v>8.4092123369937741E-3</v>
      </c>
      <c r="AL99" s="367">
        <f t="shared" si="48"/>
        <v>6.9252336892889907E-3</v>
      </c>
      <c r="AM99" s="367">
        <f t="shared" si="48"/>
        <v>5.7031336264732864E-3</v>
      </c>
      <c r="AN99" s="367">
        <f t="shared" si="48"/>
        <v>4.6966982806250597E-3</v>
      </c>
      <c r="AO99" s="367">
        <f t="shared" si="48"/>
        <v>3.867869172279461E-3</v>
      </c>
      <c r="AP99" s="367">
        <f t="shared" si="48"/>
        <v>3.1853040242301443E-3</v>
      </c>
      <c r="AQ99" s="367">
        <f t="shared" si="48"/>
        <v>2.623191549366001E-3</v>
      </c>
      <c r="AR99" s="367">
        <f t="shared" si="48"/>
        <v>2.1602753935955304E-3</v>
      </c>
      <c r="AS99" s="367">
        <f t="shared" si="48"/>
        <v>1.7790503241374956E-3</v>
      </c>
      <c r="AT99" s="367">
        <f t="shared" si="48"/>
        <v>1.4651002669367611E-3</v>
      </c>
      <c r="AU99" s="367">
        <f t="shared" si="48"/>
        <v>1.2065531610067444E-3</v>
      </c>
      <c r="AV99" s="367">
        <f t="shared" si="48"/>
        <v>9.9363201494673064E-4</v>
      </c>
      <c r="AW99" s="367">
        <f t="shared" si="48"/>
        <v>8.182851887796605E-4</v>
      </c>
      <c r="AX99" s="367">
        <f t="shared" si="48"/>
        <v>6.738819201714851E-4</v>
      </c>
      <c r="AY99" s="367">
        <f t="shared" si="48"/>
        <v>5.5496158131769361E-4</v>
      </c>
      <c r="AZ99" s="367">
        <f t="shared" si="48"/>
        <v>4.5702718461457123E-4</v>
      </c>
      <c r="BA99" s="367">
        <f t="shared" si="48"/>
        <v>3.7637532850611746E-4</v>
      </c>
      <c r="BB99" s="367">
        <f t="shared" si="48"/>
        <v>3.0995615288739086E-4</v>
      </c>
      <c r="BC99" s="367">
        <f t="shared" si="48"/>
        <v>2.5525800826020422E-4</v>
      </c>
      <c r="BD99" s="367">
        <f t="shared" si="48"/>
        <v>2.1021247739075641E-4</v>
      </c>
      <c r="BE99" s="367">
        <f t="shared" si="48"/>
        <v>1.7311615785121117E-4</v>
      </c>
    </row>
    <row r="100" spans="1:57" s="347" customFormat="1" hidden="1" outlineLevel="1">
      <c r="A100" s="347" t="s">
        <v>134</v>
      </c>
      <c r="C100" s="367">
        <f>$C$58*C99</f>
        <v>1.0922895177339653</v>
      </c>
      <c r="D100" s="367">
        <f>$C$58*D99</f>
        <v>0.89953254401620675</v>
      </c>
      <c r="E100" s="367">
        <f>$C$58*E99</f>
        <v>0.74079150683687611</v>
      </c>
      <c r="F100" s="367">
        <f>$C$58*F99</f>
        <v>0.61006359386566267</v>
      </c>
      <c r="G100" s="367">
        <f>$C$58*G99</f>
        <v>0.50240531259525167</v>
      </c>
      <c r="H100" s="367">
        <f t="shared" ref="H100:BE100" si="49">$C$58*H99</f>
        <v>0.41374555154903081</v>
      </c>
      <c r="I100" s="367">
        <f t="shared" si="49"/>
        <v>0.34073163068743717</v>
      </c>
      <c r="J100" s="367">
        <f t="shared" si="49"/>
        <v>0.28060251938965408</v>
      </c>
      <c r="K100" s="367">
        <f t="shared" si="49"/>
        <v>0.23108442773265633</v>
      </c>
      <c r="L100" s="367">
        <f t="shared" si="49"/>
        <v>0.19030482283865818</v>
      </c>
      <c r="M100" s="367">
        <f t="shared" si="49"/>
        <v>0.15672161880830676</v>
      </c>
      <c r="N100" s="367">
        <f t="shared" si="49"/>
        <v>0.12906486254801733</v>
      </c>
      <c r="O100" s="367">
        <f t="shared" si="49"/>
        <v>0.10628871033366134</v>
      </c>
      <c r="P100" s="367">
        <f t="shared" si="49"/>
        <v>8.7531879098309354E-2</v>
      </c>
      <c r="Q100" s="367">
        <f t="shared" si="49"/>
        <v>7.2085076904490064E-2</v>
      </c>
      <c r="R100" s="367">
        <f t="shared" si="49"/>
        <v>5.9364180980168282E-2</v>
      </c>
      <c r="S100" s="367">
        <f t="shared" si="49"/>
        <v>4.888814904249153E-2</v>
      </c>
      <c r="T100" s="367">
        <f t="shared" si="49"/>
        <v>4.0260828623228322E-2</v>
      </c>
      <c r="U100" s="367">
        <f t="shared" si="49"/>
        <v>3.3155976513246851E-2</v>
      </c>
      <c r="V100" s="367">
        <f t="shared" si="49"/>
        <v>2.7304921834438587E-2</v>
      </c>
      <c r="W100" s="367">
        <f t="shared" si="49"/>
        <v>2.2486406216596484E-2</v>
      </c>
      <c r="X100" s="367">
        <f t="shared" si="49"/>
        <v>1.8518216884255929E-2</v>
      </c>
      <c r="Y100" s="367">
        <f t="shared" si="49"/>
        <v>1.5250296257622531E-2</v>
      </c>
      <c r="Z100" s="367">
        <f t="shared" si="49"/>
        <v>1.255906750627738E-2</v>
      </c>
      <c r="AA100" s="367">
        <f t="shared" si="49"/>
        <v>1.0342761475757842E-2</v>
      </c>
      <c r="AB100" s="367">
        <f t="shared" si="49"/>
        <v>8.5175682741535155E-3</v>
      </c>
      <c r="AC100" s="367">
        <f t="shared" si="49"/>
        <v>7.0144679904793669E-3</v>
      </c>
      <c r="AD100" s="367">
        <f t="shared" si="49"/>
        <v>5.7766206980418315E-3</v>
      </c>
      <c r="AE100" s="367">
        <f t="shared" si="49"/>
        <v>4.7572170454462138E-3</v>
      </c>
      <c r="AF100" s="367">
        <f t="shared" si="49"/>
        <v>3.9177081550733524E-3</v>
      </c>
      <c r="AG100" s="367">
        <f t="shared" si="49"/>
        <v>3.2263478924133495E-3</v>
      </c>
      <c r="AH100" s="367">
        <f t="shared" si="49"/>
        <v>2.6569923819874642E-3</v>
      </c>
      <c r="AI100" s="367">
        <f t="shared" si="49"/>
        <v>2.1881113734014412E-3</v>
      </c>
      <c r="AJ100" s="367">
        <f t="shared" si="49"/>
        <v>1.8019740722129516E-3</v>
      </c>
      <c r="AK100" s="367">
        <f t="shared" si="49"/>
        <v>1.4839786477047836E-3</v>
      </c>
      <c r="AL100" s="367">
        <f t="shared" si="49"/>
        <v>1.2221000628157041E-3</v>
      </c>
      <c r="AM100" s="367">
        <f t="shared" si="49"/>
        <v>1.006435345848227E-3</v>
      </c>
      <c r="AN100" s="367">
        <f t="shared" si="49"/>
        <v>8.2882910834559866E-4</v>
      </c>
      <c r="AO100" s="367">
        <f t="shared" si="49"/>
        <v>6.8256514804931662E-4</v>
      </c>
      <c r="AP100" s="367">
        <f t="shared" si="49"/>
        <v>5.6211247486414304E-4</v>
      </c>
      <c r="AQ100" s="367">
        <f t="shared" si="49"/>
        <v>4.6291615577047075E-4</v>
      </c>
      <c r="AR100" s="367">
        <f t="shared" si="49"/>
        <v>3.8122506945803477E-4</v>
      </c>
      <c r="AS100" s="367">
        <f t="shared" si="49"/>
        <v>3.1395005720073451E-4</v>
      </c>
      <c r="AT100" s="367">
        <f t="shared" si="49"/>
        <v>2.5854710593001663E-4</v>
      </c>
      <c r="AU100" s="367">
        <f t="shared" si="49"/>
        <v>2.129211460600137E-4</v>
      </c>
      <c r="AV100" s="367">
        <f t="shared" si="49"/>
        <v>1.7534682616707008E-4</v>
      </c>
      <c r="AW100" s="367">
        <f t="shared" si="49"/>
        <v>1.4440326860817537E-4</v>
      </c>
      <c r="AX100" s="367">
        <f t="shared" si="49"/>
        <v>1.1892033885379148E-4</v>
      </c>
      <c r="AY100" s="367">
        <f t="shared" si="49"/>
        <v>9.7934396703122393E-5</v>
      </c>
      <c r="AZ100" s="367">
        <f t="shared" si="49"/>
        <v>8.0651856108453738E-5</v>
      </c>
      <c r="BA100" s="367">
        <f t="shared" si="49"/>
        <v>6.6419175618726608E-5</v>
      </c>
      <c r="BB100" s="367">
        <f t="shared" si="49"/>
        <v>5.4698144627186614E-5</v>
      </c>
      <c r="BC100" s="367">
        <f t="shared" si="49"/>
        <v>4.50455308694478E-5</v>
      </c>
      <c r="BD100" s="367">
        <f t="shared" si="49"/>
        <v>3.7096319539545247E-5</v>
      </c>
      <c r="BE100" s="367">
        <f t="shared" si="49"/>
        <v>3.0549910209037266E-5</v>
      </c>
    </row>
    <row r="101" spans="1:57" s="347" customFormat="1" hidden="1" outlineLevel="1">
      <c r="A101" s="347" t="s">
        <v>135</v>
      </c>
      <c r="B101" s="368">
        <f>C99</f>
        <v>6.1896406004924707</v>
      </c>
      <c r="C101" s="368">
        <f>C99-C100</f>
        <v>5.0973510827585056</v>
      </c>
      <c r="D101" s="368">
        <f>D99-D100</f>
        <v>4.1978185387422986</v>
      </c>
      <c r="E101" s="368">
        <f>E99-E100</f>
        <v>3.4570270319054224</v>
      </c>
      <c r="F101" s="368">
        <f>F99-F100</f>
        <v>2.8469634380397597</v>
      </c>
      <c r="G101" s="368">
        <f>G99-G100</f>
        <v>2.3445581254445083</v>
      </c>
      <c r="H101" s="368">
        <f t="shared" ref="H101:BE101" si="50">H99-H100</f>
        <v>1.9308125738954773</v>
      </c>
      <c r="I101" s="368">
        <f t="shared" si="50"/>
        <v>1.5900809432080401</v>
      </c>
      <c r="J101" s="368">
        <f t="shared" si="50"/>
        <v>1.3094784238183861</v>
      </c>
      <c r="K101" s="368">
        <f t="shared" si="50"/>
        <v>1.0783939960857298</v>
      </c>
      <c r="L101" s="368">
        <f t="shared" si="50"/>
        <v>0.88808917324707171</v>
      </c>
      <c r="M101" s="368">
        <f t="shared" si="50"/>
        <v>0.731367554438765</v>
      </c>
      <c r="N101" s="368">
        <f t="shared" si="50"/>
        <v>0.6023026918907477</v>
      </c>
      <c r="O101" s="368">
        <f t="shared" si="50"/>
        <v>0.49601398155708637</v>
      </c>
      <c r="P101" s="368">
        <f t="shared" si="50"/>
        <v>0.40848210245877703</v>
      </c>
      <c r="Q101" s="368">
        <f t="shared" si="50"/>
        <v>0.33639702555428697</v>
      </c>
      <c r="R101" s="368">
        <f t="shared" si="50"/>
        <v>0.2770328445741187</v>
      </c>
      <c r="S101" s="368">
        <f t="shared" si="50"/>
        <v>0.22814469553162717</v>
      </c>
      <c r="T101" s="368">
        <f t="shared" si="50"/>
        <v>0.18788386690839884</v>
      </c>
      <c r="U101" s="368">
        <f t="shared" si="50"/>
        <v>0.154727890395152</v>
      </c>
      <c r="V101" s="368">
        <f t="shared" si="50"/>
        <v>0.12742296856071342</v>
      </c>
      <c r="W101" s="368">
        <f t="shared" si="50"/>
        <v>0.10493656234411694</v>
      </c>
      <c r="X101" s="368">
        <f t="shared" si="50"/>
        <v>8.6418345459861018E-2</v>
      </c>
      <c r="Y101" s="368">
        <f t="shared" si="50"/>
        <v>7.1168049202238487E-2</v>
      </c>
      <c r="Z101" s="368">
        <f t="shared" si="50"/>
        <v>5.8608981695961106E-2</v>
      </c>
      <c r="AA101" s="368">
        <f t="shared" si="50"/>
        <v>4.8266220220203264E-2</v>
      </c>
      <c r="AB101" s="368">
        <f t="shared" si="50"/>
        <v>3.9748651946049748E-2</v>
      </c>
      <c r="AC101" s="368">
        <f t="shared" si="50"/>
        <v>3.273418395557038E-2</v>
      </c>
      <c r="AD101" s="368">
        <f t="shared" si="50"/>
        <v>2.6957563257528547E-2</v>
      </c>
      <c r="AE101" s="368">
        <f t="shared" si="50"/>
        <v>2.2200346212082334E-2</v>
      </c>
      <c r="AF101" s="368">
        <f t="shared" si="50"/>
        <v>1.8282638057008981E-2</v>
      </c>
      <c r="AG101" s="368">
        <f t="shared" si="50"/>
        <v>1.5056290164595632E-2</v>
      </c>
      <c r="AH101" s="368">
        <f t="shared" si="50"/>
        <v>1.2399297782608168E-2</v>
      </c>
      <c r="AI101" s="368">
        <f t="shared" si="50"/>
        <v>1.0211186409206726E-2</v>
      </c>
      <c r="AJ101" s="368">
        <f t="shared" si="50"/>
        <v>8.4092123369937741E-3</v>
      </c>
      <c r="AK101" s="368">
        <f t="shared" si="50"/>
        <v>6.9252336892889907E-3</v>
      </c>
      <c r="AL101" s="368">
        <f t="shared" si="50"/>
        <v>5.7031336264732864E-3</v>
      </c>
      <c r="AM101" s="368">
        <f t="shared" si="50"/>
        <v>4.6966982806250597E-3</v>
      </c>
      <c r="AN101" s="368">
        <f t="shared" si="50"/>
        <v>3.867869172279461E-3</v>
      </c>
      <c r="AO101" s="368">
        <f t="shared" si="50"/>
        <v>3.1853040242301443E-3</v>
      </c>
      <c r="AP101" s="368">
        <f t="shared" si="50"/>
        <v>2.623191549366001E-3</v>
      </c>
      <c r="AQ101" s="368">
        <f t="shared" si="50"/>
        <v>2.1602753935955304E-3</v>
      </c>
      <c r="AR101" s="368">
        <f t="shared" si="50"/>
        <v>1.7790503241374956E-3</v>
      </c>
      <c r="AS101" s="368">
        <f t="shared" si="50"/>
        <v>1.4651002669367611E-3</v>
      </c>
      <c r="AT101" s="368">
        <f t="shared" si="50"/>
        <v>1.2065531610067444E-3</v>
      </c>
      <c r="AU101" s="368">
        <f t="shared" si="50"/>
        <v>9.9363201494673064E-4</v>
      </c>
      <c r="AV101" s="368">
        <f t="shared" si="50"/>
        <v>8.182851887796605E-4</v>
      </c>
      <c r="AW101" s="368">
        <f t="shared" si="50"/>
        <v>6.738819201714851E-4</v>
      </c>
      <c r="AX101" s="368">
        <f t="shared" si="50"/>
        <v>5.5496158131769361E-4</v>
      </c>
      <c r="AY101" s="368">
        <f t="shared" si="50"/>
        <v>4.5702718461457123E-4</v>
      </c>
      <c r="AZ101" s="368">
        <f t="shared" si="50"/>
        <v>3.7637532850611746E-4</v>
      </c>
      <c r="BA101" s="368">
        <f t="shared" si="50"/>
        <v>3.0995615288739086E-4</v>
      </c>
      <c r="BB101" s="368">
        <f t="shared" si="50"/>
        <v>2.5525800826020422E-4</v>
      </c>
      <c r="BC101" s="368">
        <f t="shared" si="50"/>
        <v>2.1021247739075641E-4</v>
      </c>
      <c r="BD101" s="368">
        <f t="shared" si="50"/>
        <v>1.7311615785121117E-4</v>
      </c>
      <c r="BE101" s="368">
        <f t="shared" si="50"/>
        <v>1.4256624764217391E-4</v>
      </c>
    </row>
    <row r="102" spans="1:57" s="347" customFormat="1" collapsed="1">
      <c r="A102" s="369" t="s">
        <v>146</v>
      </c>
      <c r="B102" s="368"/>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row>
    <row r="103" spans="1:57" s="347" customFormat="1">
      <c r="A103" s="347" t="s">
        <v>133</v>
      </c>
      <c r="B103" s="367"/>
      <c r="C103" s="367">
        <f t="shared" ref="C103:BE105" si="51">C63+C67+C71+C75+C79+C83+C87+C91+C95+C99</f>
        <v>385.37867215963394</v>
      </c>
      <c r="D103" s="367">
        <f t="shared" si="51"/>
        <v>369.58965207360569</v>
      </c>
      <c r="E103" s="367">
        <f t="shared" si="51"/>
        <v>355.37846448379884</v>
      </c>
      <c r="F103" s="367">
        <f t="shared" si="51"/>
        <v>342.32922203605045</v>
      </c>
      <c r="G103" s="367">
        <f t="shared" si="51"/>
        <v>330.17362339932112</v>
      </c>
      <c r="H103" s="367">
        <f t="shared" si="51"/>
        <v>318.73524541196025</v>
      </c>
      <c r="I103" s="367">
        <f t="shared" si="51"/>
        <v>307.89524839910962</v>
      </c>
      <c r="J103" s="367">
        <f t="shared" si="51"/>
        <v>297.57120191162369</v>
      </c>
      <c r="K103" s="367">
        <f t="shared" si="51"/>
        <v>287.70396179261024</v>
      </c>
      <c r="L103" s="367">
        <f t="shared" si="51"/>
        <v>278.24949721606379</v>
      </c>
      <c r="M103" s="367">
        <f t="shared" si="51"/>
        <v>269.17376821143529</v>
      </c>
      <c r="N103" s="367">
        <f t="shared" si="51"/>
        <v>260.44948879104294</v>
      </c>
      <c r="O103" s="367">
        <f t="shared" si="51"/>
        <v>252.05406016224379</v>
      </c>
      <c r="P103" s="367">
        <f t="shared" si="51"/>
        <v>243.96823364847509</v>
      </c>
      <c r="Q103" s="367">
        <f t="shared" si="51"/>
        <v>236.17523160116721</v>
      </c>
      <c r="R103" s="367">
        <f t="shared" si="51"/>
        <v>228.66015811162319</v>
      </c>
      <c r="S103" s="367">
        <f t="shared" si="51"/>
        <v>221.40959498803821</v>
      </c>
      <c r="T103" s="367">
        <f t="shared" si="51"/>
        <v>214.41131768663368</v>
      </c>
      <c r="U103" s="367">
        <f t="shared" si="51"/>
        <v>207.65409011996718</v>
      </c>
      <c r="V103" s="367">
        <f t="shared" si="51"/>
        <v>201.12751228950862</v>
      </c>
      <c r="W103" s="367">
        <f t="shared" si="51"/>
        <v>194.82190404441587</v>
      </c>
      <c r="X103" s="367">
        <f t="shared" si="51"/>
        <v>188.72821412566043</v>
      </c>
      <c r="Y103" s="367">
        <f t="shared" si="51"/>
        <v>182.83794734777601</v>
      </c>
      <c r="Z103" s="367">
        <f t="shared" si="51"/>
        <v>177.14310511970243</v>
      </c>
      <c r="AA103" s="367">
        <f t="shared" si="51"/>
        <v>171.63613601691287</v>
      </c>
      <c r="AB103" s="367">
        <f t="shared" si="51"/>
        <v>166.30989410148678</v>
      </c>
      <c r="AC103" s="367">
        <f t="shared" si="51"/>
        <v>161.15760333851253</v>
      </c>
      <c r="AD103" s="367">
        <f t="shared" si="51"/>
        <v>156.17282689656443</v>
      </c>
      <c r="AE103" s="367">
        <f t="shared" si="51"/>
        <v>151.34944042225044</v>
      </c>
      <c r="AF103" s="367">
        <f t="shared" si="51"/>
        <v>146.68160859135162</v>
      </c>
      <c r="AG103" s="367">
        <f t="shared" si="51"/>
        <v>142.16376439189648</v>
      </c>
      <c r="AH103" s="367">
        <f t="shared" si="51"/>
        <v>137.79059070688902</v>
      </c>
      <c r="AI103" s="367">
        <f t="shared" si="51"/>
        <v>133.55700384880234</v>
      </c>
      <c r="AJ103" s="367">
        <f t="shared" si="51"/>
        <v>129.45813876257969</v>
      </c>
      <c r="AK103" s="367">
        <f t="shared" si="51"/>
        <v>125.48933566422554</v>
      </c>
      <c r="AL103" s="367">
        <f t="shared" si="51"/>
        <v>121.64612792187508</v>
      </c>
      <c r="AM103" s="367">
        <f t="shared" si="51"/>
        <v>117.92423101809412</v>
      </c>
      <c r="AN103" s="367">
        <f t="shared" si="51"/>
        <v>114.31953245793903</v>
      </c>
      <c r="AO103" s="367">
        <f t="shared" si="51"/>
        <v>110.82808250833864</v>
      </c>
      <c r="AP103" s="367">
        <f t="shared" si="51"/>
        <v>107.44608567164487</v>
      </c>
      <c r="AQ103" s="367">
        <f t="shared" si="51"/>
        <v>104.16989281048993</v>
      </c>
      <c r="AR103" s="367">
        <f t="shared" si="51"/>
        <v>100.99599385296266</v>
      </c>
      <c r="AS103" s="367">
        <f t="shared" si="51"/>
        <v>97.921011017031063</v>
      </c>
      <c r="AT103" s="367">
        <f t="shared" si="51"/>
        <v>94.9416925014459</v>
      </c>
      <c r="AU103" s="367">
        <f t="shared" si="51"/>
        <v>92.054906597349728</v>
      </c>
      <c r="AV103" s="367">
        <f t="shared" si="51"/>
        <v>89.257636180717014</v>
      </c>
      <c r="AW103" s="367">
        <f t="shared" si="51"/>
        <v>86.546973550748433</v>
      </c>
      <c r="AX103" s="367">
        <f t="shared" si="51"/>
        <v>83.920115583592263</v>
      </c>
      <c r="AY103" s="367">
        <f t="shared" si="51"/>
        <v>81.374359174387763</v>
      </c>
      <c r="AZ103" s="367">
        <f t="shared" si="51"/>
        <v>78.907096943727737</v>
      </c>
      <c r="BA103" s="367">
        <f t="shared" si="51"/>
        <v>76.5158131872995</v>
      </c>
      <c r="BB103" s="367">
        <f t="shared" si="51"/>
        <v>74.198080049758332</v>
      </c>
      <c r="BC103" s="367">
        <f t="shared" si="51"/>
        <v>71.951553905873723</v>
      </c>
      <c r="BD103" s="367">
        <f t="shared" si="51"/>
        <v>69.773971933709916</v>
      </c>
      <c r="BE103" s="367">
        <f t="shared" si="51"/>
        <v>67.66314886610553</v>
      </c>
    </row>
    <row r="104" spans="1:57" s="347" customFormat="1">
      <c r="A104" s="347" t="s">
        <v>134</v>
      </c>
      <c r="C104" s="367">
        <f t="shared" si="51"/>
        <v>15.789020086028183</v>
      </c>
      <c r="D104" s="367">
        <f t="shared" si="51"/>
        <v>14.21118758980699</v>
      </c>
      <c r="E104" s="367">
        <f t="shared" si="51"/>
        <v>13.049242447748229</v>
      </c>
      <c r="F104" s="367">
        <f t="shared" si="51"/>
        <v>12.155598636729444</v>
      </c>
      <c r="G104" s="367">
        <f t="shared" si="51"/>
        <v>11.438377987360855</v>
      </c>
      <c r="H104" s="367">
        <f t="shared" si="51"/>
        <v>10.839997012850628</v>
      </c>
      <c r="I104" s="367">
        <f t="shared" si="51"/>
        <v>10.324046487485873</v>
      </c>
      <c r="J104" s="367">
        <f t="shared" si="51"/>
        <v>9.8672401190135073</v>
      </c>
      <c r="K104" s="367">
        <f t="shared" si="51"/>
        <v>9.4544645765464619</v>
      </c>
      <c r="L104" s="367">
        <f t="shared" si="51"/>
        <v>9.0757290046284673</v>
      </c>
      <c r="M104" s="367">
        <f t="shared" si="51"/>
        <v>8.7242794203923566</v>
      </c>
      <c r="N104" s="367">
        <f t="shared" si="51"/>
        <v>8.395428628799138</v>
      </c>
      <c r="O104" s="367">
        <f t="shared" si="51"/>
        <v>8.0858265137687191</v>
      </c>
      <c r="P104" s="367">
        <f t="shared" si="51"/>
        <v>7.7930020473079127</v>
      </c>
      <c r="Q104" s="367">
        <f t="shared" si="51"/>
        <v>7.5150734895439131</v>
      </c>
      <c r="R104" s="367">
        <f t="shared" si="51"/>
        <v>7.2505631235849881</v>
      </c>
      <c r="S104" s="367">
        <f t="shared" si="51"/>
        <v>6.998277301404535</v>
      </c>
      <c r="T104" s="367">
        <f t="shared" si="51"/>
        <v>6.7572275666665478</v>
      </c>
      <c r="U104" s="367">
        <f t="shared" si="51"/>
        <v>6.5265778304585549</v>
      </c>
      <c r="V104" s="367">
        <f t="shared" si="51"/>
        <v>6.3056082450927162</v>
      </c>
      <c r="W104" s="367">
        <f t="shared" si="51"/>
        <v>6.0936899187554117</v>
      </c>
      <c r="X104" s="367">
        <f t="shared" si="51"/>
        <v>5.8902667778844275</v>
      </c>
      <c r="Y104" s="367">
        <f t="shared" si="51"/>
        <v>5.6948422280736324</v>
      </c>
      <c r="Z104" s="367">
        <f t="shared" si="51"/>
        <v>5.5069691027895056</v>
      </c>
      <c r="AA104" s="367">
        <f t="shared" si="51"/>
        <v>5.3262419154261416</v>
      </c>
      <c r="AB104" s="367">
        <f t="shared" si="51"/>
        <v>5.1522907629742303</v>
      </c>
      <c r="AC104" s="367">
        <f t="shared" si="51"/>
        <v>4.9847764419480987</v>
      </c>
      <c r="AD104" s="367">
        <f t="shared" si="51"/>
        <v>4.8233864743139661</v>
      </c>
      <c r="AE104" s="367">
        <f t="shared" si="51"/>
        <v>4.6678318308988649</v>
      </c>
      <c r="AF104" s="367">
        <f t="shared" si="51"/>
        <v>4.5178441994551131</v>
      </c>
      <c r="AG104" s="367">
        <f t="shared" si="51"/>
        <v>4.3731736850074965</v>
      </c>
      <c r="AH104" s="367">
        <f t="shared" si="51"/>
        <v>4.23358685808667</v>
      </c>
      <c r="AI104" s="367">
        <f t="shared" si="51"/>
        <v>4.0988650862226441</v>
      </c>
      <c r="AJ104" s="367">
        <f t="shared" si="51"/>
        <v>3.9688030983541314</v>
      </c>
      <c r="AK104" s="367">
        <f t="shared" si="51"/>
        <v>3.8432077423504483</v>
      </c>
      <c r="AL104" s="367">
        <f t="shared" si="51"/>
        <v>3.7218969037809515</v>
      </c>
      <c r="AM104" s="367">
        <f t="shared" si="51"/>
        <v>3.6046985601550858</v>
      </c>
      <c r="AN104" s="367">
        <f t="shared" si="51"/>
        <v>3.4914499496004123</v>
      </c>
      <c r="AO104" s="367">
        <f t="shared" si="51"/>
        <v>3.3819968366937614</v>
      </c>
      <c r="AP104" s="367">
        <f t="shared" si="51"/>
        <v>3.276192861154946</v>
      </c>
      <c r="AQ104" s="367">
        <f t="shared" si="51"/>
        <v>3.1738989575272769</v>
      </c>
      <c r="AR104" s="367">
        <f t="shared" si="51"/>
        <v>3.0749828359315843</v>
      </c>
      <c r="AS104" s="367">
        <f t="shared" si="51"/>
        <v>2.9793185155851662</v>
      </c>
      <c r="AT104" s="367">
        <f t="shared" si="51"/>
        <v>2.8867859040961643</v>
      </c>
      <c r="AU104" s="367">
        <f t="shared" si="51"/>
        <v>2.7972704166327387</v>
      </c>
      <c r="AV104" s="367">
        <f t="shared" si="51"/>
        <v>2.710662629968577</v>
      </c>
      <c r="AW104" s="367">
        <f t="shared" si="51"/>
        <v>2.626857967156182</v>
      </c>
      <c r="AX104" s="367">
        <f t="shared" si="51"/>
        <v>2.5457564092044969</v>
      </c>
      <c r="AY104" s="367">
        <f t="shared" si="51"/>
        <v>2.4672622306599896</v>
      </c>
      <c r="AZ104" s="367">
        <f t="shared" si="51"/>
        <v>2.3912837564282539</v>
      </c>
      <c r="BA104" s="367">
        <f t="shared" si="51"/>
        <v>2.3177331375411665</v>
      </c>
      <c r="BB104" s="367">
        <f t="shared" si="51"/>
        <v>2.2465261438846298</v>
      </c>
      <c r="BC104" s="367">
        <f t="shared" si="51"/>
        <v>2.1775819721637952</v>
      </c>
      <c r="BD104" s="367">
        <f t="shared" si="51"/>
        <v>2.1108230676043811</v>
      </c>
      <c r="BE104" s="367">
        <f t="shared" si="51"/>
        <v>2.0461749580771125</v>
      </c>
    </row>
    <row r="105" spans="1:57" s="347" customFormat="1">
      <c r="A105" s="347" t="s">
        <v>135</v>
      </c>
      <c r="B105" s="368">
        <f t="shared" ref="B105:G105" si="52">B65+B69+B73+B77+B81+B85+B89+B93+B97+B101</f>
        <v>385.37867215963394</v>
      </c>
      <c r="C105" s="368">
        <f t="shared" si="52"/>
        <v>369.58965207360569</v>
      </c>
      <c r="D105" s="368">
        <f t="shared" si="52"/>
        <v>355.37846448379884</v>
      </c>
      <c r="E105" s="368">
        <f t="shared" si="52"/>
        <v>342.32922203605045</v>
      </c>
      <c r="F105" s="368">
        <f t="shared" si="52"/>
        <v>330.17362339932112</v>
      </c>
      <c r="G105" s="368">
        <f t="shared" si="52"/>
        <v>318.73524541196025</v>
      </c>
      <c r="H105" s="368">
        <f t="shared" si="51"/>
        <v>307.89524839910962</v>
      </c>
      <c r="I105" s="368">
        <f t="shared" si="51"/>
        <v>297.57120191162369</v>
      </c>
      <c r="J105" s="368">
        <f t="shared" si="51"/>
        <v>287.70396179261024</v>
      </c>
      <c r="K105" s="368">
        <f t="shared" si="51"/>
        <v>278.24949721606379</v>
      </c>
      <c r="L105" s="368">
        <f t="shared" si="51"/>
        <v>269.17376821143529</v>
      </c>
      <c r="M105" s="368">
        <f t="shared" si="51"/>
        <v>260.44948879104294</v>
      </c>
      <c r="N105" s="368">
        <f t="shared" si="51"/>
        <v>252.05406016224379</v>
      </c>
      <c r="O105" s="368">
        <f t="shared" si="51"/>
        <v>243.96823364847509</v>
      </c>
      <c r="P105" s="368">
        <f t="shared" si="51"/>
        <v>236.17523160116721</v>
      </c>
      <c r="Q105" s="368">
        <f t="shared" si="51"/>
        <v>228.66015811162319</v>
      </c>
      <c r="R105" s="368">
        <f t="shared" si="51"/>
        <v>221.40959498803821</v>
      </c>
      <c r="S105" s="368">
        <f t="shared" si="51"/>
        <v>214.41131768663368</v>
      </c>
      <c r="T105" s="368">
        <f t="shared" si="51"/>
        <v>207.65409011996718</v>
      </c>
      <c r="U105" s="368">
        <f t="shared" si="51"/>
        <v>201.12751228950862</v>
      </c>
      <c r="V105" s="368">
        <f t="shared" si="51"/>
        <v>194.82190404441587</v>
      </c>
      <c r="W105" s="368">
        <f t="shared" si="51"/>
        <v>188.72821412566043</v>
      </c>
      <c r="X105" s="368">
        <f t="shared" si="51"/>
        <v>182.83794734777601</v>
      </c>
      <c r="Y105" s="368">
        <f t="shared" si="51"/>
        <v>177.14310511970243</v>
      </c>
      <c r="Z105" s="368">
        <f t="shared" si="51"/>
        <v>171.63613601691287</v>
      </c>
      <c r="AA105" s="368">
        <f t="shared" si="51"/>
        <v>166.30989410148678</v>
      </c>
      <c r="AB105" s="368">
        <f t="shared" si="51"/>
        <v>161.15760333851253</v>
      </c>
      <c r="AC105" s="368">
        <f t="shared" si="51"/>
        <v>156.17282689656443</v>
      </c>
      <c r="AD105" s="368">
        <f t="shared" si="51"/>
        <v>151.34944042225044</v>
      </c>
      <c r="AE105" s="368">
        <f t="shared" si="51"/>
        <v>146.68160859135162</v>
      </c>
      <c r="AF105" s="368">
        <f t="shared" si="51"/>
        <v>142.16376439189648</v>
      </c>
      <c r="AG105" s="368">
        <f t="shared" si="51"/>
        <v>137.79059070688902</v>
      </c>
      <c r="AH105" s="368">
        <f t="shared" si="51"/>
        <v>133.55700384880234</v>
      </c>
      <c r="AI105" s="368">
        <f t="shared" si="51"/>
        <v>129.45813876257969</v>
      </c>
      <c r="AJ105" s="368">
        <f t="shared" si="51"/>
        <v>125.48933566422554</v>
      </c>
      <c r="AK105" s="368">
        <f t="shared" si="51"/>
        <v>121.64612792187508</v>
      </c>
      <c r="AL105" s="368">
        <f t="shared" si="51"/>
        <v>117.92423101809412</v>
      </c>
      <c r="AM105" s="368">
        <f t="shared" si="51"/>
        <v>114.31953245793903</v>
      </c>
      <c r="AN105" s="368">
        <f t="shared" si="51"/>
        <v>110.82808250833864</v>
      </c>
      <c r="AO105" s="368">
        <f t="shared" si="51"/>
        <v>107.44608567164487</v>
      </c>
      <c r="AP105" s="368">
        <f t="shared" si="51"/>
        <v>104.16989281048993</v>
      </c>
      <c r="AQ105" s="368">
        <f t="shared" si="51"/>
        <v>100.99599385296266</v>
      </c>
      <c r="AR105" s="368">
        <f t="shared" si="51"/>
        <v>97.921011017031063</v>
      </c>
      <c r="AS105" s="368">
        <f t="shared" si="51"/>
        <v>94.9416925014459</v>
      </c>
      <c r="AT105" s="368">
        <f t="shared" si="51"/>
        <v>92.054906597349728</v>
      </c>
      <c r="AU105" s="368">
        <f t="shared" si="51"/>
        <v>89.257636180717014</v>
      </c>
      <c r="AV105" s="368">
        <f t="shared" si="51"/>
        <v>86.546973550748433</v>
      </c>
      <c r="AW105" s="368">
        <f t="shared" si="51"/>
        <v>83.920115583592263</v>
      </c>
      <c r="AX105" s="368">
        <f t="shared" si="51"/>
        <v>81.374359174387763</v>
      </c>
      <c r="AY105" s="368">
        <f t="shared" si="51"/>
        <v>78.907096943727737</v>
      </c>
      <c r="AZ105" s="368">
        <f t="shared" si="51"/>
        <v>76.5158131872995</v>
      </c>
      <c r="BA105" s="368">
        <f t="shared" si="51"/>
        <v>74.198080049758332</v>
      </c>
      <c r="BB105" s="368">
        <f t="shared" si="51"/>
        <v>71.951553905873723</v>
      </c>
      <c r="BC105" s="368">
        <f t="shared" si="51"/>
        <v>69.773971933709916</v>
      </c>
      <c r="BD105" s="368">
        <f t="shared" si="51"/>
        <v>67.66314886610553</v>
      </c>
      <c r="BE105" s="368">
        <f t="shared" si="51"/>
        <v>65.616973908028427</v>
      </c>
    </row>
    <row r="106" spans="1:57" s="347" customFormat="1">
      <c r="A106" s="363" t="s">
        <v>166</v>
      </c>
      <c r="C106" s="346"/>
      <c r="H106" s="408">
        <f>H65+H69+H73+H77+H81</f>
        <v>301.06950752637749</v>
      </c>
    </row>
    <row r="107" spans="1:57" s="347" customFormat="1">
      <c r="C107" s="346"/>
    </row>
    <row r="108" spans="1:57" s="347" customFormat="1">
      <c r="A108" s="350" t="s">
        <v>147</v>
      </c>
      <c r="B108" s="351">
        <v>2010</v>
      </c>
      <c r="C108" s="375" t="s">
        <v>123</v>
      </c>
      <c r="D108" s="453" t="s">
        <v>184</v>
      </c>
      <c r="E108" s="351">
        <v>2011</v>
      </c>
      <c r="F108" s="351">
        <v>2016</v>
      </c>
    </row>
    <row r="109" spans="1:57" s="347" customFormat="1">
      <c r="A109" s="353" t="s">
        <v>148</v>
      </c>
      <c r="B109" s="354" t="s">
        <v>125</v>
      </c>
      <c r="C109" s="376" t="s">
        <v>126</v>
      </c>
      <c r="D109" s="453" t="s">
        <v>185</v>
      </c>
      <c r="E109" s="354" t="s">
        <v>125</v>
      </c>
      <c r="F109" s="354" t="s">
        <v>125</v>
      </c>
    </row>
    <row r="110" spans="1:57" s="347" customFormat="1">
      <c r="A110" s="346" t="s">
        <v>139</v>
      </c>
      <c r="B110" s="370">
        <v>367.54403170362696</v>
      </c>
      <c r="C110" s="357">
        <v>0.04</v>
      </c>
      <c r="D110" s="453">
        <f>1/C110*2</f>
        <v>50</v>
      </c>
      <c r="E110" s="443">
        <f>D140</f>
        <v>491.96446572577889</v>
      </c>
      <c r="F110" s="483">
        <f>I140</f>
        <v>924.205222184067</v>
      </c>
    </row>
    <row r="111" spans="1:57" s="347" customFormat="1">
      <c r="A111" s="346" t="s">
        <v>140</v>
      </c>
      <c r="B111" s="370">
        <v>0</v>
      </c>
      <c r="C111" s="358">
        <v>1</v>
      </c>
      <c r="D111" s="453">
        <f t="shared" ref="D111" si="53">1/C111</f>
        <v>1</v>
      </c>
      <c r="E111" s="444">
        <f>D145</f>
        <v>0</v>
      </c>
      <c r="F111" s="444">
        <f>I145</f>
        <v>0</v>
      </c>
    </row>
    <row r="112" spans="1:57" s="347" customFormat="1">
      <c r="A112" s="346" t="s">
        <v>141</v>
      </c>
      <c r="B112" s="370">
        <v>3.2334319492458294</v>
      </c>
      <c r="C112" s="358">
        <v>0.1</v>
      </c>
      <c r="D112" s="453">
        <f t="shared" ref="D112:D117" si="54">1/C112*2</f>
        <v>20</v>
      </c>
      <c r="E112" s="444">
        <f>D150</f>
        <v>4.5383803897360924</v>
      </c>
      <c r="F112" s="444">
        <f>I150</f>
        <v>59.470301460992957</v>
      </c>
    </row>
    <row r="113" spans="1:57" s="347" customFormat="1">
      <c r="A113" s="346" t="s">
        <v>142</v>
      </c>
      <c r="B113" s="370">
        <v>76.601952368142577</v>
      </c>
      <c r="C113" s="358">
        <v>0.04</v>
      </c>
      <c r="D113" s="453">
        <f t="shared" si="54"/>
        <v>50</v>
      </c>
      <c r="E113" s="444">
        <f>D155</f>
        <v>98.890695586957833</v>
      </c>
      <c r="F113" s="444">
        <f>I155</f>
        <v>207.1185189950823</v>
      </c>
    </row>
    <row r="114" spans="1:57" s="347" customFormat="1">
      <c r="A114" s="346" t="s">
        <v>143</v>
      </c>
      <c r="B114" s="370">
        <v>33.128812437129881</v>
      </c>
      <c r="C114" s="358">
        <v>0.1</v>
      </c>
      <c r="D114" s="453">
        <f t="shared" si="54"/>
        <v>20</v>
      </c>
      <c r="E114" s="444">
        <f>D160</f>
        <v>47.738221355425459</v>
      </c>
      <c r="F114" s="444">
        <f>I160</f>
        <v>500.6927184714138</v>
      </c>
    </row>
    <row r="115" spans="1:57" s="347" customFormat="1">
      <c r="A115" s="346" t="s">
        <v>112</v>
      </c>
      <c r="B115" s="370">
        <v>9.8519773021397121</v>
      </c>
      <c r="C115" s="358">
        <v>0.1</v>
      </c>
      <c r="D115" s="453">
        <f t="shared" si="54"/>
        <v>20</v>
      </c>
      <c r="E115" s="444">
        <f>D165</f>
        <v>11.807924614330311</v>
      </c>
      <c r="F115" s="444">
        <f>I165</f>
        <v>16.73711350750084</v>
      </c>
    </row>
    <row r="116" spans="1:57" s="347" customFormat="1">
      <c r="A116" s="346" t="s">
        <v>113</v>
      </c>
      <c r="B116" s="370">
        <v>28.69870955980587</v>
      </c>
      <c r="C116" s="358">
        <v>0.4</v>
      </c>
      <c r="D116" s="453">
        <f t="shared" si="54"/>
        <v>5</v>
      </c>
      <c r="E116" s="444">
        <f>D170</f>
        <v>45.291803393865365</v>
      </c>
      <c r="F116" s="492">
        <f>I170</f>
        <v>62.124728148771695</v>
      </c>
    </row>
    <row r="117" spans="1:57" s="347" customFormat="1">
      <c r="A117" s="346" t="s">
        <v>114</v>
      </c>
      <c r="B117" s="370">
        <v>16.366938369851695</v>
      </c>
      <c r="C117" s="358">
        <v>0.1764705882352941</v>
      </c>
      <c r="D117" s="454">
        <f t="shared" si="54"/>
        <v>11.333333333333334</v>
      </c>
      <c r="E117" s="445">
        <f>D175</f>
        <v>17.287584006555942</v>
      </c>
      <c r="F117" s="445">
        <f>I175</f>
        <v>22.792867680082999</v>
      </c>
    </row>
    <row r="118" spans="1:57" s="346" customFormat="1">
      <c r="B118" s="359">
        <f>SUM(B110:B117)</f>
        <v>535.42585368994253</v>
      </c>
      <c r="C118" s="371"/>
      <c r="E118" s="359">
        <f>SUM(E110:E117)</f>
        <v>717.51907507264991</v>
      </c>
      <c r="F118" s="359">
        <f>SUM(F110:F117)</f>
        <v>1793.1414704479116</v>
      </c>
    </row>
    <row r="119" spans="1:57" s="346" customFormat="1">
      <c r="C119" s="377"/>
      <c r="D119" s="378"/>
      <c r="G119" s="393">
        <f>F118+F59+F18</f>
        <v>2218.185974798515</v>
      </c>
    </row>
    <row r="120" spans="1:57" s="346" customFormat="1">
      <c r="C120" s="377"/>
      <c r="D120" s="378"/>
    </row>
    <row r="121" spans="1:57" s="346" customFormat="1">
      <c r="B121" s="364">
        <f t="shared" ref="B121:BE121" si="55">B$2</f>
        <v>2009</v>
      </c>
      <c r="C121" s="364">
        <f t="shared" si="55"/>
        <v>2010</v>
      </c>
      <c r="D121" s="364">
        <f t="shared" si="55"/>
        <v>2011</v>
      </c>
      <c r="E121" s="364">
        <f t="shared" si="55"/>
        <v>2012</v>
      </c>
      <c r="F121" s="364">
        <f t="shared" si="55"/>
        <v>2013</v>
      </c>
      <c r="G121" s="364">
        <f t="shared" si="55"/>
        <v>2014</v>
      </c>
      <c r="H121" s="364">
        <f t="shared" si="55"/>
        <v>2015</v>
      </c>
      <c r="I121" s="364">
        <f t="shared" si="55"/>
        <v>2016</v>
      </c>
      <c r="J121" s="364">
        <f t="shared" si="55"/>
        <v>2017</v>
      </c>
      <c r="K121" s="364">
        <f t="shared" si="55"/>
        <v>2018</v>
      </c>
      <c r="L121" s="364">
        <f t="shared" si="55"/>
        <v>2019</v>
      </c>
      <c r="M121" s="364">
        <f t="shared" si="55"/>
        <v>2020</v>
      </c>
      <c r="N121" s="364">
        <f t="shared" si="55"/>
        <v>2021</v>
      </c>
      <c r="O121" s="364">
        <f t="shared" si="55"/>
        <v>2022</v>
      </c>
      <c r="P121" s="364">
        <f t="shared" si="55"/>
        <v>2023</v>
      </c>
      <c r="Q121" s="364">
        <f t="shared" si="55"/>
        <v>2024</v>
      </c>
      <c r="R121" s="364">
        <f t="shared" si="55"/>
        <v>2025</v>
      </c>
      <c r="S121" s="364">
        <f t="shared" si="55"/>
        <v>2026</v>
      </c>
      <c r="T121" s="364">
        <f t="shared" si="55"/>
        <v>2027</v>
      </c>
      <c r="U121" s="364">
        <f t="shared" si="55"/>
        <v>2028</v>
      </c>
      <c r="V121" s="364">
        <f t="shared" si="55"/>
        <v>2029</v>
      </c>
      <c r="W121" s="364">
        <f t="shared" si="55"/>
        <v>2030</v>
      </c>
      <c r="X121" s="364">
        <f t="shared" si="55"/>
        <v>2031</v>
      </c>
      <c r="Y121" s="364">
        <f t="shared" si="55"/>
        <v>2032</v>
      </c>
      <c r="Z121" s="364">
        <f t="shared" si="55"/>
        <v>2033</v>
      </c>
      <c r="AA121" s="364">
        <f t="shared" si="55"/>
        <v>2034</v>
      </c>
      <c r="AB121" s="364">
        <f t="shared" si="55"/>
        <v>2035</v>
      </c>
      <c r="AC121" s="364">
        <f t="shared" si="55"/>
        <v>2036</v>
      </c>
      <c r="AD121" s="364">
        <f t="shared" si="55"/>
        <v>2037</v>
      </c>
      <c r="AE121" s="364">
        <f t="shared" si="55"/>
        <v>2038</v>
      </c>
      <c r="AF121" s="364">
        <f t="shared" si="55"/>
        <v>2039</v>
      </c>
      <c r="AG121" s="364">
        <f t="shared" si="55"/>
        <v>2040</v>
      </c>
      <c r="AH121" s="364">
        <f t="shared" si="55"/>
        <v>2041</v>
      </c>
      <c r="AI121" s="364">
        <f t="shared" si="55"/>
        <v>2042</v>
      </c>
      <c r="AJ121" s="364">
        <f t="shared" si="55"/>
        <v>2043</v>
      </c>
      <c r="AK121" s="364">
        <f t="shared" si="55"/>
        <v>2044</v>
      </c>
      <c r="AL121" s="364">
        <f t="shared" si="55"/>
        <v>2045</v>
      </c>
      <c r="AM121" s="364">
        <f t="shared" si="55"/>
        <v>2046</v>
      </c>
      <c r="AN121" s="364">
        <f t="shared" si="55"/>
        <v>2047</v>
      </c>
      <c r="AO121" s="364">
        <f t="shared" si="55"/>
        <v>2048</v>
      </c>
      <c r="AP121" s="364">
        <f t="shared" si="55"/>
        <v>2049</v>
      </c>
      <c r="AQ121" s="364">
        <f t="shared" si="55"/>
        <v>2050</v>
      </c>
      <c r="AR121" s="364">
        <f t="shared" si="55"/>
        <v>2051</v>
      </c>
      <c r="AS121" s="364">
        <f t="shared" si="55"/>
        <v>2052</v>
      </c>
      <c r="AT121" s="364">
        <f t="shared" si="55"/>
        <v>2053</v>
      </c>
      <c r="AU121" s="364">
        <f t="shared" si="55"/>
        <v>2054</v>
      </c>
      <c r="AV121" s="364">
        <f t="shared" si="55"/>
        <v>2055</v>
      </c>
      <c r="AW121" s="364">
        <f t="shared" si="55"/>
        <v>2056</v>
      </c>
      <c r="AX121" s="364">
        <f t="shared" si="55"/>
        <v>2057</v>
      </c>
      <c r="AY121" s="364">
        <f t="shared" si="55"/>
        <v>2058</v>
      </c>
      <c r="AZ121" s="364">
        <f t="shared" si="55"/>
        <v>2059</v>
      </c>
      <c r="BA121" s="364">
        <f t="shared" si="55"/>
        <v>2060</v>
      </c>
      <c r="BB121" s="364">
        <f t="shared" si="55"/>
        <v>2061</v>
      </c>
      <c r="BC121" s="364">
        <f t="shared" si="55"/>
        <v>2062</v>
      </c>
      <c r="BD121" s="364">
        <f t="shared" si="55"/>
        <v>2063</v>
      </c>
      <c r="BE121" s="364">
        <f t="shared" si="55"/>
        <v>2064</v>
      </c>
    </row>
    <row r="122" spans="1:57" s="346" customFormat="1">
      <c r="A122" s="346" t="s">
        <v>149</v>
      </c>
      <c r="B122" s="377">
        <v>1</v>
      </c>
      <c r="C122" s="377">
        <f>Input!I314</f>
        <v>1.0278766310794782</v>
      </c>
      <c r="D122" s="377">
        <f>Input!J314</f>
        <v>1.0640569395017794</v>
      </c>
      <c r="E122" s="377">
        <f>Input!K314</f>
        <v>1.0853807258645405</v>
      </c>
      <c r="F122" s="377">
        <f>Input!L314</f>
        <v>1.1088368908635777</v>
      </c>
      <c r="G122" s="377">
        <f>Input!M314</f>
        <v>1.1344254344988911</v>
      </c>
      <c r="H122" s="377">
        <f>Input!N314</f>
        <v>1.1514844635890999</v>
      </c>
      <c r="I122" s="377">
        <f>Input!O314</f>
        <v>1.1767019733417012</v>
      </c>
      <c r="J122" s="377">
        <f>Input!P314</f>
        <v>1.2024717465578845</v>
      </c>
      <c r="K122" s="377">
        <f>Input!Q314</f>
        <v>1.2288058778075022</v>
      </c>
      <c r="L122" s="377">
        <f>Input!R314</f>
        <v>1.2557167265314866</v>
      </c>
      <c r="M122" s="377"/>
      <c r="N122" s="377"/>
      <c r="O122" s="377"/>
      <c r="P122" s="377"/>
      <c r="Q122" s="377"/>
      <c r="R122" s="377"/>
      <c r="S122" s="377"/>
      <c r="T122" s="377"/>
      <c r="U122" s="377"/>
      <c r="V122" s="377"/>
      <c r="W122" s="377"/>
      <c r="X122" s="377"/>
      <c r="Y122" s="377"/>
      <c r="Z122" s="377"/>
      <c r="AA122" s="377"/>
      <c r="AB122" s="377"/>
      <c r="AC122" s="377"/>
      <c r="AD122" s="377"/>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row>
    <row r="123" spans="1:57" s="346" customFormat="1">
      <c r="C123" s="377"/>
      <c r="D123" s="378"/>
    </row>
    <row r="124" spans="1:57" s="346" customFormat="1">
      <c r="A124" s="379" t="s">
        <v>150</v>
      </c>
      <c r="B124" s="379"/>
    </row>
    <row r="125" spans="1:57" s="346" customFormat="1">
      <c r="A125" s="349" t="s">
        <v>81</v>
      </c>
      <c r="B125" s="349"/>
      <c r="C125" s="377"/>
      <c r="D125" s="378"/>
    </row>
    <row r="126" spans="1:57" s="346" customFormat="1">
      <c r="A126" s="350" t="s">
        <v>147</v>
      </c>
      <c r="B126" s="364">
        <f>B$2</f>
        <v>2009</v>
      </c>
      <c r="C126" s="364">
        <f>C$2</f>
        <v>2010</v>
      </c>
      <c r="D126" s="364">
        <f t="shared" ref="D126:BE126" si="56">D$2</f>
        <v>2011</v>
      </c>
      <c r="E126" s="364">
        <f t="shared" si="56"/>
        <v>2012</v>
      </c>
      <c r="F126" s="364">
        <f t="shared" si="56"/>
        <v>2013</v>
      </c>
      <c r="G126" s="364">
        <f t="shared" si="56"/>
        <v>2014</v>
      </c>
      <c r="H126" s="364">
        <f t="shared" si="56"/>
        <v>2015</v>
      </c>
      <c r="I126" s="364">
        <f t="shared" si="56"/>
        <v>2016</v>
      </c>
      <c r="J126" s="364">
        <f t="shared" si="56"/>
        <v>2017</v>
      </c>
      <c r="K126" s="364">
        <f t="shared" si="56"/>
        <v>2018</v>
      </c>
      <c r="L126" s="364">
        <f t="shared" si="56"/>
        <v>2019</v>
      </c>
      <c r="M126" s="364">
        <f t="shared" si="56"/>
        <v>2020</v>
      </c>
      <c r="N126" s="364">
        <f t="shared" si="56"/>
        <v>2021</v>
      </c>
      <c r="O126" s="364">
        <f t="shared" si="56"/>
        <v>2022</v>
      </c>
      <c r="P126" s="364">
        <f t="shared" si="56"/>
        <v>2023</v>
      </c>
      <c r="Q126" s="364">
        <f t="shared" si="56"/>
        <v>2024</v>
      </c>
      <c r="R126" s="364">
        <f t="shared" si="56"/>
        <v>2025</v>
      </c>
      <c r="S126" s="364">
        <f t="shared" si="56"/>
        <v>2026</v>
      </c>
      <c r="T126" s="364">
        <f t="shared" si="56"/>
        <v>2027</v>
      </c>
      <c r="U126" s="364">
        <f t="shared" si="56"/>
        <v>2028</v>
      </c>
      <c r="V126" s="364">
        <f t="shared" si="56"/>
        <v>2029</v>
      </c>
      <c r="W126" s="364">
        <f t="shared" si="56"/>
        <v>2030</v>
      </c>
      <c r="X126" s="364">
        <f t="shared" si="56"/>
        <v>2031</v>
      </c>
      <c r="Y126" s="364">
        <f t="shared" si="56"/>
        <v>2032</v>
      </c>
      <c r="Z126" s="364">
        <f t="shared" si="56"/>
        <v>2033</v>
      </c>
      <c r="AA126" s="364">
        <f t="shared" si="56"/>
        <v>2034</v>
      </c>
      <c r="AB126" s="364">
        <f t="shared" si="56"/>
        <v>2035</v>
      </c>
      <c r="AC126" s="364">
        <f t="shared" si="56"/>
        <v>2036</v>
      </c>
      <c r="AD126" s="364">
        <f t="shared" si="56"/>
        <v>2037</v>
      </c>
      <c r="AE126" s="364">
        <f t="shared" si="56"/>
        <v>2038</v>
      </c>
      <c r="AF126" s="364">
        <f t="shared" si="56"/>
        <v>2039</v>
      </c>
      <c r="AG126" s="364">
        <f t="shared" si="56"/>
        <v>2040</v>
      </c>
      <c r="AH126" s="364">
        <f t="shared" si="56"/>
        <v>2041</v>
      </c>
      <c r="AI126" s="364">
        <f t="shared" si="56"/>
        <v>2042</v>
      </c>
      <c r="AJ126" s="364">
        <f t="shared" si="56"/>
        <v>2043</v>
      </c>
      <c r="AK126" s="364">
        <f t="shared" si="56"/>
        <v>2044</v>
      </c>
      <c r="AL126" s="364">
        <f t="shared" si="56"/>
        <v>2045</v>
      </c>
      <c r="AM126" s="364">
        <f t="shared" si="56"/>
        <v>2046</v>
      </c>
      <c r="AN126" s="364">
        <f t="shared" si="56"/>
        <v>2047</v>
      </c>
      <c r="AO126" s="364">
        <f t="shared" si="56"/>
        <v>2048</v>
      </c>
      <c r="AP126" s="364">
        <f t="shared" si="56"/>
        <v>2049</v>
      </c>
      <c r="AQ126" s="364">
        <f t="shared" si="56"/>
        <v>2050</v>
      </c>
      <c r="AR126" s="364">
        <f t="shared" si="56"/>
        <v>2051</v>
      </c>
      <c r="AS126" s="364">
        <f t="shared" si="56"/>
        <v>2052</v>
      </c>
      <c r="AT126" s="364">
        <f t="shared" si="56"/>
        <v>2053</v>
      </c>
      <c r="AU126" s="364">
        <f t="shared" si="56"/>
        <v>2054</v>
      </c>
      <c r="AV126" s="364">
        <f t="shared" si="56"/>
        <v>2055</v>
      </c>
      <c r="AW126" s="364">
        <f t="shared" si="56"/>
        <v>2056</v>
      </c>
      <c r="AX126" s="364">
        <f t="shared" si="56"/>
        <v>2057</v>
      </c>
      <c r="AY126" s="364">
        <f t="shared" si="56"/>
        <v>2058</v>
      </c>
      <c r="AZ126" s="364">
        <f t="shared" si="56"/>
        <v>2059</v>
      </c>
      <c r="BA126" s="364">
        <f t="shared" si="56"/>
        <v>2060</v>
      </c>
      <c r="BB126" s="364">
        <f t="shared" si="56"/>
        <v>2061</v>
      </c>
      <c r="BC126" s="364">
        <f t="shared" si="56"/>
        <v>2062</v>
      </c>
      <c r="BD126" s="364">
        <f t="shared" si="56"/>
        <v>2063</v>
      </c>
      <c r="BE126" s="364">
        <f t="shared" si="56"/>
        <v>2064</v>
      </c>
    </row>
    <row r="127" spans="1:57" s="346" customFormat="1">
      <c r="A127" s="353" t="s">
        <v>148</v>
      </c>
      <c r="B127" s="353"/>
      <c r="C127" s="377"/>
      <c r="D127" s="378"/>
      <c r="G127" s="448"/>
      <c r="H127" s="448">
        <v>0</v>
      </c>
    </row>
    <row r="128" spans="1:57" s="346" customFormat="1">
      <c r="A128" s="346" t="s">
        <v>139</v>
      </c>
      <c r="C128" s="396">
        <v>141.9614237656092</v>
      </c>
      <c r="D128" s="396">
        <v>135.04639444411961</v>
      </c>
      <c r="E128" s="396">
        <v>111.85736398030402</v>
      </c>
      <c r="F128" s="396">
        <v>117.96531923499815</v>
      </c>
      <c r="G128" s="396">
        <v>126.88055058549473</v>
      </c>
      <c r="H128" s="457">
        <v>89.558149403095257</v>
      </c>
      <c r="I128" s="458">
        <v>0</v>
      </c>
      <c r="J128" s="397">
        <v>0</v>
      </c>
      <c r="K128" s="397">
        <v>0</v>
      </c>
      <c r="L128" s="397">
        <v>0</v>
      </c>
      <c r="M128" s="397">
        <v>0</v>
      </c>
    </row>
    <row r="129" spans="1:57" s="346" customFormat="1">
      <c r="A129" s="346" t="s">
        <v>140</v>
      </c>
      <c r="C129" s="396">
        <v>40.710344377507354</v>
      </c>
      <c r="D129" s="396">
        <v>24.853522933626152</v>
      </c>
      <c r="E129" s="396">
        <v>34.382466889660286</v>
      </c>
      <c r="F129" s="396">
        <v>42.590355316212687</v>
      </c>
      <c r="G129" s="396">
        <v>69.583222117897705</v>
      </c>
      <c r="H129" s="457">
        <v>49.876903435692157</v>
      </c>
      <c r="I129" s="458">
        <v>0</v>
      </c>
      <c r="J129" s="397">
        <v>0</v>
      </c>
      <c r="K129" s="397">
        <v>0</v>
      </c>
      <c r="L129" s="397">
        <v>0</v>
      </c>
      <c r="M129" s="397">
        <v>0</v>
      </c>
    </row>
    <row r="130" spans="1:57" s="346" customFormat="1">
      <c r="A130" s="346" t="s">
        <v>141</v>
      </c>
      <c r="C130" s="396">
        <v>1.7139911951735214</v>
      </c>
      <c r="D130" s="396">
        <v>15.522052441802073</v>
      </c>
      <c r="E130" s="396">
        <v>19.464027209176724</v>
      </c>
      <c r="F130" s="396">
        <v>12.844778286741324</v>
      </c>
      <c r="G130" s="396">
        <v>9.241501721343619</v>
      </c>
      <c r="H130" s="457">
        <v>16.684486990350628</v>
      </c>
      <c r="I130" s="458">
        <v>0</v>
      </c>
      <c r="J130" s="397">
        <v>0</v>
      </c>
      <c r="K130" s="397">
        <v>0</v>
      </c>
      <c r="L130" s="397">
        <v>0</v>
      </c>
      <c r="M130" s="397">
        <v>0</v>
      </c>
    </row>
    <row r="131" spans="1:57" s="346" customFormat="1">
      <c r="A131" s="346" t="s">
        <v>142</v>
      </c>
      <c r="C131" s="396">
        <v>25.870225830143845</v>
      </c>
      <c r="D131" s="396">
        <v>13.781145689568289</v>
      </c>
      <c r="E131" s="396">
        <v>20.72075938245095</v>
      </c>
      <c r="F131" s="396">
        <v>36.518070324242288</v>
      </c>
      <c r="G131" s="396">
        <v>36.492252683000928</v>
      </c>
      <c r="H131" s="457">
        <v>30.342100873358639</v>
      </c>
      <c r="I131" s="458">
        <v>0</v>
      </c>
      <c r="J131" s="397">
        <v>0</v>
      </c>
      <c r="K131" s="397">
        <v>0</v>
      </c>
      <c r="L131" s="397">
        <v>0</v>
      </c>
      <c r="M131" s="397">
        <v>0</v>
      </c>
    </row>
    <row r="132" spans="1:57" s="346" customFormat="1">
      <c r="A132" s="346" t="s">
        <v>143</v>
      </c>
      <c r="C132" s="396">
        <v>18.865568591587966</v>
      </c>
      <c r="D132" s="396">
        <v>47.237222275496308</v>
      </c>
      <c r="E132" s="396">
        <v>86.699673378487248</v>
      </c>
      <c r="F132" s="396">
        <v>118.09020130030618</v>
      </c>
      <c r="G132" s="396">
        <v>147.3128828453157</v>
      </c>
      <c r="H132" s="457">
        <v>174.94133489835923</v>
      </c>
      <c r="I132" s="458">
        <v>0</v>
      </c>
      <c r="J132" s="397">
        <v>0</v>
      </c>
      <c r="K132" s="397">
        <v>0</v>
      </c>
      <c r="L132" s="397">
        <v>0</v>
      </c>
      <c r="M132" s="397">
        <v>0</v>
      </c>
    </row>
    <row r="133" spans="1:57" s="346" customFormat="1">
      <c r="A133" s="346" t="s">
        <v>112</v>
      </c>
      <c r="C133" s="396">
        <v>3.0959421498995483</v>
      </c>
      <c r="D133" s="396">
        <v>1.2689451272140742</v>
      </c>
      <c r="E133" s="396">
        <v>5.9134930672221477</v>
      </c>
      <c r="F133" s="396">
        <v>1.9250731948508306</v>
      </c>
      <c r="G133" s="396">
        <v>0.73591031805575635</v>
      </c>
      <c r="H133" s="457">
        <v>2.9134612419346908</v>
      </c>
      <c r="I133" s="458">
        <v>0</v>
      </c>
      <c r="J133" s="397">
        <v>0</v>
      </c>
      <c r="K133" s="397">
        <v>0</v>
      </c>
      <c r="L133" s="397">
        <v>0</v>
      </c>
      <c r="M133" s="397">
        <v>0</v>
      </c>
    </row>
    <row r="134" spans="1:57" s="346" customFormat="1">
      <c r="A134" s="346" t="s">
        <v>113</v>
      </c>
      <c r="C134" s="396">
        <v>35.090722072477305</v>
      </c>
      <c r="D134" s="396">
        <v>46.619225442675479</v>
      </c>
      <c r="E134" s="396">
        <v>45.516156927547812</v>
      </c>
      <c r="F134" s="396">
        <v>50.208650819470257</v>
      </c>
      <c r="G134" s="396">
        <v>33.026078626827349</v>
      </c>
      <c r="H134" s="457">
        <v>19.489443911254135</v>
      </c>
      <c r="I134" s="458">
        <v>0</v>
      </c>
      <c r="J134" s="397">
        <v>0</v>
      </c>
      <c r="K134" s="397">
        <v>0</v>
      </c>
      <c r="L134" s="397">
        <v>0</v>
      </c>
      <c r="M134" s="397">
        <v>0</v>
      </c>
    </row>
    <row r="135" spans="1:57" s="346" customFormat="1">
      <c r="A135" s="346" t="s">
        <v>114</v>
      </c>
      <c r="C135" s="396">
        <v>4.1775348989372425</v>
      </c>
      <c r="D135" s="396">
        <v>5.0265670949548289</v>
      </c>
      <c r="E135" s="396">
        <v>6.5548071296747672</v>
      </c>
      <c r="F135" s="396">
        <v>6.1607829749307585</v>
      </c>
      <c r="G135" s="396">
        <v>4.9603971712309995</v>
      </c>
      <c r="H135" s="457">
        <v>3.5803409724553061</v>
      </c>
      <c r="I135" s="458">
        <v>0</v>
      </c>
      <c r="J135" s="397">
        <v>0</v>
      </c>
      <c r="K135" s="397">
        <v>0</v>
      </c>
      <c r="L135" s="397">
        <v>0</v>
      </c>
      <c r="M135" s="397">
        <v>0</v>
      </c>
    </row>
    <row r="136" spans="1:57" s="346" customFormat="1">
      <c r="C136" s="381">
        <f t="shared" ref="C136:M136" si="57">SUM(C128:C135)</f>
        <v>271.485752881336</v>
      </c>
      <c r="D136" s="381">
        <f t="shared" si="57"/>
        <v>289.35507544945682</v>
      </c>
      <c r="E136" s="381">
        <f t="shared" si="57"/>
        <v>331.1087479645239</v>
      </c>
      <c r="F136" s="381">
        <f t="shared" si="57"/>
        <v>386.30323145175248</v>
      </c>
      <c r="G136" s="381">
        <f t="shared" si="57"/>
        <v>428.2327960691668</v>
      </c>
      <c r="H136" s="381">
        <f t="shared" si="57"/>
        <v>387.38622172650003</v>
      </c>
      <c r="I136" s="381">
        <f t="shared" si="57"/>
        <v>0</v>
      </c>
      <c r="J136" s="381">
        <f t="shared" si="57"/>
        <v>0</v>
      </c>
      <c r="K136" s="381">
        <f t="shared" si="57"/>
        <v>0</v>
      </c>
      <c r="L136" s="381">
        <f t="shared" si="57"/>
        <v>0</v>
      </c>
      <c r="M136" s="381">
        <f t="shared" si="57"/>
        <v>0</v>
      </c>
    </row>
    <row r="137" spans="1:57" s="346" customFormat="1">
      <c r="C137" s="377"/>
      <c r="D137" s="448">
        <f>D136-(Input!H71-Input!H48)</f>
        <v>0</v>
      </c>
      <c r="E137" s="448">
        <f>E136-(Input!I71-Input!I48)</f>
        <v>0</v>
      </c>
      <c r="F137" s="448">
        <f>F136-(Input!J71-Input!J48)</f>
        <v>0</v>
      </c>
      <c r="G137" s="448">
        <f>G136-(Input!K71-Input!K48)</f>
        <v>0</v>
      </c>
      <c r="H137" s="448">
        <f>H136-(Input!L71-Input!L48)</f>
        <v>0</v>
      </c>
    </row>
    <row r="138" spans="1:57" s="347" customFormat="1">
      <c r="A138" s="363" t="s">
        <v>132</v>
      </c>
      <c r="B138" s="364">
        <f>B$2</f>
        <v>2009</v>
      </c>
      <c r="C138" s="364">
        <f>C$2</f>
        <v>2010</v>
      </c>
      <c r="D138" s="364">
        <f t="shared" ref="D138:BE138" si="58">D$2</f>
        <v>2011</v>
      </c>
      <c r="E138" s="364">
        <f t="shared" si="58"/>
        <v>2012</v>
      </c>
      <c r="F138" s="364">
        <f t="shared" si="58"/>
        <v>2013</v>
      </c>
      <c r="G138" s="364">
        <f t="shared" si="58"/>
        <v>2014</v>
      </c>
      <c r="H138" s="364">
        <f t="shared" si="58"/>
        <v>2015</v>
      </c>
      <c r="I138" s="364">
        <f t="shared" si="58"/>
        <v>2016</v>
      </c>
      <c r="J138" s="364">
        <f t="shared" si="58"/>
        <v>2017</v>
      </c>
      <c r="K138" s="364">
        <f t="shared" si="58"/>
        <v>2018</v>
      </c>
      <c r="L138" s="364">
        <f t="shared" si="58"/>
        <v>2019</v>
      </c>
      <c r="M138" s="364">
        <f t="shared" si="58"/>
        <v>2020</v>
      </c>
      <c r="N138" s="364">
        <f t="shared" si="58"/>
        <v>2021</v>
      </c>
      <c r="O138" s="364">
        <f t="shared" si="58"/>
        <v>2022</v>
      </c>
      <c r="P138" s="364">
        <f t="shared" si="58"/>
        <v>2023</v>
      </c>
      <c r="Q138" s="364">
        <f t="shared" si="58"/>
        <v>2024</v>
      </c>
      <c r="R138" s="364">
        <f t="shared" si="58"/>
        <v>2025</v>
      </c>
      <c r="S138" s="364">
        <f t="shared" si="58"/>
        <v>2026</v>
      </c>
      <c r="T138" s="364">
        <f t="shared" si="58"/>
        <v>2027</v>
      </c>
      <c r="U138" s="364">
        <f t="shared" si="58"/>
        <v>2028</v>
      </c>
      <c r="V138" s="364">
        <f t="shared" si="58"/>
        <v>2029</v>
      </c>
      <c r="W138" s="364">
        <f t="shared" si="58"/>
        <v>2030</v>
      </c>
      <c r="X138" s="364">
        <f t="shared" si="58"/>
        <v>2031</v>
      </c>
      <c r="Y138" s="364">
        <f t="shared" si="58"/>
        <v>2032</v>
      </c>
      <c r="Z138" s="364">
        <f t="shared" si="58"/>
        <v>2033</v>
      </c>
      <c r="AA138" s="364">
        <f t="shared" si="58"/>
        <v>2034</v>
      </c>
      <c r="AB138" s="364">
        <f t="shared" si="58"/>
        <v>2035</v>
      </c>
      <c r="AC138" s="364">
        <f t="shared" si="58"/>
        <v>2036</v>
      </c>
      <c r="AD138" s="364">
        <f t="shared" si="58"/>
        <v>2037</v>
      </c>
      <c r="AE138" s="364">
        <f t="shared" si="58"/>
        <v>2038</v>
      </c>
      <c r="AF138" s="364">
        <f t="shared" si="58"/>
        <v>2039</v>
      </c>
      <c r="AG138" s="364">
        <f t="shared" si="58"/>
        <v>2040</v>
      </c>
      <c r="AH138" s="364">
        <f t="shared" si="58"/>
        <v>2041</v>
      </c>
      <c r="AI138" s="364">
        <f t="shared" si="58"/>
        <v>2042</v>
      </c>
      <c r="AJ138" s="364">
        <f t="shared" si="58"/>
        <v>2043</v>
      </c>
      <c r="AK138" s="364">
        <f t="shared" si="58"/>
        <v>2044</v>
      </c>
      <c r="AL138" s="364">
        <f t="shared" si="58"/>
        <v>2045</v>
      </c>
      <c r="AM138" s="364">
        <f t="shared" si="58"/>
        <v>2046</v>
      </c>
      <c r="AN138" s="364">
        <f t="shared" si="58"/>
        <v>2047</v>
      </c>
      <c r="AO138" s="364">
        <f t="shared" si="58"/>
        <v>2048</v>
      </c>
      <c r="AP138" s="364">
        <f t="shared" si="58"/>
        <v>2049</v>
      </c>
      <c r="AQ138" s="364">
        <f t="shared" si="58"/>
        <v>2050</v>
      </c>
      <c r="AR138" s="364">
        <f t="shared" si="58"/>
        <v>2051</v>
      </c>
      <c r="AS138" s="364">
        <f t="shared" si="58"/>
        <v>2052</v>
      </c>
      <c r="AT138" s="364">
        <f t="shared" si="58"/>
        <v>2053</v>
      </c>
      <c r="AU138" s="364">
        <f t="shared" si="58"/>
        <v>2054</v>
      </c>
      <c r="AV138" s="364">
        <f t="shared" si="58"/>
        <v>2055</v>
      </c>
      <c r="AW138" s="364">
        <f t="shared" si="58"/>
        <v>2056</v>
      </c>
      <c r="AX138" s="364">
        <f t="shared" si="58"/>
        <v>2057</v>
      </c>
      <c r="AY138" s="364">
        <f t="shared" si="58"/>
        <v>2058</v>
      </c>
      <c r="AZ138" s="364">
        <f t="shared" si="58"/>
        <v>2059</v>
      </c>
      <c r="BA138" s="364">
        <f t="shared" si="58"/>
        <v>2060</v>
      </c>
      <c r="BB138" s="364">
        <f t="shared" si="58"/>
        <v>2061</v>
      </c>
      <c r="BC138" s="364">
        <f t="shared" si="58"/>
        <v>2062</v>
      </c>
      <c r="BD138" s="364">
        <f t="shared" si="58"/>
        <v>2063</v>
      </c>
      <c r="BE138" s="364">
        <f t="shared" si="58"/>
        <v>2064</v>
      </c>
    </row>
    <row r="139" spans="1:57" s="347" customFormat="1" hidden="1" outlineLevel="1">
      <c r="A139" s="365" t="s">
        <v>139</v>
      </c>
      <c r="B139" s="365"/>
      <c r="C139" s="346"/>
    </row>
    <row r="140" spans="1:57" s="347" customFormat="1" hidden="1" outlineLevel="1">
      <c r="A140" s="347" t="s">
        <v>133</v>
      </c>
      <c r="C140" s="372">
        <f>B$110</f>
        <v>367.54403170362696</v>
      </c>
      <c r="D140" s="367">
        <f>C143</f>
        <v>491.96446572577889</v>
      </c>
      <c r="E140" s="367">
        <f>D143</f>
        <v>604.63135365198491</v>
      </c>
      <c r="F140" s="367">
        <f>E143</f>
        <v>690.06631620660346</v>
      </c>
      <c r="G140" s="367">
        <f>F143</f>
        <v>778.06967640863741</v>
      </c>
      <c r="H140" s="367">
        <f t="shared" ref="H140:BE140" si="59">G143</f>
        <v>871.28982892607667</v>
      </c>
      <c r="I140" s="367">
        <f t="shared" si="59"/>
        <v>924.205222184067</v>
      </c>
      <c r="J140" s="367">
        <f t="shared" si="59"/>
        <v>887.23701329670428</v>
      </c>
      <c r="K140" s="367">
        <f t="shared" si="59"/>
        <v>851.74753276483614</v>
      </c>
      <c r="L140" s="367">
        <f t="shared" si="59"/>
        <v>817.67763145424271</v>
      </c>
      <c r="M140" s="367">
        <f t="shared" si="59"/>
        <v>784.97052619607302</v>
      </c>
      <c r="N140" s="367">
        <f t="shared" si="59"/>
        <v>753.57170514823008</v>
      </c>
      <c r="O140" s="367">
        <f t="shared" si="59"/>
        <v>723.4288369423009</v>
      </c>
      <c r="P140" s="367">
        <f t="shared" si="59"/>
        <v>694.49168346460885</v>
      </c>
      <c r="Q140" s="367">
        <f t="shared" si="59"/>
        <v>666.71201612602454</v>
      </c>
      <c r="R140" s="367">
        <f t="shared" si="59"/>
        <v>640.04353548098356</v>
      </c>
      <c r="S140" s="367">
        <f t="shared" si="59"/>
        <v>614.44179406174419</v>
      </c>
      <c r="T140" s="367">
        <f t="shared" si="59"/>
        <v>589.86412229927441</v>
      </c>
      <c r="U140" s="367">
        <f t="shared" si="59"/>
        <v>566.26955740730341</v>
      </c>
      <c r="V140" s="367">
        <f t="shared" si="59"/>
        <v>543.61877511101125</v>
      </c>
      <c r="W140" s="367">
        <f t="shared" si="59"/>
        <v>521.8740241065708</v>
      </c>
      <c r="X140" s="367">
        <f t="shared" si="59"/>
        <v>500.99906314230799</v>
      </c>
      <c r="Y140" s="367">
        <f t="shared" si="59"/>
        <v>480.95910061661567</v>
      </c>
      <c r="Z140" s="367">
        <f t="shared" si="59"/>
        <v>461.72073659195104</v>
      </c>
      <c r="AA140" s="367">
        <f t="shared" si="59"/>
        <v>443.25190712827299</v>
      </c>
      <c r="AB140" s="367">
        <f t="shared" si="59"/>
        <v>425.52183084314208</v>
      </c>
      <c r="AC140" s="367">
        <f t="shared" si="59"/>
        <v>408.50095760941639</v>
      </c>
      <c r="AD140" s="367">
        <f t="shared" si="59"/>
        <v>392.16091930503973</v>
      </c>
      <c r="AE140" s="367">
        <f t="shared" si="59"/>
        <v>376.47448253283812</v>
      </c>
      <c r="AF140" s="367">
        <f t="shared" si="59"/>
        <v>361.41550323152461</v>
      </c>
      <c r="AG140" s="367">
        <f t="shared" si="59"/>
        <v>346.9588831022636</v>
      </c>
      <c r="AH140" s="367">
        <f t="shared" si="59"/>
        <v>333.08052777817306</v>
      </c>
      <c r="AI140" s="367">
        <f t="shared" si="59"/>
        <v>319.75730666704612</v>
      </c>
      <c r="AJ140" s="367">
        <f t="shared" si="59"/>
        <v>306.96701440036429</v>
      </c>
      <c r="AK140" s="367">
        <f t="shared" si="59"/>
        <v>294.68833382434974</v>
      </c>
      <c r="AL140" s="367">
        <f t="shared" si="59"/>
        <v>282.90080047137576</v>
      </c>
      <c r="AM140" s="367">
        <f t="shared" si="59"/>
        <v>271.58476845252073</v>
      </c>
      <c r="AN140" s="367">
        <f t="shared" si="59"/>
        <v>260.72137771441993</v>
      </c>
      <c r="AO140" s="367">
        <f t="shared" si="59"/>
        <v>250.29252260584315</v>
      </c>
      <c r="AP140" s="367">
        <f t="shared" si="59"/>
        <v>240.28082170160943</v>
      </c>
      <c r="AQ140" s="367">
        <f t="shared" si="59"/>
        <v>230.66958883354505</v>
      </c>
      <c r="AR140" s="367">
        <f t="shared" si="59"/>
        <v>221.44280528020326</v>
      </c>
      <c r="AS140" s="367">
        <f t="shared" si="59"/>
        <v>212.58509306899512</v>
      </c>
      <c r="AT140" s="367">
        <f t="shared" si="59"/>
        <v>204.08168934623532</v>
      </c>
      <c r="AU140" s="367">
        <f t="shared" si="59"/>
        <v>195.9184217723859</v>
      </c>
      <c r="AV140" s="367">
        <f t="shared" si="59"/>
        <v>188.08168490149046</v>
      </c>
      <c r="AW140" s="367">
        <f t="shared" si="59"/>
        <v>180.55841750543084</v>
      </c>
      <c r="AX140" s="367">
        <f t="shared" si="59"/>
        <v>173.33608080521361</v>
      </c>
      <c r="AY140" s="367">
        <f t="shared" si="59"/>
        <v>166.40263757300508</v>
      </c>
      <c r="AZ140" s="367">
        <f t="shared" si="59"/>
        <v>159.74653207008487</v>
      </c>
      <c r="BA140" s="367">
        <f t="shared" si="59"/>
        <v>153.35667078728147</v>
      </c>
      <c r="BB140" s="367">
        <f t="shared" si="59"/>
        <v>147.22240395579021</v>
      </c>
      <c r="BC140" s="367">
        <f t="shared" si="59"/>
        <v>141.33350779755861</v>
      </c>
      <c r="BD140" s="367">
        <f t="shared" si="59"/>
        <v>135.68016748565626</v>
      </c>
      <c r="BE140" s="367">
        <f t="shared" si="59"/>
        <v>130.25296078623001</v>
      </c>
    </row>
    <row r="141" spans="1:57" s="347" customFormat="1" hidden="1" outlineLevel="1">
      <c r="A141" s="347" t="s">
        <v>134</v>
      </c>
      <c r="C141" s="367">
        <f>IF($C$110=1,C142,$C$110*(C140+C142*0.5))</f>
        <v>17.540989743457263</v>
      </c>
      <c r="D141" s="367">
        <f t="shared" ref="D141:BE141" si="60">IF($C$110=1,D142,$C$110*(D140+D142*0.5))</f>
        <v>22.379506517913548</v>
      </c>
      <c r="E141" s="367">
        <f t="shared" si="60"/>
        <v>26.422401425685475</v>
      </c>
      <c r="F141" s="367">
        <f t="shared" si="60"/>
        <v>29.961959032964103</v>
      </c>
      <c r="G141" s="367">
        <f t="shared" si="60"/>
        <v>33.660398068055393</v>
      </c>
      <c r="H141" s="367">
        <f t="shared" si="60"/>
        <v>36.642756145104975</v>
      </c>
      <c r="I141" s="367">
        <f t="shared" si="60"/>
        <v>36.968208887362678</v>
      </c>
      <c r="J141" s="367">
        <f t="shared" si="60"/>
        <v>35.489480531868175</v>
      </c>
      <c r="K141" s="367">
        <f t="shared" si="60"/>
        <v>34.069901310593444</v>
      </c>
      <c r="L141" s="367">
        <f t="shared" si="60"/>
        <v>32.707105258169712</v>
      </c>
      <c r="M141" s="367">
        <f t="shared" si="60"/>
        <v>31.398821047842922</v>
      </c>
      <c r="N141" s="367">
        <f t="shared" si="60"/>
        <v>30.142868205929204</v>
      </c>
      <c r="O141" s="367">
        <f t="shared" si="60"/>
        <v>28.937153477692036</v>
      </c>
      <c r="P141" s="367">
        <f t="shared" si="60"/>
        <v>27.779667338584353</v>
      </c>
      <c r="Q141" s="367">
        <f t="shared" si="60"/>
        <v>26.668480645040983</v>
      </c>
      <c r="R141" s="367">
        <f t="shared" si="60"/>
        <v>25.601741419239342</v>
      </c>
      <c r="S141" s="367">
        <f t="shared" si="60"/>
        <v>24.57767176246977</v>
      </c>
      <c r="T141" s="367">
        <f t="shared" si="60"/>
        <v>23.594564891970975</v>
      </c>
      <c r="U141" s="367">
        <f t="shared" si="60"/>
        <v>22.650782296292135</v>
      </c>
      <c r="V141" s="367">
        <f t="shared" si="60"/>
        <v>21.744751004440449</v>
      </c>
      <c r="W141" s="367">
        <f t="shared" si="60"/>
        <v>20.874960964262833</v>
      </c>
      <c r="X141" s="367">
        <f t="shared" si="60"/>
        <v>20.039962525692321</v>
      </c>
      <c r="Y141" s="367">
        <f t="shared" si="60"/>
        <v>19.238364024664627</v>
      </c>
      <c r="Z141" s="367">
        <f t="shared" si="60"/>
        <v>18.468829463678041</v>
      </c>
      <c r="AA141" s="367">
        <f t="shared" si="60"/>
        <v>17.73007628513092</v>
      </c>
      <c r="AB141" s="367">
        <f t="shared" si="60"/>
        <v>17.020873233725684</v>
      </c>
      <c r="AC141" s="367">
        <f t="shared" si="60"/>
        <v>16.340038304376655</v>
      </c>
      <c r="AD141" s="367">
        <f t="shared" si="60"/>
        <v>15.68643677220159</v>
      </c>
      <c r="AE141" s="367">
        <f t="shared" si="60"/>
        <v>15.058979301313526</v>
      </c>
      <c r="AF141" s="367">
        <f t="shared" si="60"/>
        <v>14.456620129260985</v>
      </c>
      <c r="AG141" s="367">
        <f t="shared" si="60"/>
        <v>13.878355324090544</v>
      </c>
      <c r="AH141" s="367">
        <f t="shared" si="60"/>
        <v>13.323221111126923</v>
      </c>
      <c r="AI141" s="367">
        <f t="shared" si="60"/>
        <v>12.790292266681845</v>
      </c>
      <c r="AJ141" s="367">
        <f t="shared" si="60"/>
        <v>12.278680576014573</v>
      </c>
      <c r="AK141" s="367">
        <f t="shared" si="60"/>
        <v>11.787533352973989</v>
      </c>
      <c r="AL141" s="367">
        <f t="shared" si="60"/>
        <v>11.316032018855031</v>
      </c>
      <c r="AM141" s="367">
        <f t="shared" si="60"/>
        <v>10.863390738100829</v>
      </c>
      <c r="AN141" s="367">
        <f t="shared" si="60"/>
        <v>10.428855108576798</v>
      </c>
      <c r="AO141" s="367">
        <f t="shared" si="60"/>
        <v>10.011700904233725</v>
      </c>
      <c r="AP141" s="367">
        <f t="shared" si="60"/>
        <v>9.611232868064377</v>
      </c>
      <c r="AQ141" s="367">
        <f t="shared" si="60"/>
        <v>9.2267835533418019</v>
      </c>
      <c r="AR141" s="367">
        <f t="shared" si="60"/>
        <v>8.8577122112081312</v>
      </c>
      <c r="AS141" s="367">
        <f t="shared" si="60"/>
        <v>8.5034037227598045</v>
      </c>
      <c r="AT141" s="367">
        <f t="shared" si="60"/>
        <v>8.1632675738494136</v>
      </c>
      <c r="AU141" s="367">
        <f t="shared" si="60"/>
        <v>7.8367368708954359</v>
      </c>
      <c r="AV141" s="367">
        <f t="shared" si="60"/>
        <v>7.5232673960596186</v>
      </c>
      <c r="AW141" s="367">
        <f t="shared" si="60"/>
        <v>7.2223367002172338</v>
      </c>
      <c r="AX141" s="367">
        <f t="shared" si="60"/>
        <v>6.9334432322085444</v>
      </c>
      <c r="AY141" s="367">
        <f t="shared" si="60"/>
        <v>6.6561055029202034</v>
      </c>
      <c r="AZ141" s="367">
        <f t="shared" si="60"/>
        <v>6.3898612828033947</v>
      </c>
      <c r="BA141" s="367">
        <f t="shared" si="60"/>
        <v>6.1342668314912592</v>
      </c>
      <c r="BB141" s="367">
        <f t="shared" si="60"/>
        <v>5.8888961582316091</v>
      </c>
      <c r="BC141" s="367">
        <f t="shared" si="60"/>
        <v>5.6533403119023449</v>
      </c>
      <c r="BD141" s="367">
        <f t="shared" si="60"/>
        <v>5.4272066994262502</v>
      </c>
      <c r="BE141" s="367">
        <f t="shared" si="60"/>
        <v>5.2101184314492004</v>
      </c>
    </row>
    <row r="142" spans="1:57" s="347" customFormat="1" hidden="1" outlineLevel="1">
      <c r="A142" s="347" t="s">
        <v>151</v>
      </c>
      <c r="C142" s="367">
        <f>C$128</f>
        <v>141.9614237656092</v>
      </c>
      <c r="D142" s="367">
        <f t="shared" ref="D142:BE142" si="61">D$128</f>
        <v>135.04639444411961</v>
      </c>
      <c r="E142" s="367">
        <f t="shared" si="61"/>
        <v>111.85736398030402</v>
      </c>
      <c r="F142" s="367">
        <f t="shared" si="61"/>
        <v>117.96531923499815</v>
      </c>
      <c r="G142" s="367">
        <f t="shared" si="61"/>
        <v>126.88055058549473</v>
      </c>
      <c r="H142" s="367">
        <f t="shared" si="61"/>
        <v>89.558149403095257</v>
      </c>
      <c r="I142" s="367">
        <f t="shared" si="61"/>
        <v>0</v>
      </c>
      <c r="J142" s="367">
        <f t="shared" si="61"/>
        <v>0</v>
      </c>
      <c r="K142" s="367">
        <f t="shared" si="61"/>
        <v>0</v>
      </c>
      <c r="L142" s="367">
        <f t="shared" si="61"/>
        <v>0</v>
      </c>
      <c r="M142" s="367">
        <f t="shared" si="61"/>
        <v>0</v>
      </c>
      <c r="N142" s="367">
        <f t="shared" si="61"/>
        <v>0</v>
      </c>
      <c r="O142" s="367">
        <f t="shared" si="61"/>
        <v>0</v>
      </c>
      <c r="P142" s="367">
        <f t="shared" si="61"/>
        <v>0</v>
      </c>
      <c r="Q142" s="367">
        <f t="shared" si="61"/>
        <v>0</v>
      </c>
      <c r="R142" s="367">
        <f t="shared" si="61"/>
        <v>0</v>
      </c>
      <c r="S142" s="367">
        <f t="shared" si="61"/>
        <v>0</v>
      </c>
      <c r="T142" s="367">
        <f t="shared" si="61"/>
        <v>0</v>
      </c>
      <c r="U142" s="367">
        <f t="shared" si="61"/>
        <v>0</v>
      </c>
      <c r="V142" s="367">
        <f t="shared" si="61"/>
        <v>0</v>
      </c>
      <c r="W142" s="367">
        <f t="shared" si="61"/>
        <v>0</v>
      </c>
      <c r="X142" s="367">
        <f t="shared" si="61"/>
        <v>0</v>
      </c>
      <c r="Y142" s="367">
        <f t="shared" si="61"/>
        <v>0</v>
      </c>
      <c r="Z142" s="367">
        <f t="shared" si="61"/>
        <v>0</v>
      </c>
      <c r="AA142" s="367">
        <f t="shared" si="61"/>
        <v>0</v>
      </c>
      <c r="AB142" s="367">
        <f t="shared" si="61"/>
        <v>0</v>
      </c>
      <c r="AC142" s="367">
        <f t="shared" si="61"/>
        <v>0</v>
      </c>
      <c r="AD142" s="367">
        <f t="shared" si="61"/>
        <v>0</v>
      </c>
      <c r="AE142" s="367">
        <f t="shared" si="61"/>
        <v>0</v>
      </c>
      <c r="AF142" s="367">
        <f t="shared" si="61"/>
        <v>0</v>
      </c>
      <c r="AG142" s="367">
        <f t="shared" si="61"/>
        <v>0</v>
      </c>
      <c r="AH142" s="367">
        <f t="shared" si="61"/>
        <v>0</v>
      </c>
      <c r="AI142" s="367">
        <f t="shared" si="61"/>
        <v>0</v>
      </c>
      <c r="AJ142" s="367">
        <f t="shared" si="61"/>
        <v>0</v>
      </c>
      <c r="AK142" s="367">
        <f t="shared" si="61"/>
        <v>0</v>
      </c>
      <c r="AL142" s="367">
        <f t="shared" si="61"/>
        <v>0</v>
      </c>
      <c r="AM142" s="367">
        <f t="shared" si="61"/>
        <v>0</v>
      </c>
      <c r="AN142" s="367">
        <f t="shared" si="61"/>
        <v>0</v>
      </c>
      <c r="AO142" s="367">
        <f t="shared" si="61"/>
        <v>0</v>
      </c>
      <c r="AP142" s="367">
        <f t="shared" si="61"/>
        <v>0</v>
      </c>
      <c r="AQ142" s="367">
        <f t="shared" si="61"/>
        <v>0</v>
      </c>
      <c r="AR142" s="367">
        <f t="shared" si="61"/>
        <v>0</v>
      </c>
      <c r="AS142" s="367">
        <f t="shared" si="61"/>
        <v>0</v>
      </c>
      <c r="AT142" s="367">
        <f t="shared" si="61"/>
        <v>0</v>
      </c>
      <c r="AU142" s="367">
        <f t="shared" si="61"/>
        <v>0</v>
      </c>
      <c r="AV142" s="367">
        <f t="shared" si="61"/>
        <v>0</v>
      </c>
      <c r="AW142" s="367">
        <f t="shared" si="61"/>
        <v>0</v>
      </c>
      <c r="AX142" s="367">
        <f t="shared" si="61"/>
        <v>0</v>
      </c>
      <c r="AY142" s="367">
        <f t="shared" si="61"/>
        <v>0</v>
      </c>
      <c r="AZ142" s="367">
        <f t="shared" si="61"/>
        <v>0</v>
      </c>
      <c r="BA142" s="367">
        <f t="shared" si="61"/>
        <v>0</v>
      </c>
      <c r="BB142" s="367">
        <f t="shared" si="61"/>
        <v>0</v>
      </c>
      <c r="BC142" s="367">
        <f t="shared" si="61"/>
        <v>0</v>
      </c>
      <c r="BD142" s="367">
        <f t="shared" si="61"/>
        <v>0</v>
      </c>
      <c r="BE142" s="367">
        <f t="shared" si="61"/>
        <v>0</v>
      </c>
    </row>
    <row r="143" spans="1:57" s="347" customFormat="1" hidden="1" outlineLevel="1">
      <c r="A143" s="347" t="s">
        <v>135</v>
      </c>
      <c r="B143" s="374">
        <f>C140</f>
        <v>367.54403170362696</v>
      </c>
      <c r="C143" s="368">
        <f>C140-C141+C142</f>
        <v>491.96446572577889</v>
      </c>
      <c r="D143" s="368">
        <f>D140-D141+D142</f>
        <v>604.63135365198491</v>
      </c>
      <c r="E143" s="368">
        <f>E140-E141+E142</f>
        <v>690.06631620660346</v>
      </c>
      <c r="F143" s="368">
        <f>F140-F141+F142</f>
        <v>778.06967640863741</v>
      </c>
      <c r="G143" s="368">
        <f>G140-G141+G142</f>
        <v>871.28982892607667</v>
      </c>
      <c r="H143" s="368">
        <f t="shared" ref="H143:BE143" si="62">H140-H141+H142</f>
        <v>924.205222184067</v>
      </c>
      <c r="I143" s="368">
        <f t="shared" si="62"/>
        <v>887.23701329670428</v>
      </c>
      <c r="J143" s="368">
        <f t="shared" si="62"/>
        <v>851.74753276483614</v>
      </c>
      <c r="K143" s="368">
        <f t="shared" si="62"/>
        <v>817.67763145424271</v>
      </c>
      <c r="L143" s="368">
        <f t="shared" si="62"/>
        <v>784.97052619607302</v>
      </c>
      <c r="M143" s="368">
        <f t="shared" si="62"/>
        <v>753.57170514823008</v>
      </c>
      <c r="N143" s="368">
        <f t="shared" si="62"/>
        <v>723.4288369423009</v>
      </c>
      <c r="O143" s="368">
        <f t="shared" si="62"/>
        <v>694.49168346460885</v>
      </c>
      <c r="P143" s="368">
        <f t="shared" si="62"/>
        <v>666.71201612602454</v>
      </c>
      <c r="Q143" s="368">
        <f t="shared" si="62"/>
        <v>640.04353548098356</v>
      </c>
      <c r="R143" s="368">
        <f t="shared" si="62"/>
        <v>614.44179406174419</v>
      </c>
      <c r="S143" s="368">
        <f t="shared" si="62"/>
        <v>589.86412229927441</v>
      </c>
      <c r="T143" s="368">
        <f t="shared" si="62"/>
        <v>566.26955740730341</v>
      </c>
      <c r="U143" s="368">
        <f t="shared" si="62"/>
        <v>543.61877511101125</v>
      </c>
      <c r="V143" s="368">
        <f t="shared" si="62"/>
        <v>521.8740241065708</v>
      </c>
      <c r="W143" s="368">
        <f t="shared" si="62"/>
        <v>500.99906314230799</v>
      </c>
      <c r="X143" s="368">
        <f t="shared" si="62"/>
        <v>480.95910061661567</v>
      </c>
      <c r="Y143" s="368">
        <f t="shared" si="62"/>
        <v>461.72073659195104</v>
      </c>
      <c r="Z143" s="368">
        <f t="shared" si="62"/>
        <v>443.25190712827299</v>
      </c>
      <c r="AA143" s="368">
        <f t="shared" si="62"/>
        <v>425.52183084314208</v>
      </c>
      <c r="AB143" s="368">
        <f t="shared" si="62"/>
        <v>408.50095760941639</v>
      </c>
      <c r="AC143" s="368">
        <f t="shared" si="62"/>
        <v>392.16091930503973</v>
      </c>
      <c r="AD143" s="368">
        <f t="shared" si="62"/>
        <v>376.47448253283812</v>
      </c>
      <c r="AE143" s="368">
        <f t="shared" si="62"/>
        <v>361.41550323152461</v>
      </c>
      <c r="AF143" s="368">
        <f t="shared" si="62"/>
        <v>346.9588831022636</v>
      </c>
      <c r="AG143" s="368">
        <f t="shared" si="62"/>
        <v>333.08052777817306</v>
      </c>
      <c r="AH143" s="368">
        <f t="shared" si="62"/>
        <v>319.75730666704612</v>
      </c>
      <c r="AI143" s="368">
        <f t="shared" si="62"/>
        <v>306.96701440036429</v>
      </c>
      <c r="AJ143" s="368">
        <f t="shared" si="62"/>
        <v>294.68833382434974</v>
      </c>
      <c r="AK143" s="368">
        <f t="shared" si="62"/>
        <v>282.90080047137576</v>
      </c>
      <c r="AL143" s="368">
        <f t="shared" si="62"/>
        <v>271.58476845252073</v>
      </c>
      <c r="AM143" s="368">
        <f t="shared" si="62"/>
        <v>260.72137771441993</v>
      </c>
      <c r="AN143" s="368">
        <f t="shared" si="62"/>
        <v>250.29252260584315</v>
      </c>
      <c r="AO143" s="368">
        <f t="shared" si="62"/>
        <v>240.28082170160943</v>
      </c>
      <c r="AP143" s="368">
        <f t="shared" si="62"/>
        <v>230.66958883354505</v>
      </c>
      <c r="AQ143" s="368">
        <f t="shared" si="62"/>
        <v>221.44280528020326</v>
      </c>
      <c r="AR143" s="368">
        <f t="shared" si="62"/>
        <v>212.58509306899512</v>
      </c>
      <c r="AS143" s="368">
        <f t="shared" si="62"/>
        <v>204.08168934623532</v>
      </c>
      <c r="AT143" s="368">
        <f t="shared" si="62"/>
        <v>195.9184217723859</v>
      </c>
      <c r="AU143" s="368">
        <f t="shared" si="62"/>
        <v>188.08168490149046</v>
      </c>
      <c r="AV143" s="368">
        <f t="shared" si="62"/>
        <v>180.55841750543084</v>
      </c>
      <c r="AW143" s="368">
        <f t="shared" si="62"/>
        <v>173.33608080521361</v>
      </c>
      <c r="AX143" s="368">
        <f t="shared" si="62"/>
        <v>166.40263757300508</v>
      </c>
      <c r="AY143" s="368">
        <f t="shared" si="62"/>
        <v>159.74653207008487</v>
      </c>
      <c r="AZ143" s="368">
        <f t="shared" si="62"/>
        <v>153.35667078728147</v>
      </c>
      <c r="BA143" s="368">
        <f t="shared" si="62"/>
        <v>147.22240395579021</v>
      </c>
      <c r="BB143" s="368">
        <f t="shared" si="62"/>
        <v>141.33350779755861</v>
      </c>
      <c r="BC143" s="368">
        <f t="shared" si="62"/>
        <v>135.68016748565626</v>
      </c>
      <c r="BD143" s="368">
        <f t="shared" si="62"/>
        <v>130.25296078623001</v>
      </c>
      <c r="BE143" s="368">
        <f t="shared" si="62"/>
        <v>125.0428423547808</v>
      </c>
    </row>
    <row r="144" spans="1:57" s="347" customFormat="1" hidden="1" outlineLevel="1">
      <c r="A144" s="365" t="s">
        <v>140</v>
      </c>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373"/>
      <c r="AF144" s="373"/>
      <c r="AG144" s="373"/>
      <c r="AH144" s="373"/>
      <c r="AI144" s="373"/>
      <c r="AJ144" s="373"/>
      <c r="AK144" s="373"/>
      <c r="AL144" s="373"/>
      <c r="AM144" s="373"/>
      <c r="AN144" s="373"/>
      <c r="AO144" s="373"/>
      <c r="AP144" s="373"/>
      <c r="AQ144" s="373"/>
      <c r="AR144" s="373"/>
      <c r="AS144" s="373"/>
      <c r="AT144" s="373"/>
      <c r="AU144" s="373"/>
      <c r="AV144" s="373"/>
      <c r="AW144" s="373"/>
      <c r="AX144" s="373"/>
      <c r="AY144" s="373"/>
      <c r="AZ144" s="373"/>
      <c r="BA144" s="373"/>
      <c r="BB144" s="373"/>
      <c r="BC144" s="373"/>
      <c r="BD144" s="373"/>
      <c r="BE144" s="373"/>
    </row>
    <row r="145" spans="1:57" s="347" customFormat="1" hidden="1" outlineLevel="1">
      <c r="A145" s="347" t="s">
        <v>133</v>
      </c>
      <c r="C145" s="372">
        <f>B$111</f>
        <v>0</v>
      </c>
      <c r="D145" s="367">
        <f>C148</f>
        <v>0</v>
      </c>
      <c r="E145" s="367">
        <f>D148</f>
        <v>0</v>
      </c>
      <c r="F145" s="367">
        <f>E148</f>
        <v>0</v>
      </c>
      <c r="G145" s="367">
        <f>F148</f>
        <v>0</v>
      </c>
      <c r="H145" s="367">
        <f t="shared" ref="H145:BE145" si="63">G148</f>
        <v>0</v>
      </c>
      <c r="I145" s="367">
        <f t="shared" si="63"/>
        <v>0</v>
      </c>
      <c r="J145" s="367">
        <f t="shared" si="63"/>
        <v>0</v>
      </c>
      <c r="K145" s="367">
        <f t="shared" si="63"/>
        <v>0</v>
      </c>
      <c r="L145" s="367">
        <f t="shared" si="63"/>
        <v>0</v>
      </c>
      <c r="M145" s="367">
        <f t="shared" si="63"/>
        <v>0</v>
      </c>
      <c r="N145" s="367">
        <f t="shared" si="63"/>
        <v>0</v>
      </c>
      <c r="O145" s="367">
        <f t="shared" si="63"/>
        <v>0</v>
      </c>
      <c r="P145" s="367">
        <f t="shared" si="63"/>
        <v>0</v>
      </c>
      <c r="Q145" s="367">
        <f t="shared" si="63"/>
        <v>0</v>
      </c>
      <c r="R145" s="367">
        <f t="shared" si="63"/>
        <v>0</v>
      </c>
      <c r="S145" s="367">
        <f t="shared" si="63"/>
        <v>0</v>
      </c>
      <c r="T145" s="367">
        <f t="shared" si="63"/>
        <v>0</v>
      </c>
      <c r="U145" s="367">
        <f t="shared" si="63"/>
        <v>0</v>
      </c>
      <c r="V145" s="367">
        <f t="shared" si="63"/>
        <v>0</v>
      </c>
      <c r="W145" s="367">
        <f t="shared" si="63"/>
        <v>0</v>
      </c>
      <c r="X145" s="367">
        <f t="shared" si="63"/>
        <v>0</v>
      </c>
      <c r="Y145" s="367">
        <f t="shared" si="63"/>
        <v>0</v>
      </c>
      <c r="Z145" s="367">
        <f t="shared" si="63"/>
        <v>0</v>
      </c>
      <c r="AA145" s="367">
        <f t="shared" si="63"/>
        <v>0</v>
      </c>
      <c r="AB145" s="367">
        <f t="shared" si="63"/>
        <v>0</v>
      </c>
      <c r="AC145" s="367">
        <f t="shared" si="63"/>
        <v>0</v>
      </c>
      <c r="AD145" s="367">
        <f t="shared" si="63"/>
        <v>0</v>
      </c>
      <c r="AE145" s="367">
        <f t="shared" si="63"/>
        <v>0</v>
      </c>
      <c r="AF145" s="367">
        <f t="shared" si="63"/>
        <v>0</v>
      </c>
      <c r="AG145" s="367">
        <f t="shared" si="63"/>
        <v>0</v>
      </c>
      <c r="AH145" s="367">
        <f t="shared" si="63"/>
        <v>0</v>
      </c>
      <c r="AI145" s="367">
        <f t="shared" si="63"/>
        <v>0</v>
      </c>
      <c r="AJ145" s="367">
        <f t="shared" si="63"/>
        <v>0</v>
      </c>
      <c r="AK145" s="367">
        <f t="shared" si="63"/>
        <v>0</v>
      </c>
      <c r="AL145" s="367">
        <f t="shared" si="63"/>
        <v>0</v>
      </c>
      <c r="AM145" s="367">
        <f t="shared" si="63"/>
        <v>0</v>
      </c>
      <c r="AN145" s="367">
        <f t="shared" si="63"/>
        <v>0</v>
      </c>
      <c r="AO145" s="367">
        <f t="shared" si="63"/>
        <v>0</v>
      </c>
      <c r="AP145" s="367">
        <f t="shared" si="63"/>
        <v>0</v>
      </c>
      <c r="AQ145" s="367">
        <f t="shared" si="63"/>
        <v>0</v>
      </c>
      <c r="AR145" s="367">
        <f t="shared" si="63"/>
        <v>0</v>
      </c>
      <c r="AS145" s="367">
        <f t="shared" si="63"/>
        <v>0</v>
      </c>
      <c r="AT145" s="367">
        <f t="shared" si="63"/>
        <v>0</v>
      </c>
      <c r="AU145" s="367">
        <f t="shared" si="63"/>
        <v>0</v>
      </c>
      <c r="AV145" s="367">
        <f t="shared" si="63"/>
        <v>0</v>
      </c>
      <c r="AW145" s="367">
        <f t="shared" si="63"/>
        <v>0</v>
      </c>
      <c r="AX145" s="367">
        <f t="shared" si="63"/>
        <v>0</v>
      </c>
      <c r="AY145" s="367">
        <f t="shared" si="63"/>
        <v>0</v>
      </c>
      <c r="AZ145" s="367">
        <f t="shared" si="63"/>
        <v>0</v>
      </c>
      <c r="BA145" s="367">
        <f t="shared" si="63"/>
        <v>0</v>
      </c>
      <c r="BB145" s="367">
        <f t="shared" si="63"/>
        <v>0</v>
      </c>
      <c r="BC145" s="367">
        <f t="shared" si="63"/>
        <v>0</v>
      </c>
      <c r="BD145" s="367">
        <f t="shared" si="63"/>
        <v>0</v>
      </c>
      <c r="BE145" s="367">
        <f t="shared" si="63"/>
        <v>0</v>
      </c>
    </row>
    <row r="146" spans="1:57" s="347" customFormat="1" hidden="1" outlineLevel="1">
      <c r="A146" s="347" t="s">
        <v>134</v>
      </c>
      <c r="C146" s="367">
        <f>IF($C$111=1,C147,$C$111*(C145+C147*0.5))</f>
        <v>40.710344377507354</v>
      </c>
      <c r="D146" s="367">
        <f t="shared" ref="D146:BE146" si="64">IF($C$111=1,D147,$C$111*(D145+D147*0.5))</f>
        <v>24.853522933626152</v>
      </c>
      <c r="E146" s="367">
        <f t="shared" si="64"/>
        <v>34.382466889660286</v>
      </c>
      <c r="F146" s="367">
        <f t="shared" si="64"/>
        <v>42.590355316212687</v>
      </c>
      <c r="G146" s="367">
        <f t="shared" si="64"/>
        <v>69.583222117897705</v>
      </c>
      <c r="H146" s="367">
        <f t="shared" si="64"/>
        <v>49.876903435692157</v>
      </c>
      <c r="I146" s="367">
        <f t="shared" si="64"/>
        <v>0</v>
      </c>
      <c r="J146" s="367">
        <f t="shared" si="64"/>
        <v>0</v>
      </c>
      <c r="K146" s="367">
        <f t="shared" si="64"/>
        <v>0</v>
      </c>
      <c r="L146" s="367">
        <f t="shared" si="64"/>
        <v>0</v>
      </c>
      <c r="M146" s="367">
        <f t="shared" si="64"/>
        <v>0</v>
      </c>
      <c r="N146" s="367">
        <f t="shared" si="64"/>
        <v>0</v>
      </c>
      <c r="O146" s="367">
        <f t="shared" si="64"/>
        <v>0</v>
      </c>
      <c r="P146" s="367">
        <f t="shared" si="64"/>
        <v>0</v>
      </c>
      <c r="Q146" s="367">
        <f t="shared" si="64"/>
        <v>0</v>
      </c>
      <c r="R146" s="367">
        <f t="shared" si="64"/>
        <v>0</v>
      </c>
      <c r="S146" s="367">
        <f t="shared" si="64"/>
        <v>0</v>
      </c>
      <c r="T146" s="367">
        <f t="shared" si="64"/>
        <v>0</v>
      </c>
      <c r="U146" s="367">
        <f t="shared" si="64"/>
        <v>0</v>
      </c>
      <c r="V146" s="367">
        <f t="shared" si="64"/>
        <v>0</v>
      </c>
      <c r="W146" s="367">
        <f t="shared" si="64"/>
        <v>0</v>
      </c>
      <c r="X146" s="367">
        <f t="shared" si="64"/>
        <v>0</v>
      </c>
      <c r="Y146" s="367">
        <f t="shared" si="64"/>
        <v>0</v>
      </c>
      <c r="Z146" s="367">
        <f t="shared" si="64"/>
        <v>0</v>
      </c>
      <c r="AA146" s="367">
        <f t="shared" si="64"/>
        <v>0</v>
      </c>
      <c r="AB146" s="367">
        <f t="shared" si="64"/>
        <v>0</v>
      </c>
      <c r="AC146" s="367">
        <f t="shared" si="64"/>
        <v>0</v>
      </c>
      <c r="AD146" s="367">
        <f t="shared" si="64"/>
        <v>0</v>
      </c>
      <c r="AE146" s="367">
        <f t="shared" si="64"/>
        <v>0</v>
      </c>
      <c r="AF146" s="367">
        <f t="shared" si="64"/>
        <v>0</v>
      </c>
      <c r="AG146" s="367">
        <f t="shared" si="64"/>
        <v>0</v>
      </c>
      <c r="AH146" s="367">
        <f t="shared" si="64"/>
        <v>0</v>
      </c>
      <c r="AI146" s="367">
        <f t="shared" si="64"/>
        <v>0</v>
      </c>
      <c r="AJ146" s="367">
        <f t="shared" si="64"/>
        <v>0</v>
      </c>
      <c r="AK146" s="367">
        <f t="shared" si="64"/>
        <v>0</v>
      </c>
      <c r="AL146" s="367">
        <f t="shared" si="64"/>
        <v>0</v>
      </c>
      <c r="AM146" s="367">
        <f t="shared" si="64"/>
        <v>0</v>
      </c>
      <c r="AN146" s="367">
        <f t="shared" si="64"/>
        <v>0</v>
      </c>
      <c r="AO146" s="367">
        <f t="shared" si="64"/>
        <v>0</v>
      </c>
      <c r="AP146" s="367">
        <f t="shared" si="64"/>
        <v>0</v>
      </c>
      <c r="AQ146" s="367">
        <f t="shared" si="64"/>
        <v>0</v>
      </c>
      <c r="AR146" s="367">
        <f t="shared" si="64"/>
        <v>0</v>
      </c>
      <c r="AS146" s="367">
        <f t="shared" si="64"/>
        <v>0</v>
      </c>
      <c r="AT146" s="367">
        <f t="shared" si="64"/>
        <v>0</v>
      </c>
      <c r="AU146" s="367">
        <f t="shared" si="64"/>
        <v>0</v>
      </c>
      <c r="AV146" s="367">
        <f t="shared" si="64"/>
        <v>0</v>
      </c>
      <c r="AW146" s="367">
        <f t="shared" si="64"/>
        <v>0</v>
      </c>
      <c r="AX146" s="367">
        <f t="shared" si="64"/>
        <v>0</v>
      </c>
      <c r="AY146" s="367">
        <f t="shared" si="64"/>
        <v>0</v>
      </c>
      <c r="AZ146" s="367">
        <f t="shared" si="64"/>
        <v>0</v>
      </c>
      <c r="BA146" s="367">
        <f t="shared" si="64"/>
        <v>0</v>
      </c>
      <c r="BB146" s="367">
        <f t="shared" si="64"/>
        <v>0</v>
      </c>
      <c r="BC146" s="367">
        <f t="shared" si="64"/>
        <v>0</v>
      </c>
      <c r="BD146" s="367">
        <f t="shared" si="64"/>
        <v>0</v>
      </c>
      <c r="BE146" s="367">
        <f t="shared" si="64"/>
        <v>0</v>
      </c>
    </row>
    <row r="147" spans="1:57" s="347" customFormat="1" hidden="1" outlineLevel="1">
      <c r="A147" s="347" t="s">
        <v>151</v>
      </c>
      <c r="C147" s="367">
        <f>C$129</f>
        <v>40.710344377507354</v>
      </c>
      <c r="D147" s="367">
        <f t="shared" ref="D147:BE147" si="65">D$129</f>
        <v>24.853522933626152</v>
      </c>
      <c r="E147" s="367">
        <f t="shared" si="65"/>
        <v>34.382466889660286</v>
      </c>
      <c r="F147" s="367">
        <f t="shared" si="65"/>
        <v>42.590355316212687</v>
      </c>
      <c r="G147" s="367">
        <f t="shared" si="65"/>
        <v>69.583222117897705</v>
      </c>
      <c r="H147" s="367">
        <f t="shared" si="65"/>
        <v>49.876903435692157</v>
      </c>
      <c r="I147" s="367">
        <f t="shared" si="65"/>
        <v>0</v>
      </c>
      <c r="J147" s="367">
        <f t="shared" si="65"/>
        <v>0</v>
      </c>
      <c r="K147" s="367">
        <f t="shared" si="65"/>
        <v>0</v>
      </c>
      <c r="L147" s="367">
        <f t="shared" si="65"/>
        <v>0</v>
      </c>
      <c r="M147" s="367">
        <f t="shared" si="65"/>
        <v>0</v>
      </c>
      <c r="N147" s="367">
        <f t="shared" si="65"/>
        <v>0</v>
      </c>
      <c r="O147" s="367">
        <f t="shared" si="65"/>
        <v>0</v>
      </c>
      <c r="P147" s="367">
        <f t="shared" si="65"/>
        <v>0</v>
      </c>
      <c r="Q147" s="367">
        <f t="shared" si="65"/>
        <v>0</v>
      </c>
      <c r="R147" s="367">
        <f t="shared" si="65"/>
        <v>0</v>
      </c>
      <c r="S147" s="367">
        <f t="shared" si="65"/>
        <v>0</v>
      </c>
      <c r="T147" s="367">
        <f t="shared" si="65"/>
        <v>0</v>
      </c>
      <c r="U147" s="367">
        <f t="shared" si="65"/>
        <v>0</v>
      </c>
      <c r="V147" s="367">
        <f t="shared" si="65"/>
        <v>0</v>
      </c>
      <c r="W147" s="367">
        <f t="shared" si="65"/>
        <v>0</v>
      </c>
      <c r="X147" s="367">
        <f t="shared" si="65"/>
        <v>0</v>
      </c>
      <c r="Y147" s="367">
        <f t="shared" si="65"/>
        <v>0</v>
      </c>
      <c r="Z147" s="367">
        <f t="shared" si="65"/>
        <v>0</v>
      </c>
      <c r="AA147" s="367">
        <f t="shared" si="65"/>
        <v>0</v>
      </c>
      <c r="AB147" s="367">
        <f t="shared" si="65"/>
        <v>0</v>
      </c>
      <c r="AC147" s="367">
        <f t="shared" si="65"/>
        <v>0</v>
      </c>
      <c r="AD147" s="367">
        <f t="shared" si="65"/>
        <v>0</v>
      </c>
      <c r="AE147" s="367">
        <f t="shared" si="65"/>
        <v>0</v>
      </c>
      <c r="AF147" s="367">
        <f t="shared" si="65"/>
        <v>0</v>
      </c>
      <c r="AG147" s="367">
        <f t="shared" si="65"/>
        <v>0</v>
      </c>
      <c r="AH147" s="367">
        <f t="shared" si="65"/>
        <v>0</v>
      </c>
      <c r="AI147" s="367">
        <f t="shared" si="65"/>
        <v>0</v>
      </c>
      <c r="AJ147" s="367">
        <f t="shared" si="65"/>
        <v>0</v>
      </c>
      <c r="AK147" s="367">
        <f t="shared" si="65"/>
        <v>0</v>
      </c>
      <c r="AL147" s="367">
        <f t="shared" si="65"/>
        <v>0</v>
      </c>
      <c r="AM147" s="367">
        <f t="shared" si="65"/>
        <v>0</v>
      </c>
      <c r="AN147" s="367">
        <f t="shared" si="65"/>
        <v>0</v>
      </c>
      <c r="AO147" s="367">
        <f t="shared" si="65"/>
        <v>0</v>
      </c>
      <c r="AP147" s="367">
        <f t="shared" si="65"/>
        <v>0</v>
      </c>
      <c r="AQ147" s="367">
        <f t="shared" si="65"/>
        <v>0</v>
      </c>
      <c r="AR147" s="367">
        <f t="shared" si="65"/>
        <v>0</v>
      </c>
      <c r="AS147" s="367">
        <f t="shared" si="65"/>
        <v>0</v>
      </c>
      <c r="AT147" s="367">
        <f t="shared" si="65"/>
        <v>0</v>
      </c>
      <c r="AU147" s="367">
        <f t="shared" si="65"/>
        <v>0</v>
      </c>
      <c r="AV147" s="367">
        <f t="shared" si="65"/>
        <v>0</v>
      </c>
      <c r="AW147" s="367">
        <f t="shared" si="65"/>
        <v>0</v>
      </c>
      <c r="AX147" s="367">
        <f t="shared" si="65"/>
        <v>0</v>
      </c>
      <c r="AY147" s="367">
        <f t="shared" si="65"/>
        <v>0</v>
      </c>
      <c r="AZ147" s="367">
        <f t="shared" si="65"/>
        <v>0</v>
      </c>
      <c r="BA147" s="367">
        <f t="shared" si="65"/>
        <v>0</v>
      </c>
      <c r="BB147" s="367">
        <f t="shared" si="65"/>
        <v>0</v>
      </c>
      <c r="BC147" s="367">
        <f t="shared" si="65"/>
        <v>0</v>
      </c>
      <c r="BD147" s="367">
        <f t="shared" si="65"/>
        <v>0</v>
      </c>
      <c r="BE147" s="367">
        <f t="shared" si="65"/>
        <v>0</v>
      </c>
    </row>
    <row r="148" spans="1:57" s="347" customFormat="1" hidden="1" outlineLevel="1">
      <c r="A148" s="347" t="s">
        <v>135</v>
      </c>
      <c r="B148" s="374">
        <f>C145</f>
        <v>0</v>
      </c>
      <c r="C148" s="368">
        <f>C145-C146+C147</f>
        <v>0</v>
      </c>
      <c r="D148" s="368">
        <f>D145-D146+D147</f>
        <v>0</v>
      </c>
      <c r="E148" s="368">
        <f>E145-E146+E147</f>
        <v>0</v>
      </c>
      <c r="F148" s="368">
        <f>F145-F146+F147</f>
        <v>0</v>
      </c>
      <c r="G148" s="368">
        <f>G145-G146+G147</f>
        <v>0</v>
      </c>
      <c r="H148" s="368">
        <f t="shared" ref="H148:BE148" si="66">H145-H146+H147</f>
        <v>0</v>
      </c>
      <c r="I148" s="368">
        <f t="shared" si="66"/>
        <v>0</v>
      </c>
      <c r="J148" s="368">
        <f t="shared" si="66"/>
        <v>0</v>
      </c>
      <c r="K148" s="368">
        <f t="shared" si="66"/>
        <v>0</v>
      </c>
      <c r="L148" s="368">
        <f t="shared" si="66"/>
        <v>0</v>
      </c>
      <c r="M148" s="368">
        <f t="shared" si="66"/>
        <v>0</v>
      </c>
      <c r="N148" s="368">
        <f t="shared" si="66"/>
        <v>0</v>
      </c>
      <c r="O148" s="368">
        <f t="shared" si="66"/>
        <v>0</v>
      </c>
      <c r="P148" s="368">
        <f t="shared" si="66"/>
        <v>0</v>
      </c>
      <c r="Q148" s="368">
        <f t="shared" si="66"/>
        <v>0</v>
      </c>
      <c r="R148" s="368">
        <f t="shared" si="66"/>
        <v>0</v>
      </c>
      <c r="S148" s="368">
        <f t="shared" si="66"/>
        <v>0</v>
      </c>
      <c r="T148" s="368">
        <f t="shared" si="66"/>
        <v>0</v>
      </c>
      <c r="U148" s="368">
        <f t="shared" si="66"/>
        <v>0</v>
      </c>
      <c r="V148" s="368">
        <f t="shared" si="66"/>
        <v>0</v>
      </c>
      <c r="W148" s="368">
        <f t="shared" si="66"/>
        <v>0</v>
      </c>
      <c r="X148" s="368">
        <f t="shared" si="66"/>
        <v>0</v>
      </c>
      <c r="Y148" s="368">
        <f t="shared" si="66"/>
        <v>0</v>
      </c>
      <c r="Z148" s="368">
        <f t="shared" si="66"/>
        <v>0</v>
      </c>
      <c r="AA148" s="368">
        <f t="shared" si="66"/>
        <v>0</v>
      </c>
      <c r="AB148" s="368">
        <f t="shared" si="66"/>
        <v>0</v>
      </c>
      <c r="AC148" s="368">
        <f t="shared" si="66"/>
        <v>0</v>
      </c>
      <c r="AD148" s="368">
        <f t="shared" si="66"/>
        <v>0</v>
      </c>
      <c r="AE148" s="368">
        <f t="shared" si="66"/>
        <v>0</v>
      </c>
      <c r="AF148" s="368">
        <f t="shared" si="66"/>
        <v>0</v>
      </c>
      <c r="AG148" s="368">
        <f t="shared" si="66"/>
        <v>0</v>
      </c>
      <c r="AH148" s="368">
        <f t="shared" si="66"/>
        <v>0</v>
      </c>
      <c r="AI148" s="368">
        <f t="shared" si="66"/>
        <v>0</v>
      </c>
      <c r="AJ148" s="368">
        <f t="shared" si="66"/>
        <v>0</v>
      </c>
      <c r="AK148" s="368">
        <f t="shared" si="66"/>
        <v>0</v>
      </c>
      <c r="AL148" s="368">
        <f t="shared" si="66"/>
        <v>0</v>
      </c>
      <c r="AM148" s="368">
        <f t="shared" si="66"/>
        <v>0</v>
      </c>
      <c r="AN148" s="368">
        <f t="shared" si="66"/>
        <v>0</v>
      </c>
      <c r="AO148" s="368">
        <f t="shared" si="66"/>
        <v>0</v>
      </c>
      <c r="AP148" s="368">
        <f t="shared" si="66"/>
        <v>0</v>
      </c>
      <c r="AQ148" s="368">
        <f t="shared" si="66"/>
        <v>0</v>
      </c>
      <c r="AR148" s="368">
        <f t="shared" si="66"/>
        <v>0</v>
      </c>
      <c r="AS148" s="368">
        <f t="shared" si="66"/>
        <v>0</v>
      </c>
      <c r="AT148" s="368">
        <f t="shared" si="66"/>
        <v>0</v>
      </c>
      <c r="AU148" s="368">
        <f t="shared" si="66"/>
        <v>0</v>
      </c>
      <c r="AV148" s="368">
        <f t="shared" si="66"/>
        <v>0</v>
      </c>
      <c r="AW148" s="368">
        <f t="shared" si="66"/>
        <v>0</v>
      </c>
      <c r="AX148" s="368">
        <f t="shared" si="66"/>
        <v>0</v>
      </c>
      <c r="AY148" s="368">
        <f t="shared" si="66"/>
        <v>0</v>
      </c>
      <c r="AZ148" s="368">
        <f t="shared" si="66"/>
        <v>0</v>
      </c>
      <c r="BA148" s="368">
        <f t="shared" si="66"/>
        <v>0</v>
      </c>
      <c r="BB148" s="368">
        <f t="shared" si="66"/>
        <v>0</v>
      </c>
      <c r="BC148" s="368">
        <f t="shared" si="66"/>
        <v>0</v>
      </c>
      <c r="BD148" s="368">
        <f t="shared" si="66"/>
        <v>0</v>
      </c>
      <c r="BE148" s="368">
        <f t="shared" si="66"/>
        <v>0</v>
      </c>
    </row>
    <row r="149" spans="1:57" s="347" customFormat="1" hidden="1" outlineLevel="1">
      <c r="A149" s="365" t="s">
        <v>141</v>
      </c>
      <c r="B149" s="373"/>
      <c r="C149" s="373"/>
      <c r="D149" s="373"/>
      <c r="E149" s="373"/>
      <c r="F149" s="373"/>
      <c r="G149" s="373"/>
      <c r="H149" s="373"/>
      <c r="I149" s="373"/>
      <c r="J149" s="373"/>
      <c r="K149" s="373"/>
      <c r="L149" s="373"/>
      <c r="M149" s="373"/>
      <c r="N149" s="373"/>
      <c r="O149" s="373"/>
      <c r="P149" s="373"/>
      <c r="Q149" s="373"/>
      <c r="R149" s="373"/>
      <c r="S149" s="373"/>
      <c r="T149" s="373"/>
      <c r="U149" s="373"/>
      <c r="V149" s="373"/>
      <c r="W149" s="373"/>
      <c r="X149" s="373"/>
      <c r="Y149" s="373"/>
      <c r="Z149" s="373"/>
      <c r="AA149" s="373"/>
      <c r="AB149" s="373"/>
      <c r="AC149" s="373"/>
      <c r="AD149" s="373"/>
      <c r="AE149" s="373"/>
      <c r="AF149" s="373"/>
      <c r="AG149" s="373"/>
      <c r="AH149" s="373"/>
      <c r="AI149" s="373"/>
      <c r="AJ149" s="373"/>
      <c r="AK149" s="373"/>
      <c r="AL149" s="373"/>
      <c r="AM149" s="373"/>
      <c r="AN149" s="373"/>
      <c r="AO149" s="373"/>
      <c r="AP149" s="373"/>
      <c r="AQ149" s="373"/>
      <c r="AR149" s="373"/>
      <c r="AS149" s="373"/>
      <c r="AT149" s="373"/>
      <c r="AU149" s="373"/>
      <c r="AV149" s="373"/>
      <c r="AW149" s="373"/>
      <c r="AX149" s="373"/>
      <c r="AY149" s="373"/>
      <c r="AZ149" s="373"/>
      <c r="BA149" s="373"/>
      <c r="BB149" s="373"/>
      <c r="BC149" s="373"/>
      <c r="BD149" s="373"/>
      <c r="BE149" s="373"/>
    </row>
    <row r="150" spans="1:57" s="347" customFormat="1" hidden="1" outlineLevel="1">
      <c r="A150" s="347" t="s">
        <v>133</v>
      </c>
      <c r="C150" s="372">
        <f>B$112</f>
        <v>3.2334319492458294</v>
      </c>
      <c r="D150" s="367">
        <f>C153</f>
        <v>4.5383803897360924</v>
      </c>
      <c r="E150" s="367">
        <f>D153</f>
        <v>18.83049217047445</v>
      </c>
      <c r="F150" s="367">
        <f>E153</f>
        <v>35.43826880214489</v>
      </c>
      <c r="G150" s="367">
        <f>F153</f>
        <v>44.096981294334654</v>
      </c>
      <c r="H150" s="367">
        <f t="shared" ref="H150:BE150" si="67">G153</f>
        <v>48.466709800177625</v>
      </c>
      <c r="I150" s="367">
        <f t="shared" si="67"/>
        <v>59.470301460992957</v>
      </c>
      <c r="J150" s="367">
        <f t="shared" si="67"/>
        <v>53.523271314893663</v>
      </c>
      <c r="K150" s="367">
        <f t="shared" si="67"/>
        <v>48.170944183404295</v>
      </c>
      <c r="L150" s="367">
        <f t="shared" si="67"/>
        <v>43.353849765063863</v>
      </c>
      <c r="M150" s="367">
        <f t="shared" si="67"/>
        <v>39.01846478855748</v>
      </c>
      <c r="N150" s="367">
        <f t="shared" si="67"/>
        <v>35.116618309701735</v>
      </c>
      <c r="O150" s="367">
        <f t="shared" si="67"/>
        <v>31.604956478731562</v>
      </c>
      <c r="P150" s="367">
        <f t="shared" si="67"/>
        <v>28.444460830858407</v>
      </c>
      <c r="Q150" s="367">
        <f t="shared" si="67"/>
        <v>25.600014747772565</v>
      </c>
      <c r="R150" s="367">
        <f t="shared" si="67"/>
        <v>23.04001327299531</v>
      </c>
      <c r="S150" s="367">
        <f t="shared" si="67"/>
        <v>20.736011945695779</v>
      </c>
      <c r="T150" s="367">
        <f t="shared" si="67"/>
        <v>18.662410751126203</v>
      </c>
      <c r="U150" s="367">
        <f t="shared" si="67"/>
        <v>16.796169676013584</v>
      </c>
      <c r="V150" s="367">
        <f t="shared" si="67"/>
        <v>15.116552708412225</v>
      </c>
      <c r="W150" s="367">
        <f t="shared" si="67"/>
        <v>13.604897437571003</v>
      </c>
      <c r="X150" s="367">
        <f t="shared" si="67"/>
        <v>12.244407693813903</v>
      </c>
      <c r="Y150" s="367">
        <f t="shared" si="67"/>
        <v>11.019966924432513</v>
      </c>
      <c r="Z150" s="367">
        <f t="shared" si="67"/>
        <v>9.917970231989262</v>
      </c>
      <c r="AA150" s="367">
        <f t="shared" si="67"/>
        <v>8.9261732087903365</v>
      </c>
      <c r="AB150" s="367">
        <f t="shared" si="67"/>
        <v>8.0335558879113034</v>
      </c>
      <c r="AC150" s="367">
        <f t="shared" si="67"/>
        <v>7.230200299120173</v>
      </c>
      <c r="AD150" s="367">
        <f t="shared" si="67"/>
        <v>6.5071802692081562</v>
      </c>
      <c r="AE150" s="367">
        <f t="shared" si="67"/>
        <v>5.8564622422873409</v>
      </c>
      <c r="AF150" s="367">
        <f t="shared" si="67"/>
        <v>5.270816018058607</v>
      </c>
      <c r="AG150" s="367">
        <f t="shared" si="67"/>
        <v>4.7437344162527459</v>
      </c>
      <c r="AH150" s="367">
        <f t="shared" si="67"/>
        <v>4.269360974627471</v>
      </c>
      <c r="AI150" s="367">
        <f t="shared" si="67"/>
        <v>3.8424248771647238</v>
      </c>
      <c r="AJ150" s="367">
        <f t="shared" si="67"/>
        <v>3.4581823894482513</v>
      </c>
      <c r="AK150" s="367">
        <f t="shared" si="67"/>
        <v>3.1123641505034261</v>
      </c>
      <c r="AL150" s="367">
        <f t="shared" si="67"/>
        <v>2.8011277354530835</v>
      </c>
      <c r="AM150" s="367">
        <f t="shared" si="67"/>
        <v>2.5210149619077753</v>
      </c>
      <c r="AN150" s="367">
        <f t="shared" si="67"/>
        <v>2.2689134657169978</v>
      </c>
      <c r="AO150" s="367">
        <f t="shared" si="67"/>
        <v>2.0420221191452979</v>
      </c>
      <c r="AP150" s="367">
        <f t="shared" si="67"/>
        <v>1.8378199072307679</v>
      </c>
      <c r="AQ150" s="367">
        <f t="shared" si="67"/>
        <v>1.6540379165076911</v>
      </c>
      <c r="AR150" s="367">
        <f t="shared" si="67"/>
        <v>1.4886341248569219</v>
      </c>
      <c r="AS150" s="367">
        <f t="shared" si="67"/>
        <v>1.3397707123712297</v>
      </c>
      <c r="AT150" s="367">
        <f t="shared" si="67"/>
        <v>1.2057936411341068</v>
      </c>
      <c r="AU150" s="367">
        <f t="shared" si="67"/>
        <v>1.0852142770206961</v>
      </c>
      <c r="AV150" s="367">
        <f t="shared" si="67"/>
        <v>0.97669284931862643</v>
      </c>
      <c r="AW150" s="367">
        <f t="shared" si="67"/>
        <v>0.87902356438676377</v>
      </c>
      <c r="AX150" s="367">
        <f t="shared" si="67"/>
        <v>0.79112120794808738</v>
      </c>
      <c r="AY150" s="367">
        <f t="shared" si="67"/>
        <v>0.7120090871532786</v>
      </c>
      <c r="AZ150" s="367">
        <f t="shared" si="67"/>
        <v>0.64080817843795068</v>
      </c>
      <c r="BA150" s="367">
        <f t="shared" si="67"/>
        <v>0.57672736059415564</v>
      </c>
      <c r="BB150" s="367">
        <f t="shared" si="67"/>
        <v>0.51905462453474005</v>
      </c>
      <c r="BC150" s="367">
        <f t="shared" si="67"/>
        <v>0.46714916208126606</v>
      </c>
      <c r="BD150" s="367">
        <f t="shared" si="67"/>
        <v>0.42043424587313943</v>
      </c>
      <c r="BE150" s="367">
        <f t="shared" si="67"/>
        <v>0.37839082128582546</v>
      </c>
    </row>
    <row r="151" spans="1:57" s="347" customFormat="1" hidden="1" outlineLevel="1">
      <c r="A151" s="347" t="s">
        <v>134</v>
      </c>
      <c r="C151" s="367">
        <f>IF($C$112=1,C152,$C$112*(C150+C152*0.5))</f>
        <v>0.40904275468325901</v>
      </c>
      <c r="D151" s="367">
        <f t="shared" ref="D151:BE151" si="68">IF($C$112=1,D152,$C$112*(D150+D152*0.5))</f>
        <v>1.2299406610637129</v>
      </c>
      <c r="E151" s="367">
        <f t="shared" si="68"/>
        <v>2.8562505775062812</v>
      </c>
      <c r="F151" s="367">
        <f t="shared" si="68"/>
        <v>4.1860657945515554</v>
      </c>
      <c r="G151" s="367">
        <f t="shared" si="68"/>
        <v>4.8717732155006468</v>
      </c>
      <c r="H151" s="367">
        <f t="shared" si="68"/>
        <v>5.6808953295352937</v>
      </c>
      <c r="I151" s="367">
        <f t="shared" si="68"/>
        <v>5.947030146099296</v>
      </c>
      <c r="J151" s="367">
        <f t="shared" si="68"/>
        <v>5.3523271314893668</v>
      </c>
      <c r="K151" s="367">
        <f t="shared" si="68"/>
        <v>4.8170944183404298</v>
      </c>
      <c r="L151" s="367">
        <f t="shared" si="68"/>
        <v>4.3353849765063863</v>
      </c>
      <c r="M151" s="367">
        <f t="shared" si="68"/>
        <v>3.9018464788557483</v>
      </c>
      <c r="N151" s="367">
        <f t="shared" si="68"/>
        <v>3.5116618309701737</v>
      </c>
      <c r="O151" s="367">
        <f t="shared" si="68"/>
        <v>3.1604956478731565</v>
      </c>
      <c r="P151" s="367">
        <f t="shared" si="68"/>
        <v>2.8444460830858409</v>
      </c>
      <c r="Q151" s="367">
        <f t="shared" si="68"/>
        <v>2.5600014747772568</v>
      </c>
      <c r="R151" s="367">
        <f t="shared" si="68"/>
        <v>2.304001327299531</v>
      </c>
      <c r="S151" s="367">
        <f t="shared" si="68"/>
        <v>2.0736011945695778</v>
      </c>
      <c r="T151" s="367">
        <f t="shared" si="68"/>
        <v>1.8662410751126204</v>
      </c>
      <c r="U151" s="367">
        <f t="shared" si="68"/>
        <v>1.6796169676013584</v>
      </c>
      <c r="V151" s="367">
        <f t="shared" si="68"/>
        <v>1.5116552708412225</v>
      </c>
      <c r="W151" s="367">
        <f t="shared" si="68"/>
        <v>1.3604897437571004</v>
      </c>
      <c r="X151" s="367">
        <f t="shared" si="68"/>
        <v>1.2244407693813903</v>
      </c>
      <c r="Y151" s="367">
        <f t="shared" si="68"/>
        <v>1.1019966924432514</v>
      </c>
      <c r="Z151" s="367">
        <f t="shared" si="68"/>
        <v>0.99179702319892626</v>
      </c>
      <c r="AA151" s="367">
        <f t="shared" si="68"/>
        <v>0.89261732087903367</v>
      </c>
      <c r="AB151" s="367">
        <f t="shared" si="68"/>
        <v>0.80335558879113034</v>
      </c>
      <c r="AC151" s="367">
        <f t="shared" si="68"/>
        <v>0.7230200299120173</v>
      </c>
      <c r="AD151" s="367">
        <f t="shared" si="68"/>
        <v>0.65071802692081571</v>
      </c>
      <c r="AE151" s="367">
        <f t="shared" si="68"/>
        <v>0.58564622422873414</v>
      </c>
      <c r="AF151" s="367">
        <f t="shared" si="68"/>
        <v>0.52708160180586072</v>
      </c>
      <c r="AG151" s="367">
        <f t="shared" si="68"/>
        <v>0.47437344162527462</v>
      </c>
      <c r="AH151" s="367">
        <f t="shared" si="68"/>
        <v>0.42693609746274713</v>
      </c>
      <c r="AI151" s="367">
        <f t="shared" si="68"/>
        <v>0.3842424877164724</v>
      </c>
      <c r="AJ151" s="367">
        <f t="shared" si="68"/>
        <v>0.34581823894482516</v>
      </c>
      <c r="AK151" s="367">
        <f t="shared" si="68"/>
        <v>0.31123641505034261</v>
      </c>
      <c r="AL151" s="367">
        <f t="shared" si="68"/>
        <v>0.28011277354530834</v>
      </c>
      <c r="AM151" s="367">
        <f t="shared" si="68"/>
        <v>0.25210149619077754</v>
      </c>
      <c r="AN151" s="367">
        <f t="shared" si="68"/>
        <v>0.22689134657169979</v>
      </c>
      <c r="AO151" s="367">
        <f t="shared" si="68"/>
        <v>0.20420221191452981</v>
      </c>
      <c r="AP151" s="367">
        <f t="shared" si="68"/>
        <v>0.1837819907230768</v>
      </c>
      <c r="AQ151" s="367">
        <f t="shared" si="68"/>
        <v>0.16540379165076913</v>
      </c>
      <c r="AR151" s="367">
        <f t="shared" si="68"/>
        <v>0.14886341248569221</v>
      </c>
      <c r="AS151" s="367">
        <f t="shared" si="68"/>
        <v>0.13397707123712296</v>
      </c>
      <c r="AT151" s="367">
        <f t="shared" si="68"/>
        <v>0.12057936411341069</v>
      </c>
      <c r="AU151" s="367">
        <f t="shared" si="68"/>
        <v>0.10852142770206961</v>
      </c>
      <c r="AV151" s="367">
        <f t="shared" si="68"/>
        <v>9.7669284931862652E-2</v>
      </c>
      <c r="AW151" s="367">
        <f t="shared" si="68"/>
        <v>8.7902356438676388E-2</v>
      </c>
      <c r="AX151" s="367">
        <f t="shared" si="68"/>
        <v>7.9112120794808741E-2</v>
      </c>
      <c r="AY151" s="367">
        <f t="shared" si="68"/>
        <v>7.120090871532786E-2</v>
      </c>
      <c r="AZ151" s="367">
        <f t="shared" si="68"/>
        <v>6.4080817843795074E-2</v>
      </c>
      <c r="BA151" s="367">
        <f t="shared" si="68"/>
        <v>5.7672736059415565E-2</v>
      </c>
      <c r="BB151" s="367">
        <f t="shared" si="68"/>
        <v>5.1905462453474008E-2</v>
      </c>
      <c r="BC151" s="367">
        <f t="shared" si="68"/>
        <v>4.6714916208126608E-2</v>
      </c>
      <c r="BD151" s="367">
        <f t="shared" si="68"/>
        <v>4.2043424587313943E-2</v>
      </c>
      <c r="BE151" s="367">
        <f t="shared" si="68"/>
        <v>3.783908212858255E-2</v>
      </c>
    </row>
    <row r="152" spans="1:57" s="347" customFormat="1" hidden="1" outlineLevel="1">
      <c r="A152" s="347" t="s">
        <v>151</v>
      </c>
      <c r="C152" s="367">
        <f>C$130</f>
        <v>1.7139911951735214</v>
      </c>
      <c r="D152" s="367">
        <f t="shared" ref="D152:BE152" si="69">D$130</f>
        <v>15.522052441802073</v>
      </c>
      <c r="E152" s="367">
        <f t="shared" si="69"/>
        <v>19.464027209176724</v>
      </c>
      <c r="F152" s="367">
        <f t="shared" si="69"/>
        <v>12.844778286741324</v>
      </c>
      <c r="G152" s="367">
        <f t="shared" si="69"/>
        <v>9.241501721343619</v>
      </c>
      <c r="H152" s="367">
        <f t="shared" si="69"/>
        <v>16.684486990350628</v>
      </c>
      <c r="I152" s="367">
        <f t="shared" si="69"/>
        <v>0</v>
      </c>
      <c r="J152" s="367">
        <f t="shared" si="69"/>
        <v>0</v>
      </c>
      <c r="K152" s="367">
        <f t="shared" si="69"/>
        <v>0</v>
      </c>
      <c r="L152" s="367">
        <f t="shared" si="69"/>
        <v>0</v>
      </c>
      <c r="M152" s="367">
        <f t="shared" si="69"/>
        <v>0</v>
      </c>
      <c r="N152" s="367">
        <f t="shared" si="69"/>
        <v>0</v>
      </c>
      <c r="O152" s="367">
        <f t="shared" si="69"/>
        <v>0</v>
      </c>
      <c r="P152" s="367">
        <f t="shared" si="69"/>
        <v>0</v>
      </c>
      <c r="Q152" s="367">
        <f t="shared" si="69"/>
        <v>0</v>
      </c>
      <c r="R152" s="367">
        <f t="shared" si="69"/>
        <v>0</v>
      </c>
      <c r="S152" s="367">
        <f t="shared" si="69"/>
        <v>0</v>
      </c>
      <c r="T152" s="367">
        <f t="shared" si="69"/>
        <v>0</v>
      </c>
      <c r="U152" s="367">
        <f t="shared" si="69"/>
        <v>0</v>
      </c>
      <c r="V152" s="367">
        <f t="shared" si="69"/>
        <v>0</v>
      </c>
      <c r="W152" s="367">
        <f t="shared" si="69"/>
        <v>0</v>
      </c>
      <c r="X152" s="367">
        <f t="shared" si="69"/>
        <v>0</v>
      </c>
      <c r="Y152" s="367">
        <f t="shared" si="69"/>
        <v>0</v>
      </c>
      <c r="Z152" s="367">
        <f t="shared" si="69"/>
        <v>0</v>
      </c>
      <c r="AA152" s="367">
        <f t="shared" si="69"/>
        <v>0</v>
      </c>
      <c r="AB152" s="367">
        <f t="shared" si="69"/>
        <v>0</v>
      </c>
      <c r="AC152" s="367">
        <f t="shared" si="69"/>
        <v>0</v>
      </c>
      <c r="AD152" s="367">
        <f t="shared" si="69"/>
        <v>0</v>
      </c>
      <c r="AE152" s="367">
        <f t="shared" si="69"/>
        <v>0</v>
      </c>
      <c r="AF152" s="367">
        <f t="shared" si="69"/>
        <v>0</v>
      </c>
      <c r="AG152" s="367">
        <f t="shared" si="69"/>
        <v>0</v>
      </c>
      <c r="AH152" s="367">
        <f t="shared" si="69"/>
        <v>0</v>
      </c>
      <c r="AI152" s="367">
        <f t="shared" si="69"/>
        <v>0</v>
      </c>
      <c r="AJ152" s="367">
        <f t="shared" si="69"/>
        <v>0</v>
      </c>
      <c r="AK152" s="367">
        <f t="shared" si="69"/>
        <v>0</v>
      </c>
      <c r="AL152" s="367">
        <f t="shared" si="69"/>
        <v>0</v>
      </c>
      <c r="AM152" s="367">
        <f t="shared" si="69"/>
        <v>0</v>
      </c>
      <c r="AN152" s="367">
        <f t="shared" si="69"/>
        <v>0</v>
      </c>
      <c r="AO152" s="367">
        <f t="shared" si="69"/>
        <v>0</v>
      </c>
      <c r="AP152" s="367">
        <f t="shared" si="69"/>
        <v>0</v>
      </c>
      <c r="AQ152" s="367">
        <f t="shared" si="69"/>
        <v>0</v>
      </c>
      <c r="AR152" s="367">
        <f t="shared" si="69"/>
        <v>0</v>
      </c>
      <c r="AS152" s="367">
        <f t="shared" si="69"/>
        <v>0</v>
      </c>
      <c r="AT152" s="367">
        <f t="shared" si="69"/>
        <v>0</v>
      </c>
      <c r="AU152" s="367">
        <f t="shared" si="69"/>
        <v>0</v>
      </c>
      <c r="AV152" s="367">
        <f t="shared" si="69"/>
        <v>0</v>
      </c>
      <c r="AW152" s="367">
        <f t="shared" si="69"/>
        <v>0</v>
      </c>
      <c r="AX152" s="367">
        <f t="shared" si="69"/>
        <v>0</v>
      </c>
      <c r="AY152" s="367">
        <f t="shared" si="69"/>
        <v>0</v>
      </c>
      <c r="AZ152" s="367">
        <f t="shared" si="69"/>
        <v>0</v>
      </c>
      <c r="BA152" s="367">
        <f t="shared" si="69"/>
        <v>0</v>
      </c>
      <c r="BB152" s="367">
        <f t="shared" si="69"/>
        <v>0</v>
      </c>
      <c r="BC152" s="367">
        <f t="shared" si="69"/>
        <v>0</v>
      </c>
      <c r="BD152" s="367">
        <f t="shared" si="69"/>
        <v>0</v>
      </c>
      <c r="BE152" s="367">
        <f t="shared" si="69"/>
        <v>0</v>
      </c>
    </row>
    <row r="153" spans="1:57" s="347" customFormat="1" hidden="1" outlineLevel="1">
      <c r="A153" s="347" t="s">
        <v>135</v>
      </c>
      <c r="B153" s="374">
        <f>C150</f>
        <v>3.2334319492458294</v>
      </c>
      <c r="C153" s="368">
        <f>C150-C151+C152</f>
        <v>4.5383803897360924</v>
      </c>
      <c r="D153" s="368">
        <f>D150-D151+D152</f>
        <v>18.83049217047445</v>
      </c>
      <c r="E153" s="368">
        <f>E150-E151+E152</f>
        <v>35.43826880214489</v>
      </c>
      <c r="F153" s="368">
        <f>F150-F151+F152</f>
        <v>44.096981294334654</v>
      </c>
      <c r="G153" s="368">
        <f>G150-G151+G152</f>
        <v>48.466709800177625</v>
      </c>
      <c r="H153" s="368">
        <f t="shared" ref="H153:BE153" si="70">H150-H151+H152</f>
        <v>59.470301460992957</v>
      </c>
      <c r="I153" s="368">
        <f t="shared" si="70"/>
        <v>53.523271314893663</v>
      </c>
      <c r="J153" s="368">
        <f t="shared" si="70"/>
        <v>48.170944183404295</v>
      </c>
      <c r="K153" s="368">
        <f t="shared" si="70"/>
        <v>43.353849765063863</v>
      </c>
      <c r="L153" s="368">
        <f t="shared" si="70"/>
        <v>39.01846478855748</v>
      </c>
      <c r="M153" s="368">
        <f t="shared" si="70"/>
        <v>35.116618309701735</v>
      </c>
      <c r="N153" s="368">
        <f t="shared" si="70"/>
        <v>31.604956478731562</v>
      </c>
      <c r="O153" s="368">
        <f t="shared" si="70"/>
        <v>28.444460830858407</v>
      </c>
      <c r="P153" s="368">
        <f t="shared" si="70"/>
        <v>25.600014747772565</v>
      </c>
      <c r="Q153" s="368">
        <f t="shared" si="70"/>
        <v>23.04001327299531</v>
      </c>
      <c r="R153" s="368">
        <f t="shared" si="70"/>
        <v>20.736011945695779</v>
      </c>
      <c r="S153" s="368">
        <f t="shared" si="70"/>
        <v>18.662410751126203</v>
      </c>
      <c r="T153" s="368">
        <f t="shared" si="70"/>
        <v>16.796169676013584</v>
      </c>
      <c r="U153" s="368">
        <f t="shared" si="70"/>
        <v>15.116552708412225</v>
      </c>
      <c r="V153" s="368">
        <f t="shared" si="70"/>
        <v>13.604897437571003</v>
      </c>
      <c r="W153" s="368">
        <f t="shared" si="70"/>
        <v>12.244407693813903</v>
      </c>
      <c r="X153" s="368">
        <f t="shared" si="70"/>
        <v>11.019966924432513</v>
      </c>
      <c r="Y153" s="368">
        <f t="shared" si="70"/>
        <v>9.917970231989262</v>
      </c>
      <c r="Z153" s="368">
        <f t="shared" si="70"/>
        <v>8.9261732087903365</v>
      </c>
      <c r="AA153" s="368">
        <f t="shared" si="70"/>
        <v>8.0335558879113034</v>
      </c>
      <c r="AB153" s="368">
        <f t="shared" si="70"/>
        <v>7.230200299120173</v>
      </c>
      <c r="AC153" s="368">
        <f t="shared" si="70"/>
        <v>6.5071802692081562</v>
      </c>
      <c r="AD153" s="368">
        <f t="shared" si="70"/>
        <v>5.8564622422873409</v>
      </c>
      <c r="AE153" s="368">
        <f t="shared" si="70"/>
        <v>5.270816018058607</v>
      </c>
      <c r="AF153" s="368">
        <f t="shared" si="70"/>
        <v>4.7437344162527459</v>
      </c>
      <c r="AG153" s="368">
        <f t="shared" si="70"/>
        <v>4.269360974627471</v>
      </c>
      <c r="AH153" s="368">
        <f t="shared" si="70"/>
        <v>3.8424248771647238</v>
      </c>
      <c r="AI153" s="368">
        <f t="shared" si="70"/>
        <v>3.4581823894482513</v>
      </c>
      <c r="AJ153" s="368">
        <f t="shared" si="70"/>
        <v>3.1123641505034261</v>
      </c>
      <c r="AK153" s="368">
        <f t="shared" si="70"/>
        <v>2.8011277354530835</v>
      </c>
      <c r="AL153" s="368">
        <f t="shared" si="70"/>
        <v>2.5210149619077753</v>
      </c>
      <c r="AM153" s="368">
        <f t="shared" si="70"/>
        <v>2.2689134657169978</v>
      </c>
      <c r="AN153" s="368">
        <f t="shared" si="70"/>
        <v>2.0420221191452979</v>
      </c>
      <c r="AO153" s="368">
        <f t="shared" si="70"/>
        <v>1.8378199072307679</v>
      </c>
      <c r="AP153" s="368">
        <f t="shared" si="70"/>
        <v>1.6540379165076911</v>
      </c>
      <c r="AQ153" s="368">
        <f t="shared" si="70"/>
        <v>1.4886341248569219</v>
      </c>
      <c r="AR153" s="368">
        <f t="shared" si="70"/>
        <v>1.3397707123712297</v>
      </c>
      <c r="AS153" s="368">
        <f t="shared" si="70"/>
        <v>1.2057936411341068</v>
      </c>
      <c r="AT153" s="368">
        <f t="shared" si="70"/>
        <v>1.0852142770206961</v>
      </c>
      <c r="AU153" s="368">
        <f t="shared" si="70"/>
        <v>0.97669284931862643</v>
      </c>
      <c r="AV153" s="368">
        <f t="shared" si="70"/>
        <v>0.87902356438676377</v>
      </c>
      <c r="AW153" s="368">
        <f t="shared" si="70"/>
        <v>0.79112120794808738</v>
      </c>
      <c r="AX153" s="368">
        <f t="shared" si="70"/>
        <v>0.7120090871532786</v>
      </c>
      <c r="AY153" s="368">
        <f t="shared" si="70"/>
        <v>0.64080817843795068</v>
      </c>
      <c r="AZ153" s="368">
        <f t="shared" si="70"/>
        <v>0.57672736059415564</v>
      </c>
      <c r="BA153" s="368">
        <f t="shared" si="70"/>
        <v>0.51905462453474005</v>
      </c>
      <c r="BB153" s="368">
        <f t="shared" si="70"/>
        <v>0.46714916208126606</v>
      </c>
      <c r="BC153" s="368">
        <f t="shared" si="70"/>
        <v>0.42043424587313943</v>
      </c>
      <c r="BD153" s="368">
        <f t="shared" si="70"/>
        <v>0.37839082128582546</v>
      </c>
      <c r="BE153" s="368">
        <f t="shared" si="70"/>
        <v>0.34055173915724291</v>
      </c>
    </row>
    <row r="154" spans="1:57" s="347" customFormat="1" hidden="1" outlineLevel="1">
      <c r="A154" s="365" t="s">
        <v>142</v>
      </c>
      <c r="B154" s="373"/>
      <c r="C154" s="373"/>
      <c r="D154" s="373"/>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c r="AB154" s="373"/>
      <c r="AC154" s="373"/>
      <c r="AD154" s="373"/>
      <c r="AE154" s="373"/>
      <c r="AF154" s="373"/>
      <c r="AG154" s="373"/>
      <c r="AH154" s="373"/>
      <c r="AI154" s="373"/>
      <c r="AJ154" s="373"/>
      <c r="AK154" s="373"/>
      <c r="AL154" s="373"/>
      <c r="AM154" s="373"/>
      <c r="AN154" s="373"/>
      <c r="AO154" s="373"/>
      <c r="AP154" s="373"/>
      <c r="AQ154" s="373"/>
      <c r="AR154" s="373"/>
      <c r="AS154" s="373"/>
      <c r="AT154" s="373"/>
      <c r="AU154" s="373"/>
      <c r="AV154" s="373"/>
      <c r="AW154" s="373"/>
      <c r="AX154" s="373"/>
      <c r="AY154" s="373"/>
      <c r="AZ154" s="373"/>
      <c r="BA154" s="373"/>
      <c r="BB154" s="373"/>
      <c r="BC154" s="373"/>
      <c r="BD154" s="373"/>
      <c r="BE154" s="373"/>
    </row>
    <row r="155" spans="1:57" s="347" customFormat="1" hidden="1" outlineLevel="1">
      <c r="A155" s="347" t="s">
        <v>133</v>
      </c>
      <c r="C155" s="372">
        <f>B$113</f>
        <v>76.601952368142577</v>
      </c>
      <c r="D155" s="367">
        <f>C158</f>
        <v>98.890695586957833</v>
      </c>
      <c r="E155" s="367">
        <f>D158</f>
        <v>108.44059053925645</v>
      </c>
      <c r="F155" s="367">
        <f>E158</f>
        <v>124.40931111248813</v>
      </c>
      <c r="G155" s="367">
        <f>F158</f>
        <v>155.22064758574606</v>
      </c>
      <c r="H155" s="367">
        <f t="shared" ref="H155:BE155" si="71">G158</f>
        <v>184.77422931165711</v>
      </c>
      <c r="I155" s="367">
        <f t="shared" si="71"/>
        <v>207.1185189950823</v>
      </c>
      <c r="J155" s="367">
        <f t="shared" si="71"/>
        <v>198.833778235279</v>
      </c>
      <c r="K155" s="367">
        <f t="shared" si="71"/>
        <v>190.88042710586785</v>
      </c>
      <c r="L155" s="367">
        <f t="shared" si="71"/>
        <v>183.24521002163314</v>
      </c>
      <c r="M155" s="367">
        <f t="shared" si="71"/>
        <v>175.91540162076782</v>
      </c>
      <c r="N155" s="367">
        <f t="shared" si="71"/>
        <v>168.8787855559371</v>
      </c>
      <c r="O155" s="367">
        <f t="shared" si="71"/>
        <v>162.12363413369962</v>
      </c>
      <c r="P155" s="367">
        <f t="shared" si="71"/>
        <v>155.63868876835164</v>
      </c>
      <c r="Q155" s="367">
        <f t="shared" si="71"/>
        <v>149.41314121761758</v>
      </c>
      <c r="R155" s="367">
        <f t="shared" si="71"/>
        <v>143.43661556891288</v>
      </c>
      <c r="S155" s="367">
        <f t="shared" si="71"/>
        <v>137.69915094615638</v>
      </c>
      <c r="T155" s="367">
        <f t="shared" si="71"/>
        <v>132.19118490831013</v>
      </c>
      <c r="U155" s="367">
        <f t="shared" si="71"/>
        <v>126.90353751197773</v>
      </c>
      <c r="V155" s="367">
        <f t="shared" si="71"/>
        <v>121.82739601149862</v>
      </c>
      <c r="W155" s="367">
        <f t="shared" si="71"/>
        <v>116.95430017103868</v>
      </c>
      <c r="X155" s="367">
        <f t="shared" si="71"/>
        <v>112.27612816419713</v>
      </c>
      <c r="Y155" s="367">
        <f t="shared" si="71"/>
        <v>107.78508303762925</v>
      </c>
      <c r="Z155" s="367">
        <f t="shared" si="71"/>
        <v>103.47367971612408</v>
      </c>
      <c r="AA155" s="367">
        <f t="shared" si="71"/>
        <v>99.334732527479119</v>
      </c>
      <c r="AB155" s="367">
        <f t="shared" si="71"/>
        <v>95.361343226379958</v>
      </c>
      <c r="AC155" s="367">
        <f t="shared" si="71"/>
        <v>91.546889497324756</v>
      </c>
      <c r="AD155" s="367">
        <f t="shared" si="71"/>
        <v>87.885013917431763</v>
      </c>
      <c r="AE155" s="367">
        <f t="shared" si="71"/>
        <v>84.36961336073449</v>
      </c>
      <c r="AF155" s="367">
        <f t="shared" si="71"/>
        <v>80.99482882630511</v>
      </c>
      <c r="AG155" s="367">
        <f t="shared" si="71"/>
        <v>77.755035673252905</v>
      </c>
      <c r="AH155" s="367">
        <f t="shared" si="71"/>
        <v>74.644834246322787</v>
      </c>
      <c r="AI155" s="367">
        <f t="shared" si="71"/>
        <v>71.659040876469874</v>
      </c>
      <c r="AJ155" s="367">
        <f t="shared" si="71"/>
        <v>68.792679241411079</v>
      </c>
      <c r="AK155" s="367">
        <f t="shared" si="71"/>
        <v>66.040972071754638</v>
      </c>
      <c r="AL155" s="367">
        <f t="shared" si="71"/>
        <v>63.399333188884455</v>
      </c>
      <c r="AM155" s="367">
        <f t="shared" si="71"/>
        <v>60.86335986132908</v>
      </c>
      <c r="AN155" s="367">
        <f t="shared" si="71"/>
        <v>58.428825466875914</v>
      </c>
      <c r="AO155" s="367">
        <f t="shared" si="71"/>
        <v>56.091672448200875</v>
      </c>
      <c r="AP155" s="367">
        <f t="shared" si="71"/>
        <v>53.848005550272838</v>
      </c>
      <c r="AQ155" s="367">
        <f t="shared" si="71"/>
        <v>51.694085328261927</v>
      </c>
      <c r="AR155" s="367">
        <f t="shared" si="71"/>
        <v>49.626321915131449</v>
      </c>
      <c r="AS155" s="367">
        <f t="shared" si="71"/>
        <v>47.64126903852619</v>
      </c>
      <c r="AT155" s="367">
        <f t="shared" si="71"/>
        <v>45.735618276985143</v>
      </c>
      <c r="AU155" s="367">
        <f t="shared" si="71"/>
        <v>43.906193545905737</v>
      </c>
      <c r="AV155" s="367">
        <f t="shared" si="71"/>
        <v>42.14994580406951</v>
      </c>
      <c r="AW155" s="367">
        <f t="shared" si="71"/>
        <v>40.463947971906727</v>
      </c>
      <c r="AX155" s="367">
        <f t="shared" si="71"/>
        <v>38.845390053030457</v>
      </c>
      <c r="AY155" s="367">
        <f t="shared" si="71"/>
        <v>37.291574450909238</v>
      </c>
      <c r="AZ155" s="367">
        <f t="shared" si="71"/>
        <v>35.799911472872871</v>
      </c>
      <c r="BA155" s="367">
        <f t="shared" si="71"/>
        <v>34.367915013957955</v>
      </c>
      <c r="BB155" s="367">
        <f t="shared" si="71"/>
        <v>32.993198413399639</v>
      </c>
      <c r="BC155" s="367">
        <f t="shared" si="71"/>
        <v>31.673470476863653</v>
      </c>
      <c r="BD155" s="367">
        <f t="shared" si="71"/>
        <v>30.406531657789106</v>
      </c>
      <c r="BE155" s="367">
        <f t="shared" si="71"/>
        <v>29.19027039147754</v>
      </c>
    </row>
    <row r="156" spans="1:57" s="347" customFormat="1" hidden="1" outlineLevel="1">
      <c r="A156" s="347" t="s">
        <v>134</v>
      </c>
      <c r="C156" s="367">
        <f>IF($C$113=1,C157,$C$113*(C155+C157*0.5))</f>
        <v>3.58148261132858</v>
      </c>
      <c r="D156" s="367">
        <f t="shared" ref="D156:BE156" si="72">IF($C$113=1,D157,$C$113*(D155+D157*0.5))</f>
        <v>4.2312507372696793</v>
      </c>
      <c r="E156" s="367">
        <f t="shared" si="72"/>
        <v>4.7520388092192771</v>
      </c>
      <c r="F156" s="367">
        <f t="shared" si="72"/>
        <v>5.7067338509843708</v>
      </c>
      <c r="G156" s="367">
        <f t="shared" si="72"/>
        <v>6.9386709570898608</v>
      </c>
      <c r="H156" s="367">
        <f t="shared" si="72"/>
        <v>7.997811189933457</v>
      </c>
      <c r="I156" s="367">
        <f t="shared" si="72"/>
        <v>8.2847407598032916</v>
      </c>
      <c r="J156" s="367">
        <f t="shared" si="72"/>
        <v>7.9533511294111605</v>
      </c>
      <c r="K156" s="367">
        <f t="shared" si="72"/>
        <v>7.6352170842347142</v>
      </c>
      <c r="L156" s="367">
        <f t="shared" si="72"/>
        <v>7.3298084008653257</v>
      </c>
      <c r="M156" s="367">
        <f t="shared" si="72"/>
        <v>7.0366160648307128</v>
      </c>
      <c r="N156" s="367">
        <f t="shared" si="72"/>
        <v>6.7551514222374838</v>
      </c>
      <c r="O156" s="367">
        <f t="shared" si="72"/>
        <v>6.4849453653479854</v>
      </c>
      <c r="P156" s="367">
        <f t="shared" si="72"/>
        <v>6.2255475507340661</v>
      </c>
      <c r="Q156" s="367">
        <f t="shared" si="72"/>
        <v>5.9765256487047029</v>
      </c>
      <c r="R156" s="367">
        <f t="shared" si="72"/>
        <v>5.7374646227565158</v>
      </c>
      <c r="S156" s="367">
        <f t="shared" si="72"/>
        <v>5.5079660378462556</v>
      </c>
      <c r="T156" s="367">
        <f t="shared" si="72"/>
        <v>5.2876473963324058</v>
      </c>
      <c r="U156" s="367">
        <f t="shared" si="72"/>
        <v>5.0761415004791095</v>
      </c>
      <c r="V156" s="367">
        <f t="shared" si="72"/>
        <v>4.8730958404599454</v>
      </c>
      <c r="W156" s="367">
        <f t="shared" si="72"/>
        <v>4.6781720068415478</v>
      </c>
      <c r="X156" s="367">
        <f t="shared" si="72"/>
        <v>4.4910451265678857</v>
      </c>
      <c r="Y156" s="367">
        <f t="shared" si="72"/>
        <v>4.3114033215051704</v>
      </c>
      <c r="Z156" s="367">
        <f t="shared" si="72"/>
        <v>4.1389471886449636</v>
      </c>
      <c r="AA156" s="367">
        <f t="shared" si="72"/>
        <v>3.9733893010991648</v>
      </c>
      <c r="AB156" s="367">
        <f t="shared" si="72"/>
        <v>3.8144537290551983</v>
      </c>
      <c r="AC156" s="367">
        <f t="shared" si="72"/>
        <v>3.6618755798929903</v>
      </c>
      <c r="AD156" s="367">
        <f t="shared" si="72"/>
        <v>3.5154005566972706</v>
      </c>
      <c r="AE156" s="367">
        <f t="shared" si="72"/>
        <v>3.3747845344293799</v>
      </c>
      <c r="AF156" s="367">
        <f t="shared" si="72"/>
        <v>3.2397931530522044</v>
      </c>
      <c r="AG156" s="367">
        <f t="shared" si="72"/>
        <v>3.1102014269301161</v>
      </c>
      <c r="AH156" s="367">
        <f t="shared" si="72"/>
        <v>2.9857933698529115</v>
      </c>
      <c r="AI156" s="367">
        <f t="shared" si="72"/>
        <v>2.8663616350587948</v>
      </c>
      <c r="AJ156" s="367">
        <f t="shared" si="72"/>
        <v>2.7517071696564432</v>
      </c>
      <c r="AK156" s="367">
        <f t="shared" si="72"/>
        <v>2.6416388828701858</v>
      </c>
      <c r="AL156" s="367">
        <f t="shared" si="72"/>
        <v>2.5359733275553782</v>
      </c>
      <c r="AM156" s="367">
        <f t="shared" si="72"/>
        <v>2.4345343944531632</v>
      </c>
      <c r="AN156" s="367">
        <f t="shared" si="72"/>
        <v>2.3371530186750364</v>
      </c>
      <c r="AO156" s="367">
        <f t="shared" si="72"/>
        <v>2.2436668979280352</v>
      </c>
      <c r="AP156" s="367">
        <f t="shared" si="72"/>
        <v>2.1539202220109135</v>
      </c>
      <c r="AQ156" s="367">
        <f t="shared" si="72"/>
        <v>2.0677634131304772</v>
      </c>
      <c r="AR156" s="367">
        <f t="shared" si="72"/>
        <v>1.985052876605258</v>
      </c>
      <c r="AS156" s="367">
        <f t="shared" si="72"/>
        <v>1.9056507615410476</v>
      </c>
      <c r="AT156" s="367">
        <f t="shared" si="72"/>
        <v>1.8294247310794058</v>
      </c>
      <c r="AU156" s="367">
        <f t="shared" si="72"/>
        <v>1.7562477418362294</v>
      </c>
      <c r="AV156" s="367">
        <f t="shared" si="72"/>
        <v>1.6859978321627804</v>
      </c>
      <c r="AW156" s="367">
        <f t="shared" si="72"/>
        <v>1.6185579188762691</v>
      </c>
      <c r="AX156" s="367">
        <f t="shared" si="72"/>
        <v>1.5538156021212184</v>
      </c>
      <c r="AY156" s="367">
        <f t="shared" si="72"/>
        <v>1.4916629780363695</v>
      </c>
      <c r="AZ156" s="367">
        <f t="shared" si="72"/>
        <v>1.4319964589149148</v>
      </c>
      <c r="BA156" s="367">
        <f t="shared" si="72"/>
        <v>1.3747166005583182</v>
      </c>
      <c r="BB156" s="367">
        <f t="shared" si="72"/>
        <v>1.3197279365359855</v>
      </c>
      <c r="BC156" s="367">
        <f t="shared" si="72"/>
        <v>1.2669388190745461</v>
      </c>
      <c r="BD156" s="367">
        <f t="shared" si="72"/>
        <v>1.2162612663115642</v>
      </c>
      <c r="BE156" s="367">
        <f t="shared" si="72"/>
        <v>1.1676108156591016</v>
      </c>
    </row>
    <row r="157" spans="1:57" s="347" customFormat="1" hidden="1" outlineLevel="1">
      <c r="A157" s="347" t="s">
        <v>151</v>
      </c>
      <c r="C157" s="367">
        <f>C$131</f>
        <v>25.870225830143845</v>
      </c>
      <c r="D157" s="367">
        <f t="shared" ref="D157:BE157" si="73">D$131</f>
        <v>13.781145689568289</v>
      </c>
      <c r="E157" s="367">
        <f t="shared" si="73"/>
        <v>20.72075938245095</v>
      </c>
      <c r="F157" s="367">
        <f t="shared" si="73"/>
        <v>36.518070324242288</v>
      </c>
      <c r="G157" s="367">
        <f t="shared" si="73"/>
        <v>36.492252683000928</v>
      </c>
      <c r="H157" s="367">
        <f t="shared" si="73"/>
        <v>30.342100873358639</v>
      </c>
      <c r="I157" s="367">
        <f t="shared" si="73"/>
        <v>0</v>
      </c>
      <c r="J157" s="367">
        <f t="shared" si="73"/>
        <v>0</v>
      </c>
      <c r="K157" s="367">
        <f t="shared" si="73"/>
        <v>0</v>
      </c>
      <c r="L157" s="367">
        <f t="shared" si="73"/>
        <v>0</v>
      </c>
      <c r="M157" s="367">
        <f t="shared" si="73"/>
        <v>0</v>
      </c>
      <c r="N157" s="367">
        <f t="shared" si="73"/>
        <v>0</v>
      </c>
      <c r="O157" s="367">
        <f t="shared" si="73"/>
        <v>0</v>
      </c>
      <c r="P157" s="367">
        <f t="shared" si="73"/>
        <v>0</v>
      </c>
      <c r="Q157" s="367">
        <f t="shared" si="73"/>
        <v>0</v>
      </c>
      <c r="R157" s="367">
        <f t="shared" si="73"/>
        <v>0</v>
      </c>
      <c r="S157" s="367">
        <f t="shared" si="73"/>
        <v>0</v>
      </c>
      <c r="T157" s="367">
        <f t="shared" si="73"/>
        <v>0</v>
      </c>
      <c r="U157" s="367">
        <f t="shared" si="73"/>
        <v>0</v>
      </c>
      <c r="V157" s="367">
        <f t="shared" si="73"/>
        <v>0</v>
      </c>
      <c r="W157" s="367">
        <f t="shared" si="73"/>
        <v>0</v>
      </c>
      <c r="X157" s="367">
        <f t="shared" si="73"/>
        <v>0</v>
      </c>
      <c r="Y157" s="367">
        <f t="shared" si="73"/>
        <v>0</v>
      </c>
      <c r="Z157" s="367">
        <f t="shared" si="73"/>
        <v>0</v>
      </c>
      <c r="AA157" s="367">
        <f t="shared" si="73"/>
        <v>0</v>
      </c>
      <c r="AB157" s="367">
        <f t="shared" si="73"/>
        <v>0</v>
      </c>
      <c r="AC157" s="367">
        <f t="shared" si="73"/>
        <v>0</v>
      </c>
      <c r="AD157" s="367">
        <f t="shared" si="73"/>
        <v>0</v>
      </c>
      <c r="AE157" s="367">
        <f t="shared" si="73"/>
        <v>0</v>
      </c>
      <c r="AF157" s="367">
        <f t="shared" si="73"/>
        <v>0</v>
      </c>
      <c r="AG157" s="367">
        <f t="shared" si="73"/>
        <v>0</v>
      </c>
      <c r="AH157" s="367">
        <f t="shared" si="73"/>
        <v>0</v>
      </c>
      <c r="AI157" s="367">
        <f t="shared" si="73"/>
        <v>0</v>
      </c>
      <c r="AJ157" s="367">
        <f t="shared" si="73"/>
        <v>0</v>
      </c>
      <c r="AK157" s="367">
        <f t="shared" si="73"/>
        <v>0</v>
      </c>
      <c r="AL157" s="367">
        <f t="shared" si="73"/>
        <v>0</v>
      </c>
      <c r="AM157" s="367">
        <f t="shared" si="73"/>
        <v>0</v>
      </c>
      <c r="AN157" s="367">
        <f t="shared" si="73"/>
        <v>0</v>
      </c>
      <c r="AO157" s="367">
        <f t="shared" si="73"/>
        <v>0</v>
      </c>
      <c r="AP157" s="367">
        <f t="shared" si="73"/>
        <v>0</v>
      </c>
      <c r="AQ157" s="367">
        <f t="shared" si="73"/>
        <v>0</v>
      </c>
      <c r="AR157" s="367">
        <f t="shared" si="73"/>
        <v>0</v>
      </c>
      <c r="AS157" s="367">
        <f t="shared" si="73"/>
        <v>0</v>
      </c>
      <c r="AT157" s="367">
        <f t="shared" si="73"/>
        <v>0</v>
      </c>
      <c r="AU157" s="367">
        <f t="shared" si="73"/>
        <v>0</v>
      </c>
      <c r="AV157" s="367">
        <f t="shared" si="73"/>
        <v>0</v>
      </c>
      <c r="AW157" s="367">
        <f t="shared" si="73"/>
        <v>0</v>
      </c>
      <c r="AX157" s="367">
        <f t="shared" si="73"/>
        <v>0</v>
      </c>
      <c r="AY157" s="367">
        <f t="shared" si="73"/>
        <v>0</v>
      </c>
      <c r="AZ157" s="367">
        <f t="shared" si="73"/>
        <v>0</v>
      </c>
      <c r="BA157" s="367">
        <f t="shared" si="73"/>
        <v>0</v>
      </c>
      <c r="BB157" s="367">
        <f t="shared" si="73"/>
        <v>0</v>
      </c>
      <c r="BC157" s="367">
        <f t="shared" si="73"/>
        <v>0</v>
      </c>
      <c r="BD157" s="367">
        <f t="shared" si="73"/>
        <v>0</v>
      </c>
      <c r="BE157" s="367">
        <f t="shared" si="73"/>
        <v>0</v>
      </c>
    </row>
    <row r="158" spans="1:57" s="347" customFormat="1" hidden="1" outlineLevel="1">
      <c r="A158" s="347" t="s">
        <v>135</v>
      </c>
      <c r="B158" s="374">
        <f>C155</f>
        <v>76.601952368142577</v>
      </c>
      <c r="C158" s="368">
        <f>C155-C156+C157</f>
        <v>98.890695586957833</v>
      </c>
      <c r="D158" s="368">
        <f>D155-D156+D157</f>
        <v>108.44059053925645</v>
      </c>
      <c r="E158" s="368">
        <f>E155-E156+E157</f>
        <v>124.40931111248813</v>
      </c>
      <c r="F158" s="368">
        <f>F155-F156+F157</f>
        <v>155.22064758574606</v>
      </c>
      <c r="G158" s="368">
        <f>G155-G156+G157</f>
        <v>184.77422931165711</v>
      </c>
      <c r="H158" s="368">
        <f t="shared" ref="H158:BE158" si="74">H155-H156+H157</f>
        <v>207.1185189950823</v>
      </c>
      <c r="I158" s="368">
        <f t="shared" si="74"/>
        <v>198.833778235279</v>
      </c>
      <c r="J158" s="368">
        <f t="shared" si="74"/>
        <v>190.88042710586785</v>
      </c>
      <c r="K158" s="368">
        <f t="shared" si="74"/>
        <v>183.24521002163314</v>
      </c>
      <c r="L158" s="368">
        <f t="shared" si="74"/>
        <v>175.91540162076782</v>
      </c>
      <c r="M158" s="368">
        <f t="shared" si="74"/>
        <v>168.8787855559371</v>
      </c>
      <c r="N158" s="368">
        <f t="shared" si="74"/>
        <v>162.12363413369962</v>
      </c>
      <c r="O158" s="368">
        <f t="shared" si="74"/>
        <v>155.63868876835164</v>
      </c>
      <c r="P158" s="368">
        <f t="shared" si="74"/>
        <v>149.41314121761758</v>
      </c>
      <c r="Q158" s="368">
        <f t="shared" si="74"/>
        <v>143.43661556891288</v>
      </c>
      <c r="R158" s="368">
        <f t="shared" si="74"/>
        <v>137.69915094615638</v>
      </c>
      <c r="S158" s="368">
        <f t="shared" si="74"/>
        <v>132.19118490831013</v>
      </c>
      <c r="T158" s="368">
        <f t="shared" si="74"/>
        <v>126.90353751197773</v>
      </c>
      <c r="U158" s="368">
        <f t="shared" si="74"/>
        <v>121.82739601149862</v>
      </c>
      <c r="V158" s="368">
        <f t="shared" si="74"/>
        <v>116.95430017103868</v>
      </c>
      <c r="W158" s="368">
        <f t="shared" si="74"/>
        <v>112.27612816419713</v>
      </c>
      <c r="X158" s="368">
        <f t="shared" si="74"/>
        <v>107.78508303762925</v>
      </c>
      <c r="Y158" s="368">
        <f t="shared" si="74"/>
        <v>103.47367971612408</v>
      </c>
      <c r="Z158" s="368">
        <f t="shared" si="74"/>
        <v>99.334732527479119</v>
      </c>
      <c r="AA158" s="368">
        <f t="shared" si="74"/>
        <v>95.361343226379958</v>
      </c>
      <c r="AB158" s="368">
        <f t="shared" si="74"/>
        <v>91.546889497324756</v>
      </c>
      <c r="AC158" s="368">
        <f t="shared" si="74"/>
        <v>87.885013917431763</v>
      </c>
      <c r="AD158" s="368">
        <f t="shared" si="74"/>
        <v>84.36961336073449</v>
      </c>
      <c r="AE158" s="368">
        <f t="shared" si="74"/>
        <v>80.99482882630511</v>
      </c>
      <c r="AF158" s="368">
        <f t="shared" si="74"/>
        <v>77.755035673252905</v>
      </c>
      <c r="AG158" s="368">
        <f t="shared" si="74"/>
        <v>74.644834246322787</v>
      </c>
      <c r="AH158" s="368">
        <f t="shared" si="74"/>
        <v>71.659040876469874</v>
      </c>
      <c r="AI158" s="368">
        <f t="shared" si="74"/>
        <v>68.792679241411079</v>
      </c>
      <c r="AJ158" s="368">
        <f t="shared" si="74"/>
        <v>66.040972071754638</v>
      </c>
      <c r="AK158" s="368">
        <f t="shared" si="74"/>
        <v>63.399333188884455</v>
      </c>
      <c r="AL158" s="368">
        <f t="shared" si="74"/>
        <v>60.86335986132908</v>
      </c>
      <c r="AM158" s="368">
        <f t="shared" si="74"/>
        <v>58.428825466875914</v>
      </c>
      <c r="AN158" s="368">
        <f t="shared" si="74"/>
        <v>56.091672448200875</v>
      </c>
      <c r="AO158" s="368">
        <f t="shared" si="74"/>
        <v>53.848005550272838</v>
      </c>
      <c r="AP158" s="368">
        <f t="shared" si="74"/>
        <v>51.694085328261927</v>
      </c>
      <c r="AQ158" s="368">
        <f t="shared" si="74"/>
        <v>49.626321915131449</v>
      </c>
      <c r="AR158" s="368">
        <f t="shared" si="74"/>
        <v>47.64126903852619</v>
      </c>
      <c r="AS158" s="368">
        <f t="shared" si="74"/>
        <v>45.735618276985143</v>
      </c>
      <c r="AT158" s="368">
        <f t="shared" si="74"/>
        <v>43.906193545905737</v>
      </c>
      <c r="AU158" s="368">
        <f t="shared" si="74"/>
        <v>42.14994580406951</v>
      </c>
      <c r="AV158" s="368">
        <f t="shared" si="74"/>
        <v>40.463947971906727</v>
      </c>
      <c r="AW158" s="368">
        <f t="shared" si="74"/>
        <v>38.845390053030457</v>
      </c>
      <c r="AX158" s="368">
        <f t="shared" si="74"/>
        <v>37.291574450909238</v>
      </c>
      <c r="AY158" s="368">
        <f t="shared" si="74"/>
        <v>35.799911472872871</v>
      </c>
      <c r="AZ158" s="368">
        <f t="shared" si="74"/>
        <v>34.367915013957955</v>
      </c>
      <c r="BA158" s="368">
        <f t="shared" si="74"/>
        <v>32.993198413399639</v>
      </c>
      <c r="BB158" s="368">
        <f t="shared" si="74"/>
        <v>31.673470476863653</v>
      </c>
      <c r="BC158" s="368">
        <f t="shared" si="74"/>
        <v>30.406531657789106</v>
      </c>
      <c r="BD158" s="368">
        <f t="shared" si="74"/>
        <v>29.19027039147754</v>
      </c>
      <c r="BE158" s="368">
        <f t="shared" si="74"/>
        <v>28.022659575818437</v>
      </c>
    </row>
    <row r="159" spans="1:57" s="347" customFormat="1" hidden="1" outlineLevel="1">
      <c r="A159" s="365" t="s">
        <v>143</v>
      </c>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3"/>
      <c r="AI159" s="373"/>
      <c r="AJ159" s="373"/>
      <c r="AK159" s="373"/>
      <c r="AL159" s="373"/>
      <c r="AM159" s="373"/>
      <c r="AN159" s="373"/>
      <c r="AO159" s="373"/>
      <c r="AP159" s="373"/>
      <c r="AQ159" s="373"/>
      <c r="AR159" s="373"/>
      <c r="AS159" s="373"/>
      <c r="AT159" s="373"/>
      <c r="AU159" s="373"/>
      <c r="AV159" s="373"/>
      <c r="AW159" s="373"/>
      <c r="AX159" s="373"/>
      <c r="AY159" s="373"/>
      <c r="AZ159" s="373"/>
      <c r="BA159" s="373"/>
      <c r="BB159" s="373"/>
      <c r="BC159" s="373"/>
      <c r="BD159" s="373"/>
      <c r="BE159" s="373"/>
    </row>
    <row r="160" spans="1:57" s="347" customFormat="1" hidden="1" outlineLevel="1">
      <c r="A160" s="347" t="s">
        <v>133</v>
      </c>
      <c r="C160" s="372">
        <f>B$114</f>
        <v>33.128812437129881</v>
      </c>
      <c r="D160" s="367">
        <f>C163</f>
        <v>47.738221355425459</v>
      </c>
      <c r="E160" s="367">
        <f>D163</f>
        <v>87.839760381604407</v>
      </c>
      <c r="F160" s="367">
        <f>E163</f>
        <v>161.42047405300684</v>
      </c>
      <c r="G160" s="367">
        <f>F163</f>
        <v>257.46411788299702</v>
      </c>
      <c r="H160" s="367">
        <f t="shared" ref="H160:BE160" si="75">G163</f>
        <v>371.66494479774724</v>
      </c>
      <c r="I160" s="367">
        <f t="shared" si="75"/>
        <v>500.6927184714138</v>
      </c>
      <c r="J160" s="367">
        <f t="shared" si="75"/>
        <v>450.62344662427245</v>
      </c>
      <c r="K160" s="367">
        <f t="shared" si="75"/>
        <v>405.56110196184522</v>
      </c>
      <c r="L160" s="367">
        <f t="shared" si="75"/>
        <v>365.00499176566069</v>
      </c>
      <c r="M160" s="367">
        <f t="shared" si="75"/>
        <v>328.50449258909464</v>
      </c>
      <c r="N160" s="367">
        <f t="shared" si="75"/>
        <v>295.65404333018517</v>
      </c>
      <c r="O160" s="367">
        <f t="shared" si="75"/>
        <v>266.08863899716664</v>
      </c>
      <c r="P160" s="367">
        <f t="shared" si="75"/>
        <v>239.47977509744999</v>
      </c>
      <c r="Q160" s="367">
        <f t="shared" si="75"/>
        <v>215.531797587705</v>
      </c>
      <c r="R160" s="367">
        <f t="shared" si="75"/>
        <v>193.97861782893449</v>
      </c>
      <c r="S160" s="367">
        <f t="shared" si="75"/>
        <v>174.58075604604105</v>
      </c>
      <c r="T160" s="367">
        <f t="shared" si="75"/>
        <v>157.12268044143696</v>
      </c>
      <c r="U160" s="367">
        <f t="shared" si="75"/>
        <v>141.41041239729327</v>
      </c>
      <c r="V160" s="367">
        <f t="shared" si="75"/>
        <v>127.26937115756394</v>
      </c>
      <c r="W160" s="367">
        <f t="shared" si="75"/>
        <v>114.54243404180754</v>
      </c>
      <c r="X160" s="367">
        <f t="shared" si="75"/>
        <v>103.08819063762678</v>
      </c>
      <c r="Y160" s="367">
        <f t="shared" si="75"/>
        <v>92.779371573864097</v>
      </c>
      <c r="Z160" s="367">
        <f t="shared" si="75"/>
        <v>83.501434416477693</v>
      </c>
      <c r="AA160" s="367">
        <f t="shared" si="75"/>
        <v>75.151290974829919</v>
      </c>
      <c r="AB160" s="367">
        <f t="shared" si="75"/>
        <v>67.636161877346922</v>
      </c>
      <c r="AC160" s="367">
        <f t="shared" si="75"/>
        <v>60.872545689612231</v>
      </c>
      <c r="AD160" s="367">
        <f t="shared" si="75"/>
        <v>54.78529112065101</v>
      </c>
      <c r="AE160" s="367">
        <f t="shared" si="75"/>
        <v>49.306762008585906</v>
      </c>
      <c r="AF160" s="367">
        <f t="shared" si="75"/>
        <v>44.376085807727314</v>
      </c>
      <c r="AG160" s="367">
        <f t="shared" si="75"/>
        <v>39.938477226954582</v>
      </c>
      <c r="AH160" s="367">
        <f t="shared" si="75"/>
        <v>35.944629504259126</v>
      </c>
      <c r="AI160" s="367">
        <f t="shared" si="75"/>
        <v>32.350166553833212</v>
      </c>
      <c r="AJ160" s="367">
        <f t="shared" si="75"/>
        <v>29.115149898449889</v>
      </c>
      <c r="AK160" s="367">
        <f t="shared" si="75"/>
        <v>26.203634908604901</v>
      </c>
      <c r="AL160" s="367">
        <f t="shared" si="75"/>
        <v>23.58327141774441</v>
      </c>
      <c r="AM160" s="367">
        <f t="shared" si="75"/>
        <v>21.224944275969968</v>
      </c>
      <c r="AN160" s="367">
        <f t="shared" si="75"/>
        <v>19.10244984837297</v>
      </c>
      <c r="AO160" s="367">
        <f t="shared" si="75"/>
        <v>17.192204863535672</v>
      </c>
      <c r="AP160" s="367">
        <f t="shared" si="75"/>
        <v>15.472984377182105</v>
      </c>
      <c r="AQ160" s="367">
        <f t="shared" si="75"/>
        <v>13.925685939463893</v>
      </c>
      <c r="AR160" s="367">
        <f t="shared" si="75"/>
        <v>12.533117345517503</v>
      </c>
      <c r="AS160" s="367">
        <f t="shared" si="75"/>
        <v>11.279805610965752</v>
      </c>
      <c r="AT160" s="367">
        <f t="shared" si="75"/>
        <v>10.151825049869178</v>
      </c>
      <c r="AU160" s="367">
        <f t="shared" si="75"/>
        <v>9.1366425448822604</v>
      </c>
      <c r="AV160" s="367">
        <f t="shared" si="75"/>
        <v>8.2229782903940336</v>
      </c>
      <c r="AW160" s="367">
        <f t="shared" si="75"/>
        <v>7.4006804613546304</v>
      </c>
      <c r="AX160" s="367">
        <f t="shared" si="75"/>
        <v>6.660612415219167</v>
      </c>
      <c r="AY160" s="367">
        <f t="shared" si="75"/>
        <v>5.9945511736972499</v>
      </c>
      <c r="AZ160" s="367">
        <f t="shared" si="75"/>
        <v>5.3950960563275245</v>
      </c>
      <c r="BA160" s="367">
        <f t="shared" si="75"/>
        <v>4.8555864506947719</v>
      </c>
      <c r="BB160" s="367">
        <f t="shared" si="75"/>
        <v>4.3700278056252948</v>
      </c>
      <c r="BC160" s="367">
        <f t="shared" si="75"/>
        <v>3.9330250250627654</v>
      </c>
      <c r="BD160" s="367">
        <f t="shared" si="75"/>
        <v>3.539722522556489</v>
      </c>
      <c r="BE160" s="367">
        <f t="shared" si="75"/>
        <v>3.18575027030084</v>
      </c>
    </row>
    <row r="161" spans="1:57" s="347" customFormat="1" hidden="1" outlineLevel="1">
      <c r="A161" s="347" t="s">
        <v>134</v>
      </c>
      <c r="C161" s="367">
        <f>IF($C$114=1,C162,$C$114*(C160+C162*0.5))</f>
        <v>4.2561596732923865</v>
      </c>
      <c r="D161" s="367">
        <f t="shared" ref="D161:BE161" si="76">IF($C$114=1,D162,$C$114*(D160+D162*0.5))</f>
        <v>7.1356832493173616</v>
      </c>
      <c r="E161" s="367">
        <f t="shared" si="76"/>
        <v>13.118959707084805</v>
      </c>
      <c r="F161" s="367">
        <f t="shared" si="76"/>
        <v>22.046557470315992</v>
      </c>
      <c r="G161" s="367">
        <f t="shared" si="76"/>
        <v>33.112055930565489</v>
      </c>
      <c r="H161" s="367">
        <f t="shared" si="76"/>
        <v>45.913561224692685</v>
      </c>
      <c r="I161" s="367">
        <f t="shared" si="76"/>
        <v>50.06927184714138</v>
      </c>
      <c r="J161" s="367">
        <f t="shared" si="76"/>
        <v>45.06234466242725</v>
      </c>
      <c r="K161" s="367">
        <f t="shared" si="76"/>
        <v>40.556110196184527</v>
      </c>
      <c r="L161" s="367">
        <f t="shared" si="76"/>
        <v>36.500499176566073</v>
      </c>
      <c r="M161" s="367">
        <f t="shared" si="76"/>
        <v>32.850449258909464</v>
      </c>
      <c r="N161" s="367">
        <f t="shared" si="76"/>
        <v>29.56540433301852</v>
      </c>
      <c r="O161" s="367">
        <f t="shared" si="76"/>
        <v>26.608863899716667</v>
      </c>
      <c r="P161" s="367">
        <f t="shared" si="76"/>
        <v>23.947977509745002</v>
      </c>
      <c r="Q161" s="367">
        <f t="shared" si="76"/>
        <v>21.553179758770501</v>
      </c>
      <c r="R161" s="367">
        <f t="shared" si="76"/>
        <v>19.39786178289345</v>
      </c>
      <c r="S161" s="367">
        <f t="shared" si="76"/>
        <v>17.458075604604105</v>
      </c>
      <c r="T161" s="367">
        <f t="shared" si="76"/>
        <v>15.712268044143697</v>
      </c>
      <c r="U161" s="367">
        <f t="shared" si="76"/>
        <v>14.141041239729327</v>
      </c>
      <c r="V161" s="367">
        <f t="shared" si="76"/>
        <v>12.726937115756394</v>
      </c>
      <c r="W161" s="367">
        <f t="shared" si="76"/>
        <v>11.454243404180755</v>
      </c>
      <c r="X161" s="367">
        <f t="shared" si="76"/>
        <v>10.308819063762678</v>
      </c>
      <c r="Y161" s="367">
        <f t="shared" si="76"/>
        <v>9.2779371573864093</v>
      </c>
      <c r="Z161" s="367">
        <f t="shared" si="76"/>
        <v>8.35014344164777</v>
      </c>
      <c r="AA161" s="367">
        <f t="shared" si="76"/>
        <v>7.5151290974829923</v>
      </c>
      <c r="AB161" s="367">
        <f t="shared" si="76"/>
        <v>6.7636161877346925</v>
      </c>
      <c r="AC161" s="367">
        <f t="shared" si="76"/>
        <v>6.0872545689612236</v>
      </c>
      <c r="AD161" s="367">
        <f t="shared" si="76"/>
        <v>5.4785291120651012</v>
      </c>
      <c r="AE161" s="367">
        <f t="shared" si="76"/>
        <v>4.9306762008585912</v>
      </c>
      <c r="AF161" s="367">
        <f t="shared" si="76"/>
        <v>4.4376085807727312</v>
      </c>
      <c r="AG161" s="367">
        <f t="shared" si="76"/>
        <v>3.9938477226954583</v>
      </c>
      <c r="AH161" s="367">
        <f t="shared" si="76"/>
        <v>3.5944629504259127</v>
      </c>
      <c r="AI161" s="367">
        <f t="shared" si="76"/>
        <v>3.2350166553833213</v>
      </c>
      <c r="AJ161" s="367">
        <f t="shared" si="76"/>
        <v>2.911514989844989</v>
      </c>
      <c r="AK161" s="367">
        <f t="shared" si="76"/>
        <v>2.6203634908604903</v>
      </c>
      <c r="AL161" s="367">
        <f t="shared" si="76"/>
        <v>2.3583271417744411</v>
      </c>
      <c r="AM161" s="367">
        <f t="shared" si="76"/>
        <v>2.122494427596997</v>
      </c>
      <c r="AN161" s="367">
        <f t="shared" si="76"/>
        <v>1.9102449848372971</v>
      </c>
      <c r="AO161" s="367">
        <f t="shared" si="76"/>
        <v>1.7192204863535672</v>
      </c>
      <c r="AP161" s="367">
        <f t="shared" si="76"/>
        <v>1.5472984377182106</v>
      </c>
      <c r="AQ161" s="367">
        <f t="shared" si="76"/>
        <v>1.3925685939463894</v>
      </c>
      <c r="AR161" s="367">
        <f t="shared" si="76"/>
        <v>1.2533117345517504</v>
      </c>
      <c r="AS161" s="367">
        <f t="shared" si="76"/>
        <v>1.1279805610965752</v>
      </c>
      <c r="AT161" s="367">
        <f t="shared" si="76"/>
        <v>1.0151825049869179</v>
      </c>
      <c r="AU161" s="367">
        <f t="shared" si="76"/>
        <v>0.91366425448822608</v>
      </c>
      <c r="AV161" s="367">
        <f t="shared" si="76"/>
        <v>0.82229782903940341</v>
      </c>
      <c r="AW161" s="367">
        <f t="shared" si="76"/>
        <v>0.74006804613546306</v>
      </c>
      <c r="AX161" s="367">
        <f t="shared" si="76"/>
        <v>0.6660612415219167</v>
      </c>
      <c r="AY161" s="367">
        <f t="shared" si="76"/>
        <v>0.59945511736972501</v>
      </c>
      <c r="AZ161" s="367">
        <f t="shared" si="76"/>
        <v>0.53950960563275252</v>
      </c>
      <c r="BA161" s="367">
        <f t="shared" si="76"/>
        <v>0.48555864506947721</v>
      </c>
      <c r="BB161" s="367">
        <f t="shared" si="76"/>
        <v>0.4370027805625295</v>
      </c>
      <c r="BC161" s="367">
        <f t="shared" si="76"/>
        <v>0.39330250250627657</v>
      </c>
      <c r="BD161" s="367">
        <f t="shared" si="76"/>
        <v>0.35397225225564893</v>
      </c>
      <c r="BE161" s="367">
        <f t="shared" si="76"/>
        <v>0.318575027030084</v>
      </c>
    </row>
    <row r="162" spans="1:57" s="347" customFormat="1" hidden="1" outlineLevel="1">
      <c r="A162" s="347" t="s">
        <v>151</v>
      </c>
      <c r="C162" s="367">
        <f>C$132</f>
        <v>18.865568591587966</v>
      </c>
      <c r="D162" s="367">
        <f t="shared" ref="D162:BE162" si="77">D$132</f>
        <v>47.237222275496308</v>
      </c>
      <c r="E162" s="367">
        <f t="shared" si="77"/>
        <v>86.699673378487248</v>
      </c>
      <c r="F162" s="367">
        <f t="shared" si="77"/>
        <v>118.09020130030618</v>
      </c>
      <c r="G162" s="367">
        <f t="shared" si="77"/>
        <v>147.3128828453157</v>
      </c>
      <c r="H162" s="367">
        <f t="shared" si="77"/>
        <v>174.94133489835923</v>
      </c>
      <c r="I162" s="367">
        <f t="shared" si="77"/>
        <v>0</v>
      </c>
      <c r="J162" s="367">
        <f t="shared" si="77"/>
        <v>0</v>
      </c>
      <c r="K162" s="367">
        <f t="shared" si="77"/>
        <v>0</v>
      </c>
      <c r="L162" s="367">
        <f t="shared" si="77"/>
        <v>0</v>
      </c>
      <c r="M162" s="367">
        <f t="shared" si="77"/>
        <v>0</v>
      </c>
      <c r="N162" s="367">
        <f t="shared" si="77"/>
        <v>0</v>
      </c>
      <c r="O162" s="367">
        <f t="shared" si="77"/>
        <v>0</v>
      </c>
      <c r="P162" s="367">
        <f t="shared" si="77"/>
        <v>0</v>
      </c>
      <c r="Q162" s="367">
        <f t="shared" si="77"/>
        <v>0</v>
      </c>
      <c r="R162" s="367">
        <f t="shared" si="77"/>
        <v>0</v>
      </c>
      <c r="S162" s="367">
        <f t="shared" si="77"/>
        <v>0</v>
      </c>
      <c r="T162" s="367">
        <f t="shared" si="77"/>
        <v>0</v>
      </c>
      <c r="U162" s="367">
        <f t="shared" si="77"/>
        <v>0</v>
      </c>
      <c r="V162" s="367">
        <f t="shared" si="77"/>
        <v>0</v>
      </c>
      <c r="W162" s="367">
        <f t="shared" si="77"/>
        <v>0</v>
      </c>
      <c r="X162" s="367">
        <f t="shared" si="77"/>
        <v>0</v>
      </c>
      <c r="Y162" s="367">
        <f t="shared" si="77"/>
        <v>0</v>
      </c>
      <c r="Z162" s="367">
        <f t="shared" si="77"/>
        <v>0</v>
      </c>
      <c r="AA162" s="367">
        <f t="shared" si="77"/>
        <v>0</v>
      </c>
      <c r="AB162" s="367">
        <f t="shared" si="77"/>
        <v>0</v>
      </c>
      <c r="AC162" s="367">
        <f t="shared" si="77"/>
        <v>0</v>
      </c>
      <c r="AD162" s="367">
        <f t="shared" si="77"/>
        <v>0</v>
      </c>
      <c r="AE162" s="367">
        <f t="shared" si="77"/>
        <v>0</v>
      </c>
      <c r="AF162" s="367">
        <f t="shared" si="77"/>
        <v>0</v>
      </c>
      <c r="AG162" s="367">
        <f t="shared" si="77"/>
        <v>0</v>
      </c>
      <c r="AH162" s="367">
        <f t="shared" si="77"/>
        <v>0</v>
      </c>
      <c r="AI162" s="367">
        <f t="shared" si="77"/>
        <v>0</v>
      </c>
      <c r="AJ162" s="367">
        <f t="shared" si="77"/>
        <v>0</v>
      </c>
      <c r="AK162" s="367">
        <f t="shared" si="77"/>
        <v>0</v>
      </c>
      <c r="AL162" s="367">
        <f t="shared" si="77"/>
        <v>0</v>
      </c>
      <c r="AM162" s="367">
        <f t="shared" si="77"/>
        <v>0</v>
      </c>
      <c r="AN162" s="367">
        <f t="shared" si="77"/>
        <v>0</v>
      </c>
      <c r="AO162" s="367">
        <f t="shared" si="77"/>
        <v>0</v>
      </c>
      <c r="AP162" s="367">
        <f t="shared" si="77"/>
        <v>0</v>
      </c>
      <c r="AQ162" s="367">
        <f t="shared" si="77"/>
        <v>0</v>
      </c>
      <c r="AR162" s="367">
        <f t="shared" si="77"/>
        <v>0</v>
      </c>
      <c r="AS162" s="367">
        <f t="shared" si="77"/>
        <v>0</v>
      </c>
      <c r="AT162" s="367">
        <f t="shared" si="77"/>
        <v>0</v>
      </c>
      <c r="AU162" s="367">
        <f t="shared" si="77"/>
        <v>0</v>
      </c>
      <c r="AV162" s="367">
        <f t="shared" si="77"/>
        <v>0</v>
      </c>
      <c r="AW162" s="367">
        <f t="shared" si="77"/>
        <v>0</v>
      </c>
      <c r="AX162" s="367">
        <f t="shared" si="77"/>
        <v>0</v>
      </c>
      <c r="AY162" s="367">
        <f t="shared" si="77"/>
        <v>0</v>
      </c>
      <c r="AZ162" s="367">
        <f t="shared" si="77"/>
        <v>0</v>
      </c>
      <c r="BA162" s="367">
        <f t="shared" si="77"/>
        <v>0</v>
      </c>
      <c r="BB162" s="367">
        <f t="shared" si="77"/>
        <v>0</v>
      </c>
      <c r="BC162" s="367">
        <f t="shared" si="77"/>
        <v>0</v>
      </c>
      <c r="BD162" s="367">
        <f t="shared" si="77"/>
        <v>0</v>
      </c>
      <c r="BE162" s="367">
        <f t="shared" si="77"/>
        <v>0</v>
      </c>
    </row>
    <row r="163" spans="1:57" s="347" customFormat="1" hidden="1" outlineLevel="1">
      <c r="A163" s="347" t="s">
        <v>135</v>
      </c>
      <c r="B163" s="374">
        <f>C160</f>
        <v>33.128812437129881</v>
      </c>
      <c r="C163" s="368">
        <f>C160-C161+C162</f>
        <v>47.738221355425459</v>
      </c>
      <c r="D163" s="368">
        <f>D160-D161+D162</f>
        <v>87.839760381604407</v>
      </c>
      <c r="E163" s="368">
        <f>E160-E161+E162</f>
        <v>161.42047405300684</v>
      </c>
      <c r="F163" s="368">
        <f>F160-F161+F162</f>
        <v>257.46411788299702</v>
      </c>
      <c r="G163" s="368">
        <f>G160-G161+G162</f>
        <v>371.66494479774724</v>
      </c>
      <c r="H163" s="368">
        <f t="shared" ref="H163:BE163" si="78">H160-H161+H162</f>
        <v>500.6927184714138</v>
      </c>
      <c r="I163" s="368">
        <f t="shared" si="78"/>
        <v>450.62344662427245</v>
      </c>
      <c r="J163" s="368">
        <f t="shared" si="78"/>
        <v>405.56110196184522</v>
      </c>
      <c r="K163" s="368">
        <f t="shared" si="78"/>
        <v>365.00499176566069</v>
      </c>
      <c r="L163" s="368">
        <f t="shared" si="78"/>
        <v>328.50449258909464</v>
      </c>
      <c r="M163" s="368">
        <f t="shared" si="78"/>
        <v>295.65404333018517</v>
      </c>
      <c r="N163" s="368">
        <f t="shared" si="78"/>
        <v>266.08863899716664</v>
      </c>
      <c r="O163" s="368">
        <f t="shared" si="78"/>
        <v>239.47977509744999</v>
      </c>
      <c r="P163" s="368">
        <f t="shared" si="78"/>
        <v>215.531797587705</v>
      </c>
      <c r="Q163" s="368">
        <f t="shared" si="78"/>
        <v>193.97861782893449</v>
      </c>
      <c r="R163" s="368">
        <f t="shared" si="78"/>
        <v>174.58075604604105</v>
      </c>
      <c r="S163" s="368">
        <f t="shared" si="78"/>
        <v>157.12268044143696</v>
      </c>
      <c r="T163" s="368">
        <f t="shared" si="78"/>
        <v>141.41041239729327</v>
      </c>
      <c r="U163" s="368">
        <f t="shared" si="78"/>
        <v>127.26937115756394</v>
      </c>
      <c r="V163" s="368">
        <f t="shared" si="78"/>
        <v>114.54243404180754</v>
      </c>
      <c r="W163" s="368">
        <f t="shared" si="78"/>
        <v>103.08819063762678</v>
      </c>
      <c r="X163" s="368">
        <f t="shared" si="78"/>
        <v>92.779371573864097</v>
      </c>
      <c r="Y163" s="368">
        <f t="shared" si="78"/>
        <v>83.501434416477693</v>
      </c>
      <c r="Z163" s="368">
        <f t="shared" si="78"/>
        <v>75.151290974829919</v>
      </c>
      <c r="AA163" s="368">
        <f t="shared" si="78"/>
        <v>67.636161877346922</v>
      </c>
      <c r="AB163" s="368">
        <f t="shared" si="78"/>
        <v>60.872545689612231</v>
      </c>
      <c r="AC163" s="368">
        <f t="shared" si="78"/>
        <v>54.78529112065101</v>
      </c>
      <c r="AD163" s="368">
        <f t="shared" si="78"/>
        <v>49.306762008585906</v>
      </c>
      <c r="AE163" s="368">
        <f t="shared" si="78"/>
        <v>44.376085807727314</v>
      </c>
      <c r="AF163" s="368">
        <f t="shared" si="78"/>
        <v>39.938477226954582</v>
      </c>
      <c r="AG163" s="368">
        <f t="shared" si="78"/>
        <v>35.944629504259126</v>
      </c>
      <c r="AH163" s="368">
        <f t="shared" si="78"/>
        <v>32.350166553833212</v>
      </c>
      <c r="AI163" s="368">
        <f t="shared" si="78"/>
        <v>29.115149898449889</v>
      </c>
      <c r="AJ163" s="368">
        <f t="shared" si="78"/>
        <v>26.203634908604901</v>
      </c>
      <c r="AK163" s="368">
        <f t="shared" si="78"/>
        <v>23.58327141774441</v>
      </c>
      <c r="AL163" s="368">
        <f t="shared" si="78"/>
        <v>21.224944275969968</v>
      </c>
      <c r="AM163" s="368">
        <f t="shared" si="78"/>
        <v>19.10244984837297</v>
      </c>
      <c r="AN163" s="368">
        <f t="shared" si="78"/>
        <v>17.192204863535672</v>
      </c>
      <c r="AO163" s="368">
        <f t="shared" si="78"/>
        <v>15.472984377182105</v>
      </c>
      <c r="AP163" s="368">
        <f t="shared" si="78"/>
        <v>13.925685939463893</v>
      </c>
      <c r="AQ163" s="368">
        <f t="shared" si="78"/>
        <v>12.533117345517503</v>
      </c>
      <c r="AR163" s="368">
        <f t="shared" si="78"/>
        <v>11.279805610965752</v>
      </c>
      <c r="AS163" s="368">
        <f t="shared" si="78"/>
        <v>10.151825049869178</v>
      </c>
      <c r="AT163" s="368">
        <f t="shared" si="78"/>
        <v>9.1366425448822604</v>
      </c>
      <c r="AU163" s="368">
        <f t="shared" si="78"/>
        <v>8.2229782903940336</v>
      </c>
      <c r="AV163" s="368">
        <f t="shared" si="78"/>
        <v>7.4006804613546304</v>
      </c>
      <c r="AW163" s="368">
        <f t="shared" si="78"/>
        <v>6.660612415219167</v>
      </c>
      <c r="AX163" s="368">
        <f t="shared" si="78"/>
        <v>5.9945511736972499</v>
      </c>
      <c r="AY163" s="368">
        <f t="shared" si="78"/>
        <v>5.3950960563275245</v>
      </c>
      <c r="AZ163" s="368">
        <f t="shared" si="78"/>
        <v>4.8555864506947719</v>
      </c>
      <c r="BA163" s="368">
        <f t="shared" si="78"/>
        <v>4.3700278056252948</v>
      </c>
      <c r="BB163" s="368">
        <f t="shared" si="78"/>
        <v>3.9330250250627654</v>
      </c>
      <c r="BC163" s="368">
        <f t="shared" si="78"/>
        <v>3.539722522556489</v>
      </c>
      <c r="BD163" s="368">
        <f t="shared" si="78"/>
        <v>3.18575027030084</v>
      </c>
      <c r="BE163" s="368">
        <f t="shared" si="78"/>
        <v>2.867175243270756</v>
      </c>
    </row>
    <row r="164" spans="1:57" s="347" customFormat="1" hidden="1" outlineLevel="1">
      <c r="A164" s="365" t="s">
        <v>112</v>
      </c>
      <c r="B164" s="373"/>
      <c r="C164" s="373"/>
      <c r="D164" s="373"/>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373"/>
      <c r="AK164" s="373"/>
      <c r="AL164" s="373"/>
      <c r="AM164" s="373"/>
      <c r="AN164" s="373"/>
      <c r="AO164" s="373"/>
      <c r="AP164" s="373"/>
      <c r="AQ164" s="373"/>
      <c r="AR164" s="373"/>
      <c r="AS164" s="373"/>
      <c r="AT164" s="373"/>
      <c r="AU164" s="373"/>
      <c r="AV164" s="373"/>
      <c r="AW164" s="373"/>
      <c r="AX164" s="373"/>
      <c r="AY164" s="373"/>
      <c r="AZ164" s="373"/>
      <c r="BA164" s="373"/>
      <c r="BB164" s="373"/>
      <c r="BC164" s="373"/>
      <c r="BD164" s="373"/>
      <c r="BE164" s="373"/>
    </row>
    <row r="165" spans="1:57" s="347" customFormat="1" hidden="1" outlineLevel="1">
      <c r="A165" s="347" t="s">
        <v>133</v>
      </c>
      <c r="C165" s="372">
        <f>B$115</f>
        <v>9.8519773021397121</v>
      </c>
      <c r="D165" s="367">
        <f>C168</f>
        <v>11.807924614330311</v>
      </c>
      <c r="E165" s="367">
        <f>D168</f>
        <v>11.832630023750649</v>
      </c>
      <c r="F165" s="367">
        <f>E168</f>
        <v>16.267185435236623</v>
      </c>
      <c r="G165" s="367">
        <f>F168</f>
        <v>16.469286426821249</v>
      </c>
      <c r="H165" s="367">
        <f t="shared" ref="H165:BE165" si="79">G168</f>
        <v>15.521472586292093</v>
      </c>
      <c r="I165" s="367">
        <f t="shared" si="79"/>
        <v>16.73711350750084</v>
      </c>
      <c r="J165" s="367">
        <f t="shared" si="79"/>
        <v>15.063402156750756</v>
      </c>
      <c r="K165" s="367">
        <f t="shared" si="79"/>
        <v>13.557061941075681</v>
      </c>
      <c r="L165" s="367">
        <f t="shared" si="79"/>
        <v>12.201355746968112</v>
      </c>
      <c r="M165" s="367">
        <f t="shared" si="79"/>
        <v>10.9812201722713</v>
      </c>
      <c r="N165" s="367">
        <f t="shared" si="79"/>
        <v>9.8830981550441699</v>
      </c>
      <c r="O165" s="367">
        <f t="shared" si="79"/>
        <v>8.8947883395397529</v>
      </c>
      <c r="P165" s="367">
        <f t="shared" si="79"/>
        <v>8.0053095055857781</v>
      </c>
      <c r="Q165" s="367">
        <f t="shared" si="79"/>
        <v>7.2047785550272003</v>
      </c>
      <c r="R165" s="367">
        <f t="shared" si="79"/>
        <v>6.4843006995244803</v>
      </c>
      <c r="S165" s="367">
        <f t="shared" si="79"/>
        <v>5.8358706295720317</v>
      </c>
      <c r="T165" s="367">
        <f t="shared" si="79"/>
        <v>5.2522835666148282</v>
      </c>
      <c r="U165" s="367">
        <f t="shared" si="79"/>
        <v>4.7270552099533454</v>
      </c>
      <c r="V165" s="367">
        <f t="shared" si="79"/>
        <v>4.254349688958011</v>
      </c>
      <c r="W165" s="367">
        <f t="shared" si="79"/>
        <v>3.82891472006221</v>
      </c>
      <c r="X165" s="367">
        <f t="shared" si="79"/>
        <v>3.4460232480559889</v>
      </c>
      <c r="Y165" s="367">
        <f t="shared" si="79"/>
        <v>3.10142092325039</v>
      </c>
      <c r="Z165" s="367">
        <f t="shared" si="79"/>
        <v>2.7912788309253509</v>
      </c>
      <c r="AA165" s="367">
        <f t="shared" si="79"/>
        <v>2.5121509478328159</v>
      </c>
      <c r="AB165" s="367">
        <f t="shared" si="79"/>
        <v>2.2609358530495345</v>
      </c>
      <c r="AC165" s="367">
        <f t="shared" si="79"/>
        <v>2.034842267744581</v>
      </c>
      <c r="AD165" s="367">
        <f t="shared" si="79"/>
        <v>1.8313580409701229</v>
      </c>
      <c r="AE165" s="367">
        <f t="shared" si="79"/>
        <v>1.6482222368731105</v>
      </c>
      <c r="AF165" s="367">
        <f t="shared" si="79"/>
        <v>1.4834000131857994</v>
      </c>
      <c r="AG165" s="367">
        <f t="shared" si="79"/>
        <v>1.3350600118672196</v>
      </c>
      <c r="AH165" s="367">
        <f t="shared" si="79"/>
        <v>1.2015540106804976</v>
      </c>
      <c r="AI165" s="367">
        <f t="shared" si="79"/>
        <v>1.0813986096124479</v>
      </c>
      <c r="AJ165" s="367">
        <f t="shared" si="79"/>
        <v>0.9732587486512031</v>
      </c>
      <c r="AK165" s="367">
        <f t="shared" si="79"/>
        <v>0.87593287378608276</v>
      </c>
      <c r="AL165" s="367">
        <f t="shared" si="79"/>
        <v>0.78833958640747448</v>
      </c>
      <c r="AM165" s="367">
        <f t="shared" si="79"/>
        <v>0.70950562776672699</v>
      </c>
      <c r="AN165" s="367">
        <f t="shared" si="79"/>
        <v>0.63855506499005432</v>
      </c>
      <c r="AO165" s="367">
        <f t="shared" si="79"/>
        <v>0.57469955849104892</v>
      </c>
      <c r="AP165" s="367">
        <f t="shared" si="79"/>
        <v>0.51722960264194406</v>
      </c>
      <c r="AQ165" s="367">
        <f t="shared" si="79"/>
        <v>0.46550664237774964</v>
      </c>
      <c r="AR165" s="367">
        <f t="shared" si="79"/>
        <v>0.41895597813997465</v>
      </c>
      <c r="AS165" s="367">
        <f t="shared" si="79"/>
        <v>0.37706038032597716</v>
      </c>
      <c r="AT165" s="367">
        <f t="shared" si="79"/>
        <v>0.33935434229337946</v>
      </c>
      <c r="AU165" s="367">
        <f t="shared" si="79"/>
        <v>0.30541890806404154</v>
      </c>
      <c r="AV165" s="367">
        <f t="shared" si="79"/>
        <v>0.27487701725763736</v>
      </c>
      <c r="AW165" s="367">
        <f t="shared" si="79"/>
        <v>0.24738931553187363</v>
      </c>
      <c r="AX165" s="367">
        <f t="shared" si="79"/>
        <v>0.22265038397868625</v>
      </c>
      <c r="AY165" s="367">
        <f t="shared" si="79"/>
        <v>0.20038534558081761</v>
      </c>
      <c r="AZ165" s="367">
        <f t="shared" si="79"/>
        <v>0.18034681102273584</v>
      </c>
      <c r="BA165" s="367">
        <f t="shared" si="79"/>
        <v>0.16231212992046226</v>
      </c>
      <c r="BB165" s="367">
        <f t="shared" si="79"/>
        <v>0.14608091692841604</v>
      </c>
      <c r="BC165" s="367">
        <f t="shared" si="79"/>
        <v>0.13147282523557444</v>
      </c>
      <c r="BD165" s="367">
        <f t="shared" si="79"/>
        <v>0.11832554271201699</v>
      </c>
      <c r="BE165" s="367">
        <f t="shared" si="79"/>
        <v>0.1064929884408153</v>
      </c>
    </row>
    <row r="166" spans="1:57" s="347" customFormat="1" hidden="1" outlineLevel="1">
      <c r="A166" s="347" t="s">
        <v>134</v>
      </c>
      <c r="C166" s="367">
        <f>IF($C$115=1,C167,$C$115*(C165+C167*0.5))</f>
        <v>1.1399948377089488</v>
      </c>
      <c r="D166" s="367">
        <f t="shared" ref="D166:BE166" si="80">IF($C$115=1,D167,$C$115*(D165+D167*0.5))</f>
        <v>1.244239717793735</v>
      </c>
      <c r="E166" s="367">
        <f t="shared" si="80"/>
        <v>1.4789376557361724</v>
      </c>
      <c r="F166" s="367">
        <f t="shared" si="80"/>
        <v>1.722972203266204</v>
      </c>
      <c r="G166" s="367">
        <f t="shared" si="80"/>
        <v>1.683724158584913</v>
      </c>
      <c r="H166" s="367">
        <f t="shared" si="80"/>
        <v>1.6978203207259441</v>
      </c>
      <c r="I166" s="367">
        <f t="shared" si="80"/>
        <v>1.673711350750084</v>
      </c>
      <c r="J166" s="367">
        <f t="shared" si="80"/>
        <v>1.5063402156750758</v>
      </c>
      <c r="K166" s="367">
        <f t="shared" si="80"/>
        <v>1.3557061941075681</v>
      </c>
      <c r="L166" s="367">
        <f t="shared" si="80"/>
        <v>1.2201355746968112</v>
      </c>
      <c r="M166" s="367">
        <f t="shared" si="80"/>
        <v>1.09812201722713</v>
      </c>
      <c r="N166" s="367">
        <f t="shared" si="80"/>
        <v>0.98830981550441699</v>
      </c>
      <c r="O166" s="367">
        <f t="shared" si="80"/>
        <v>0.88947883395397531</v>
      </c>
      <c r="P166" s="367">
        <f t="shared" si="80"/>
        <v>0.80053095055857781</v>
      </c>
      <c r="Q166" s="367">
        <f t="shared" si="80"/>
        <v>0.72047785550272003</v>
      </c>
      <c r="R166" s="367">
        <f t="shared" si="80"/>
        <v>0.64843006995244812</v>
      </c>
      <c r="S166" s="367">
        <f t="shared" si="80"/>
        <v>0.5835870629572032</v>
      </c>
      <c r="T166" s="367">
        <f t="shared" si="80"/>
        <v>0.52522835666148282</v>
      </c>
      <c r="U166" s="367">
        <f t="shared" si="80"/>
        <v>0.47270552099533458</v>
      </c>
      <c r="V166" s="367">
        <f t="shared" si="80"/>
        <v>0.42543496889580112</v>
      </c>
      <c r="W166" s="367">
        <f t="shared" si="80"/>
        <v>0.38289147200622103</v>
      </c>
      <c r="X166" s="367">
        <f t="shared" si="80"/>
        <v>0.34460232480559894</v>
      </c>
      <c r="Y166" s="367">
        <f t="shared" si="80"/>
        <v>0.31014209232503903</v>
      </c>
      <c r="Z166" s="367">
        <f t="shared" si="80"/>
        <v>0.27912788309253511</v>
      </c>
      <c r="AA166" s="367">
        <f t="shared" si="80"/>
        <v>0.25121509478328158</v>
      </c>
      <c r="AB166" s="367">
        <f t="shared" si="80"/>
        <v>0.22609358530495346</v>
      </c>
      <c r="AC166" s="367">
        <f t="shared" si="80"/>
        <v>0.2034842267744581</v>
      </c>
      <c r="AD166" s="367">
        <f t="shared" si="80"/>
        <v>0.1831358040970123</v>
      </c>
      <c r="AE166" s="367">
        <f t="shared" si="80"/>
        <v>0.16482222368731106</v>
      </c>
      <c r="AF166" s="367">
        <f t="shared" si="80"/>
        <v>0.14834000131857994</v>
      </c>
      <c r="AG166" s="367">
        <f t="shared" si="80"/>
        <v>0.13350600118672196</v>
      </c>
      <c r="AH166" s="367">
        <f t="shared" si="80"/>
        <v>0.12015540106804977</v>
      </c>
      <c r="AI166" s="367">
        <f t="shared" si="80"/>
        <v>0.1081398609612448</v>
      </c>
      <c r="AJ166" s="367">
        <f t="shared" si="80"/>
        <v>9.7325874865120315E-2</v>
      </c>
      <c r="AK166" s="367">
        <f t="shared" si="80"/>
        <v>8.7593287378608276E-2</v>
      </c>
      <c r="AL166" s="367">
        <f t="shared" si="80"/>
        <v>7.8833958640747451E-2</v>
      </c>
      <c r="AM166" s="367">
        <f t="shared" si="80"/>
        <v>7.0950562776672707E-2</v>
      </c>
      <c r="AN166" s="367">
        <f t="shared" si="80"/>
        <v>6.3855506499005441E-2</v>
      </c>
      <c r="AO166" s="367">
        <f t="shared" si="80"/>
        <v>5.7469955849104894E-2</v>
      </c>
      <c r="AP166" s="367">
        <f t="shared" si="80"/>
        <v>5.1722960264194408E-2</v>
      </c>
      <c r="AQ166" s="367">
        <f t="shared" si="80"/>
        <v>4.6550664237774965E-2</v>
      </c>
      <c r="AR166" s="367">
        <f t="shared" si="80"/>
        <v>4.1895597813997466E-2</v>
      </c>
      <c r="AS166" s="367">
        <f t="shared" si="80"/>
        <v>3.770603803259772E-2</v>
      </c>
      <c r="AT166" s="367">
        <f t="shared" si="80"/>
        <v>3.3935434229337945E-2</v>
      </c>
      <c r="AU166" s="367">
        <f t="shared" si="80"/>
        <v>3.0541890806404154E-2</v>
      </c>
      <c r="AV166" s="367">
        <f t="shared" si="80"/>
        <v>2.7487701725763737E-2</v>
      </c>
      <c r="AW166" s="367">
        <f t="shared" si="80"/>
        <v>2.4738931553187363E-2</v>
      </c>
      <c r="AX166" s="367">
        <f t="shared" si="80"/>
        <v>2.2265038397868628E-2</v>
      </c>
      <c r="AY166" s="367">
        <f t="shared" si="80"/>
        <v>2.0038534558081762E-2</v>
      </c>
      <c r="AZ166" s="367">
        <f t="shared" si="80"/>
        <v>1.8034681102273586E-2</v>
      </c>
      <c r="BA166" s="367">
        <f t="shared" si="80"/>
        <v>1.6231212992046228E-2</v>
      </c>
      <c r="BB166" s="367">
        <f t="shared" si="80"/>
        <v>1.4608091692841605E-2</v>
      </c>
      <c r="BC166" s="367">
        <f t="shared" si="80"/>
        <v>1.3147282523557444E-2</v>
      </c>
      <c r="BD166" s="367">
        <f t="shared" si="80"/>
        <v>1.18325542712017E-2</v>
      </c>
      <c r="BE166" s="367">
        <f t="shared" si="80"/>
        <v>1.064929884408153E-2</v>
      </c>
    </row>
    <row r="167" spans="1:57" s="347" customFormat="1" hidden="1" outlineLevel="1">
      <c r="A167" s="347" t="s">
        <v>151</v>
      </c>
      <c r="C167" s="367">
        <f>C$133</f>
        <v>3.0959421498995483</v>
      </c>
      <c r="D167" s="367">
        <f t="shared" ref="D167:BE167" si="81">D$133</f>
        <v>1.2689451272140742</v>
      </c>
      <c r="E167" s="367">
        <f t="shared" si="81"/>
        <v>5.9134930672221477</v>
      </c>
      <c r="F167" s="367">
        <f t="shared" si="81"/>
        <v>1.9250731948508306</v>
      </c>
      <c r="G167" s="367">
        <f t="shared" si="81"/>
        <v>0.73591031805575635</v>
      </c>
      <c r="H167" s="367">
        <f t="shared" si="81"/>
        <v>2.9134612419346908</v>
      </c>
      <c r="I167" s="367">
        <f t="shared" si="81"/>
        <v>0</v>
      </c>
      <c r="J167" s="367">
        <f t="shared" si="81"/>
        <v>0</v>
      </c>
      <c r="K167" s="367">
        <f t="shared" si="81"/>
        <v>0</v>
      </c>
      <c r="L167" s="367">
        <f t="shared" si="81"/>
        <v>0</v>
      </c>
      <c r="M167" s="367">
        <f t="shared" si="81"/>
        <v>0</v>
      </c>
      <c r="N167" s="367">
        <f t="shared" si="81"/>
        <v>0</v>
      </c>
      <c r="O167" s="367">
        <f t="shared" si="81"/>
        <v>0</v>
      </c>
      <c r="P167" s="367">
        <f t="shared" si="81"/>
        <v>0</v>
      </c>
      <c r="Q167" s="367">
        <f t="shared" si="81"/>
        <v>0</v>
      </c>
      <c r="R167" s="367">
        <f t="shared" si="81"/>
        <v>0</v>
      </c>
      <c r="S167" s="367">
        <f t="shared" si="81"/>
        <v>0</v>
      </c>
      <c r="T167" s="367">
        <f t="shared" si="81"/>
        <v>0</v>
      </c>
      <c r="U167" s="367">
        <f t="shared" si="81"/>
        <v>0</v>
      </c>
      <c r="V167" s="367">
        <f t="shared" si="81"/>
        <v>0</v>
      </c>
      <c r="W167" s="367">
        <f t="shared" si="81"/>
        <v>0</v>
      </c>
      <c r="X167" s="367">
        <f t="shared" si="81"/>
        <v>0</v>
      </c>
      <c r="Y167" s="367">
        <f t="shared" si="81"/>
        <v>0</v>
      </c>
      <c r="Z167" s="367">
        <f t="shared" si="81"/>
        <v>0</v>
      </c>
      <c r="AA167" s="367">
        <f t="shared" si="81"/>
        <v>0</v>
      </c>
      <c r="AB167" s="367">
        <f t="shared" si="81"/>
        <v>0</v>
      </c>
      <c r="AC167" s="367">
        <f t="shared" si="81"/>
        <v>0</v>
      </c>
      <c r="AD167" s="367">
        <f t="shared" si="81"/>
        <v>0</v>
      </c>
      <c r="AE167" s="367">
        <f t="shared" si="81"/>
        <v>0</v>
      </c>
      <c r="AF167" s="367">
        <f t="shared" si="81"/>
        <v>0</v>
      </c>
      <c r="AG167" s="367">
        <f t="shared" si="81"/>
        <v>0</v>
      </c>
      <c r="AH167" s="367">
        <f t="shared" si="81"/>
        <v>0</v>
      </c>
      <c r="AI167" s="367">
        <f t="shared" si="81"/>
        <v>0</v>
      </c>
      <c r="AJ167" s="367">
        <f t="shared" si="81"/>
        <v>0</v>
      </c>
      <c r="AK167" s="367">
        <f t="shared" si="81"/>
        <v>0</v>
      </c>
      <c r="AL167" s="367">
        <f t="shared" si="81"/>
        <v>0</v>
      </c>
      <c r="AM167" s="367">
        <f t="shared" si="81"/>
        <v>0</v>
      </c>
      <c r="AN167" s="367">
        <f t="shared" si="81"/>
        <v>0</v>
      </c>
      <c r="AO167" s="367">
        <f t="shared" si="81"/>
        <v>0</v>
      </c>
      <c r="AP167" s="367">
        <f t="shared" si="81"/>
        <v>0</v>
      </c>
      <c r="AQ167" s="367">
        <f t="shared" si="81"/>
        <v>0</v>
      </c>
      <c r="AR167" s="367">
        <f t="shared" si="81"/>
        <v>0</v>
      </c>
      <c r="AS167" s="367">
        <f t="shared" si="81"/>
        <v>0</v>
      </c>
      <c r="AT167" s="367">
        <f t="shared" si="81"/>
        <v>0</v>
      </c>
      <c r="AU167" s="367">
        <f t="shared" si="81"/>
        <v>0</v>
      </c>
      <c r="AV167" s="367">
        <f t="shared" si="81"/>
        <v>0</v>
      </c>
      <c r="AW167" s="367">
        <f t="shared" si="81"/>
        <v>0</v>
      </c>
      <c r="AX167" s="367">
        <f t="shared" si="81"/>
        <v>0</v>
      </c>
      <c r="AY167" s="367">
        <f t="shared" si="81"/>
        <v>0</v>
      </c>
      <c r="AZ167" s="367">
        <f t="shared" si="81"/>
        <v>0</v>
      </c>
      <c r="BA167" s="367">
        <f t="shared" si="81"/>
        <v>0</v>
      </c>
      <c r="BB167" s="367">
        <f t="shared" si="81"/>
        <v>0</v>
      </c>
      <c r="BC167" s="367">
        <f t="shared" si="81"/>
        <v>0</v>
      </c>
      <c r="BD167" s="367">
        <f t="shared" si="81"/>
        <v>0</v>
      </c>
      <c r="BE167" s="367">
        <f t="shared" si="81"/>
        <v>0</v>
      </c>
    </row>
    <row r="168" spans="1:57" s="347" customFormat="1" hidden="1" outlineLevel="1">
      <c r="A168" s="347" t="s">
        <v>135</v>
      </c>
      <c r="B168" s="374">
        <f>C165</f>
        <v>9.8519773021397121</v>
      </c>
      <c r="C168" s="368">
        <f>C165-C166+C167</f>
        <v>11.807924614330311</v>
      </c>
      <c r="D168" s="368">
        <f>D165-D166+D167</f>
        <v>11.832630023750649</v>
      </c>
      <c r="E168" s="368">
        <f>E165-E166+E167</f>
        <v>16.267185435236623</v>
      </c>
      <c r="F168" s="368">
        <f>F165-F166+F167</f>
        <v>16.469286426821249</v>
      </c>
      <c r="G168" s="368">
        <f>G165-G166+G167</f>
        <v>15.521472586292093</v>
      </c>
      <c r="H168" s="368">
        <f t="shared" ref="H168:BE168" si="82">H165-H166+H167</f>
        <v>16.73711350750084</v>
      </c>
      <c r="I168" s="368">
        <f t="shared" si="82"/>
        <v>15.063402156750756</v>
      </c>
      <c r="J168" s="368">
        <f t="shared" si="82"/>
        <v>13.557061941075681</v>
      </c>
      <c r="K168" s="368">
        <f t="shared" si="82"/>
        <v>12.201355746968112</v>
      </c>
      <c r="L168" s="368">
        <f t="shared" si="82"/>
        <v>10.9812201722713</v>
      </c>
      <c r="M168" s="368">
        <f t="shared" si="82"/>
        <v>9.8830981550441699</v>
      </c>
      <c r="N168" s="368">
        <f t="shared" si="82"/>
        <v>8.8947883395397529</v>
      </c>
      <c r="O168" s="368">
        <f t="shared" si="82"/>
        <v>8.0053095055857781</v>
      </c>
      <c r="P168" s="368">
        <f t="shared" si="82"/>
        <v>7.2047785550272003</v>
      </c>
      <c r="Q168" s="368">
        <f t="shared" si="82"/>
        <v>6.4843006995244803</v>
      </c>
      <c r="R168" s="368">
        <f t="shared" si="82"/>
        <v>5.8358706295720317</v>
      </c>
      <c r="S168" s="368">
        <f t="shared" si="82"/>
        <v>5.2522835666148282</v>
      </c>
      <c r="T168" s="368">
        <f t="shared" si="82"/>
        <v>4.7270552099533454</v>
      </c>
      <c r="U168" s="368">
        <f t="shared" si="82"/>
        <v>4.254349688958011</v>
      </c>
      <c r="V168" s="368">
        <f t="shared" si="82"/>
        <v>3.82891472006221</v>
      </c>
      <c r="W168" s="368">
        <f t="shared" si="82"/>
        <v>3.4460232480559889</v>
      </c>
      <c r="X168" s="368">
        <f t="shared" si="82"/>
        <v>3.10142092325039</v>
      </c>
      <c r="Y168" s="368">
        <f t="shared" si="82"/>
        <v>2.7912788309253509</v>
      </c>
      <c r="Z168" s="368">
        <f t="shared" si="82"/>
        <v>2.5121509478328159</v>
      </c>
      <c r="AA168" s="368">
        <f t="shared" si="82"/>
        <v>2.2609358530495345</v>
      </c>
      <c r="AB168" s="368">
        <f t="shared" si="82"/>
        <v>2.034842267744581</v>
      </c>
      <c r="AC168" s="368">
        <f t="shared" si="82"/>
        <v>1.8313580409701229</v>
      </c>
      <c r="AD168" s="368">
        <f t="shared" si="82"/>
        <v>1.6482222368731105</v>
      </c>
      <c r="AE168" s="368">
        <f t="shared" si="82"/>
        <v>1.4834000131857994</v>
      </c>
      <c r="AF168" s="368">
        <f t="shared" si="82"/>
        <v>1.3350600118672196</v>
      </c>
      <c r="AG168" s="368">
        <f t="shared" si="82"/>
        <v>1.2015540106804976</v>
      </c>
      <c r="AH168" s="368">
        <f t="shared" si="82"/>
        <v>1.0813986096124479</v>
      </c>
      <c r="AI168" s="368">
        <f t="shared" si="82"/>
        <v>0.9732587486512031</v>
      </c>
      <c r="AJ168" s="368">
        <f t="shared" si="82"/>
        <v>0.87593287378608276</v>
      </c>
      <c r="AK168" s="368">
        <f t="shared" si="82"/>
        <v>0.78833958640747448</v>
      </c>
      <c r="AL168" s="368">
        <f t="shared" si="82"/>
        <v>0.70950562776672699</v>
      </c>
      <c r="AM168" s="368">
        <f t="shared" si="82"/>
        <v>0.63855506499005432</v>
      </c>
      <c r="AN168" s="368">
        <f t="shared" si="82"/>
        <v>0.57469955849104892</v>
      </c>
      <c r="AO168" s="368">
        <f t="shared" si="82"/>
        <v>0.51722960264194406</v>
      </c>
      <c r="AP168" s="368">
        <f t="shared" si="82"/>
        <v>0.46550664237774964</v>
      </c>
      <c r="AQ168" s="368">
        <f t="shared" si="82"/>
        <v>0.41895597813997465</v>
      </c>
      <c r="AR168" s="368">
        <f t="shared" si="82"/>
        <v>0.37706038032597716</v>
      </c>
      <c r="AS168" s="368">
        <f t="shared" si="82"/>
        <v>0.33935434229337946</v>
      </c>
      <c r="AT168" s="368">
        <f t="shared" si="82"/>
        <v>0.30541890806404154</v>
      </c>
      <c r="AU168" s="368">
        <f t="shared" si="82"/>
        <v>0.27487701725763736</v>
      </c>
      <c r="AV168" s="368">
        <f t="shared" si="82"/>
        <v>0.24738931553187363</v>
      </c>
      <c r="AW168" s="368">
        <f t="shared" si="82"/>
        <v>0.22265038397868625</v>
      </c>
      <c r="AX168" s="368">
        <f t="shared" si="82"/>
        <v>0.20038534558081761</v>
      </c>
      <c r="AY168" s="368">
        <f t="shared" si="82"/>
        <v>0.18034681102273584</v>
      </c>
      <c r="AZ168" s="368">
        <f t="shared" si="82"/>
        <v>0.16231212992046226</v>
      </c>
      <c r="BA168" s="368">
        <f t="shared" si="82"/>
        <v>0.14608091692841604</v>
      </c>
      <c r="BB168" s="368">
        <f t="shared" si="82"/>
        <v>0.13147282523557444</v>
      </c>
      <c r="BC168" s="368">
        <f t="shared" si="82"/>
        <v>0.11832554271201699</v>
      </c>
      <c r="BD168" s="368">
        <f t="shared" si="82"/>
        <v>0.1064929884408153</v>
      </c>
      <c r="BE168" s="368">
        <f t="shared" si="82"/>
        <v>9.5843689596733769E-2</v>
      </c>
    </row>
    <row r="169" spans="1:57" s="347" customFormat="1" hidden="1" outlineLevel="1">
      <c r="A169" s="365" t="s">
        <v>113</v>
      </c>
      <c r="B169" s="373"/>
      <c r="C169" s="373"/>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373"/>
      <c r="AL169" s="373"/>
      <c r="AM169" s="373"/>
      <c r="AN169" s="373"/>
      <c r="AO169" s="373"/>
      <c r="AP169" s="373"/>
      <c r="AQ169" s="373"/>
      <c r="AR169" s="373"/>
      <c r="AS169" s="373"/>
      <c r="AT169" s="373"/>
      <c r="AU169" s="373"/>
      <c r="AV169" s="373"/>
      <c r="AW169" s="373"/>
      <c r="AX169" s="373"/>
      <c r="AY169" s="373"/>
      <c r="AZ169" s="373"/>
      <c r="BA169" s="373"/>
      <c r="BB169" s="373"/>
      <c r="BC169" s="373"/>
      <c r="BD169" s="373"/>
      <c r="BE169" s="373"/>
    </row>
    <row r="170" spans="1:57" s="347" customFormat="1" hidden="1" outlineLevel="1">
      <c r="A170" s="347" t="s">
        <v>133</v>
      </c>
      <c r="C170" s="372">
        <f>B$116</f>
        <v>28.69870955980587</v>
      </c>
      <c r="D170" s="367">
        <f>C173</f>
        <v>45.291803393865365</v>
      </c>
      <c r="E170" s="367">
        <f>D173</f>
        <v>64.470462390459602</v>
      </c>
      <c r="F170" s="367">
        <f>E173</f>
        <v>75.095202976314013</v>
      </c>
      <c r="G170" s="367">
        <f>F173</f>
        <v>85.224042441364617</v>
      </c>
      <c r="H170" s="367">
        <f t="shared" ref="H170:BE170" si="83">G173</f>
        <v>77.555288366280649</v>
      </c>
      <c r="I170" s="367">
        <f t="shared" si="83"/>
        <v>62.124728148771695</v>
      </c>
      <c r="J170" s="367">
        <f t="shared" si="83"/>
        <v>37.274836889263014</v>
      </c>
      <c r="K170" s="367">
        <f t="shared" si="83"/>
        <v>22.364902133557806</v>
      </c>
      <c r="L170" s="367">
        <f t="shared" si="83"/>
        <v>13.418941280134684</v>
      </c>
      <c r="M170" s="367">
        <f t="shared" si="83"/>
        <v>8.0513647680808091</v>
      </c>
      <c r="N170" s="367">
        <f t="shared" si="83"/>
        <v>4.8308188608484848</v>
      </c>
      <c r="O170" s="367">
        <f t="shared" si="83"/>
        <v>2.8984913165090909</v>
      </c>
      <c r="P170" s="367">
        <f t="shared" si="83"/>
        <v>1.7390947899054545</v>
      </c>
      <c r="Q170" s="367">
        <f t="shared" si="83"/>
        <v>1.0434568739432728</v>
      </c>
      <c r="R170" s="367">
        <f t="shared" si="83"/>
        <v>0.62607412436596366</v>
      </c>
      <c r="S170" s="367">
        <f t="shared" si="83"/>
        <v>0.37564447461957817</v>
      </c>
      <c r="T170" s="367">
        <f t="shared" si="83"/>
        <v>0.22538668477174689</v>
      </c>
      <c r="U170" s="367">
        <f t="shared" si="83"/>
        <v>0.13523201086304815</v>
      </c>
      <c r="V170" s="367">
        <f t="shared" si="83"/>
        <v>8.1139206517828882E-2</v>
      </c>
      <c r="W170" s="367">
        <f t="shared" si="83"/>
        <v>4.8683523910697329E-2</v>
      </c>
      <c r="X170" s="367">
        <f t="shared" si="83"/>
        <v>2.9210114346418396E-2</v>
      </c>
      <c r="Y170" s="367">
        <f t="shared" si="83"/>
        <v>1.7526068607851039E-2</v>
      </c>
      <c r="Z170" s="367">
        <f t="shared" si="83"/>
        <v>1.0515641164710623E-2</v>
      </c>
      <c r="AA170" s="367">
        <f t="shared" si="83"/>
        <v>6.3093846988263739E-3</v>
      </c>
      <c r="AB170" s="367">
        <f t="shared" si="83"/>
        <v>3.7856308192958242E-3</v>
      </c>
      <c r="AC170" s="367">
        <f t="shared" si="83"/>
        <v>2.2713784915774945E-3</v>
      </c>
      <c r="AD170" s="367">
        <f t="shared" si="83"/>
        <v>1.3628270949464967E-3</v>
      </c>
      <c r="AE170" s="367">
        <f t="shared" si="83"/>
        <v>8.1769625696789794E-4</v>
      </c>
      <c r="AF170" s="367">
        <f t="shared" si="83"/>
        <v>4.9061775418073874E-4</v>
      </c>
      <c r="AG170" s="367">
        <f t="shared" si="83"/>
        <v>2.9437065250844324E-4</v>
      </c>
      <c r="AH170" s="367">
        <f t="shared" si="83"/>
        <v>1.7662239150506592E-4</v>
      </c>
      <c r="AI170" s="367">
        <f t="shared" si="83"/>
        <v>1.0597343490303955E-4</v>
      </c>
      <c r="AJ170" s="367">
        <f t="shared" si="83"/>
        <v>6.3584060941823724E-5</v>
      </c>
      <c r="AK170" s="367">
        <f t="shared" si="83"/>
        <v>3.8150436565094234E-5</v>
      </c>
      <c r="AL170" s="367">
        <f t="shared" si="83"/>
        <v>2.2890261939056541E-5</v>
      </c>
      <c r="AM170" s="367">
        <f t="shared" si="83"/>
        <v>1.3734157163433923E-5</v>
      </c>
      <c r="AN170" s="367">
        <f t="shared" si="83"/>
        <v>8.240494298060354E-6</v>
      </c>
      <c r="AO170" s="367">
        <f t="shared" si="83"/>
        <v>4.9442965788362124E-6</v>
      </c>
      <c r="AP170" s="367">
        <f t="shared" si="83"/>
        <v>2.9665779473017274E-6</v>
      </c>
      <c r="AQ170" s="367">
        <f t="shared" si="83"/>
        <v>1.7799467683810364E-6</v>
      </c>
      <c r="AR170" s="367">
        <f t="shared" si="83"/>
        <v>1.0679680610286219E-6</v>
      </c>
      <c r="AS170" s="367">
        <f t="shared" si="83"/>
        <v>6.4078083661717321E-7</v>
      </c>
      <c r="AT170" s="367">
        <f t="shared" si="83"/>
        <v>3.8446850197030389E-7</v>
      </c>
      <c r="AU170" s="367">
        <f t="shared" si="83"/>
        <v>2.3068110118218233E-7</v>
      </c>
      <c r="AV170" s="367">
        <f t="shared" si="83"/>
        <v>1.384086607093094E-7</v>
      </c>
      <c r="AW170" s="367">
        <f t="shared" si="83"/>
        <v>8.3045196425585639E-8</v>
      </c>
      <c r="AX170" s="367">
        <f t="shared" si="83"/>
        <v>4.9827117855351381E-8</v>
      </c>
      <c r="AY170" s="367">
        <f t="shared" si="83"/>
        <v>2.9896270713210826E-8</v>
      </c>
      <c r="AZ170" s="367">
        <f t="shared" si="83"/>
        <v>1.7937762427926493E-8</v>
      </c>
      <c r="BA170" s="367">
        <f t="shared" si="83"/>
        <v>1.0762657456755894E-8</v>
      </c>
      <c r="BB170" s="367">
        <f t="shared" si="83"/>
        <v>6.4575944740535366E-9</v>
      </c>
      <c r="BC170" s="367">
        <f t="shared" si="83"/>
        <v>3.8745566844321218E-9</v>
      </c>
      <c r="BD170" s="367">
        <f t="shared" si="83"/>
        <v>2.3247340106592733E-9</v>
      </c>
      <c r="BE170" s="367">
        <f t="shared" si="83"/>
        <v>1.3948404063955639E-9</v>
      </c>
    </row>
    <row r="171" spans="1:57" s="347" customFormat="1" hidden="1" outlineLevel="1">
      <c r="A171" s="347" t="s">
        <v>134</v>
      </c>
      <c r="C171" s="367">
        <f>IF($C$116=1,C172,$C$116*(C170+C172*0.5))</f>
        <v>18.497628238417811</v>
      </c>
      <c r="D171" s="367">
        <f t="shared" ref="D171:BE171" si="84">IF($C$116=1,D172,$C$116*(D170+D172*0.5))</f>
        <v>27.440566446081245</v>
      </c>
      <c r="E171" s="367">
        <f t="shared" si="84"/>
        <v>34.8914163416934</v>
      </c>
      <c r="F171" s="367">
        <f t="shared" si="84"/>
        <v>40.079811354419661</v>
      </c>
      <c r="G171" s="367">
        <f t="shared" si="84"/>
        <v>40.694832701911317</v>
      </c>
      <c r="H171" s="367">
        <f t="shared" si="84"/>
        <v>34.92000412876309</v>
      </c>
      <c r="I171" s="367">
        <f t="shared" si="84"/>
        <v>24.849891259508681</v>
      </c>
      <c r="J171" s="367">
        <f t="shared" si="84"/>
        <v>14.909934755705207</v>
      </c>
      <c r="K171" s="367">
        <f t="shared" si="84"/>
        <v>8.9459608534231219</v>
      </c>
      <c r="L171" s="367">
        <f t="shared" si="84"/>
        <v>5.3675765120538736</v>
      </c>
      <c r="M171" s="367">
        <f t="shared" si="84"/>
        <v>3.2205459072323239</v>
      </c>
      <c r="N171" s="367">
        <f t="shared" si="84"/>
        <v>1.9323275443393939</v>
      </c>
      <c r="O171" s="367">
        <f t="shared" si="84"/>
        <v>1.1593965266036363</v>
      </c>
      <c r="P171" s="367">
        <f t="shared" si="84"/>
        <v>0.69563791596218183</v>
      </c>
      <c r="Q171" s="367">
        <f t="shared" si="84"/>
        <v>0.41738274957730914</v>
      </c>
      <c r="R171" s="367">
        <f t="shared" si="84"/>
        <v>0.25042964974638549</v>
      </c>
      <c r="S171" s="367">
        <f t="shared" si="84"/>
        <v>0.15025778984783128</v>
      </c>
      <c r="T171" s="367">
        <f t="shared" si="84"/>
        <v>9.015467390869876E-2</v>
      </c>
      <c r="U171" s="367">
        <f t="shared" si="84"/>
        <v>5.4092804345219264E-2</v>
      </c>
      <c r="V171" s="367">
        <f t="shared" si="84"/>
        <v>3.2455682607131553E-2</v>
      </c>
      <c r="W171" s="367">
        <f t="shared" si="84"/>
        <v>1.9473409564278933E-2</v>
      </c>
      <c r="X171" s="367">
        <f t="shared" si="84"/>
        <v>1.1684045738567359E-2</v>
      </c>
      <c r="Y171" s="367">
        <f t="shared" si="84"/>
        <v>7.0104274431404164E-3</v>
      </c>
      <c r="Z171" s="367">
        <f t="shared" si="84"/>
        <v>4.2062564658842489E-3</v>
      </c>
      <c r="AA171" s="367">
        <f t="shared" si="84"/>
        <v>2.5237538795305496E-3</v>
      </c>
      <c r="AB171" s="367">
        <f t="shared" si="84"/>
        <v>1.5142523277183297E-3</v>
      </c>
      <c r="AC171" s="367">
        <f t="shared" si="84"/>
        <v>9.0855139663099786E-4</v>
      </c>
      <c r="AD171" s="367">
        <f t="shared" si="84"/>
        <v>5.4513083797859874E-4</v>
      </c>
      <c r="AE171" s="367">
        <f t="shared" si="84"/>
        <v>3.270785027871592E-4</v>
      </c>
      <c r="AF171" s="367">
        <f t="shared" si="84"/>
        <v>1.9624710167229551E-4</v>
      </c>
      <c r="AG171" s="367">
        <f t="shared" si="84"/>
        <v>1.177482610033773E-4</v>
      </c>
      <c r="AH171" s="367">
        <f t="shared" si="84"/>
        <v>7.064895660202637E-5</v>
      </c>
      <c r="AI171" s="367">
        <f t="shared" si="84"/>
        <v>4.2389373961215825E-5</v>
      </c>
      <c r="AJ171" s="367">
        <f t="shared" si="84"/>
        <v>2.543362437672949E-5</v>
      </c>
      <c r="AK171" s="367">
        <f t="shared" si="84"/>
        <v>1.5260174626037693E-5</v>
      </c>
      <c r="AL171" s="367">
        <f t="shared" si="84"/>
        <v>9.1561047756226179E-6</v>
      </c>
      <c r="AM171" s="367">
        <f t="shared" si="84"/>
        <v>5.4936628653735694E-6</v>
      </c>
      <c r="AN171" s="367">
        <f t="shared" si="84"/>
        <v>3.2961977192241416E-6</v>
      </c>
      <c r="AO171" s="367">
        <f t="shared" si="84"/>
        <v>1.9777186315344851E-6</v>
      </c>
      <c r="AP171" s="367">
        <f t="shared" si="84"/>
        <v>1.1866311789206909E-6</v>
      </c>
      <c r="AQ171" s="367">
        <f t="shared" si="84"/>
        <v>7.1197870735241459E-7</v>
      </c>
      <c r="AR171" s="367">
        <f t="shared" si="84"/>
        <v>4.2718722441144879E-7</v>
      </c>
      <c r="AS171" s="367">
        <f t="shared" si="84"/>
        <v>2.5631233464686931E-7</v>
      </c>
      <c r="AT171" s="367">
        <f t="shared" si="84"/>
        <v>1.5378740078812156E-7</v>
      </c>
      <c r="AU171" s="367">
        <f t="shared" si="84"/>
        <v>9.227244047287294E-8</v>
      </c>
      <c r="AV171" s="367">
        <f t="shared" si="84"/>
        <v>5.5363464283723764E-8</v>
      </c>
      <c r="AW171" s="367">
        <f t="shared" si="84"/>
        <v>3.3218078570234258E-8</v>
      </c>
      <c r="AX171" s="367">
        <f t="shared" si="84"/>
        <v>1.9930847142140555E-8</v>
      </c>
      <c r="AY171" s="367">
        <f t="shared" si="84"/>
        <v>1.1958508285284331E-8</v>
      </c>
      <c r="AZ171" s="367">
        <f t="shared" si="84"/>
        <v>7.1751049711705977E-9</v>
      </c>
      <c r="BA171" s="367">
        <f t="shared" si="84"/>
        <v>4.3050629827023578E-9</v>
      </c>
      <c r="BB171" s="367">
        <f t="shared" si="84"/>
        <v>2.5830377896214148E-9</v>
      </c>
      <c r="BC171" s="367">
        <f t="shared" si="84"/>
        <v>1.5498226737728488E-9</v>
      </c>
      <c r="BD171" s="367">
        <f t="shared" si="84"/>
        <v>9.2989360426370939E-10</v>
      </c>
      <c r="BE171" s="367">
        <f t="shared" si="84"/>
        <v>5.5793616255822561E-10</v>
      </c>
    </row>
    <row r="172" spans="1:57" s="347" customFormat="1" hidden="1" outlineLevel="1">
      <c r="A172" s="347" t="s">
        <v>151</v>
      </c>
      <c r="C172" s="367">
        <f>C$134</f>
        <v>35.090722072477305</v>
      </c>
      <c r="D172" s="367">
        <f t="shared" ref="D172:BE172" si="85">D$134</f>
        <v>46.619225442675479</v>
      </c>
      <c r="E172" s="367">
        <f t="shared" si="85"/>
        <v>45.516156927547812</v>
      </c>
      <c r="F172" s="367">
        <f t="shared" si="85"/>
        <v>50.208650819470257</v>
      </c>
      <c r="G172" s="367">
        <f t="shared" si="85"/>
        <v>33.026078626827349</v>
      </c>
      <c r="H172" s="367">
        <f t="shared" si="85"/>
        <v>19.489443911254135</v>
      </c>
      <c r="I172" s="367">
        <f t="shared" si="85"/>
        <v>0</v>
      </c>
      <c r="J172" s="367">
        <f t="shared" si="85"/>
        <v>0</v>
      </c>
      <c r="K172" s="367">
        <f t="shared" si="85"/>
        <v>0</v>
      </c>
      <c r="L172" s="367">
        <f t="shared" si="85"/>
        <v>0</v>
      </c>
      <c r="M172" s="367">
        <f t="shared" si="85"/>
        <v>0</v>
      </c>
      <c r="N172" s="367">
        <f t="shared" si="85"/>
        <v>0</v>
      </c>
      <c r="O172" s="367">
        <f t="shared" si="85"/>
        <v>0</v>
      </c>
      <c r="P172" s="367">
        <f t="shared" si="85"/>
        <v>0</v>
      </c>
      <c r="Q172" s="367">
        <f t="shared" si="85"/>
        <v>0</v>
      </c>
      <c r="R172" s="367">
        <f t="shared" si="85"/>
        <v>0</v>
      </c>
      <c r="S172" s="367">
        <f t="shared" si="85"/>
        <v>0</v>
      </c>
      <c r="T172" s="367">
        <f t="shared" si="85"/>
        <v>0</v>
      </c>
      <c r="U172" s="367">
        <f t="shared" si="85"/>
        <v>0</v>
      </c>
      <c r="V172" s="367">
        <f t="shared" si="85"/>
        <v>0</v>
      </c>
      <c r="W172" s="367">
        <f t="shared" si="85"/>
        <v>0</v>
      </c>
      <c r="X172" s="367">
        <f t="shared" si="85"/>
        <v>0</v>
      </c>
      <c r="Y172" s="367">
        <f t="shared" si="85"/>
        <v>0</v>
      </c>
      <c r="Z172" s="367">
        <f t="shared" si="85"/>
        <v>0</v>
      </c>
      <c r="AA172" s="367">
        <f t="shared" si="85"/>
        <v>0</v>
      </c>
      <c r="AB172" s="367">
        <f t="shared" si="85"/>
        <v>0</v>
      </c>
      <c r="AC172" s="367">
        <f t="shared" si="85"/>
        <v>0</v>
      </c>
      <c r="AD172" s="367">
        <f t="shared" si="85"/>
        <v>0</v>
      </c>
      <c r="AE172" s="367">
        <f t="shared" si="85"/>
        <v>0</v>
      </c>
      <c r="AF172" s="367">
        <f t="shared" si="85"/>
        <v>0</v>
      </c>
      <c r="AG172" s="367">
        <f t="shared" si="85"/>
        <v>0</v>
      </c>
      <c r="AH172" s="367">
        <f t="shared" si="85"/>
        <v>0</v>
      </c>
      <c r="AI172" s="367">
        <f t="shared" si="85"/>
        <v>0</v>
      </c>
      <c r="AJ172" s="367">
        <f t="shared" si="85"/>
        <v>0</v>
      </c>
      <c r="AK172" s="367">
        <f t="shared" si="85"/>
        <v>0</v>
      </c>
      <c r="AL172" s="367">
        <f t="shared" si="85"/>
        <v>0</v>
      </c>
      <c r="AM172" s="367">
        <f t="shared" si="85"/>
        <v>0</v>
      </c>
      <c r="AN172" s="367">
        <f t="shared" si="85"/>
        <v>0</v>
      </c>
      <c r="AO172" s="367">
        <f t="shared" si="85"/>
        <v>0</v>
      </c>
      <c r="AP172" s="367">
        <f t="shared" si="85"/>
        <v>0</v>
      </c>
      <c r="AQ172" s="367">
        <f t="shared" si="85"/>
        <v>0</v>
      </c>
      <c r="AR172" s="367">
        <f t="shared" si="85"/>
        <v>0</v>
      </c>
      <c r="AS172" s="367">
        <f t="shared" si="85"/>
        <v>0</v>
      </c>
      <c r="AT172" s="367">
        <f t="shared" si="85"/>
        <v>0</v>
      </c>
      <c r="AU172" s="367">
        <f t="shared" si="85"/>
        <v>0</v>
      </c>
      <c r="AV172" s="367">
        <f t="shared" si="85"/>
        <v>0</v>
      </c>
      <c r="AW172" s="367">
        <f t="shared" si="85"/>
        <v>0</v>
      </c>
      <c r="AX172" s="367">
        <f t="shared" si="85"/>
        <v>0</v>
      </c>
      <c r="AY172" s="367">
        <f t="shared" si="85"/>
        <v>0</v>
      </c>
      <c r="AZ172" s="367">
        <f t="shared" si="85"/>
        <v>0</v>
      </c>
      <c r="BA172" s="367">
        <f t="shared" si="85"/>
        <v>0</v>
      </c>
      <c r="BB172" s="367">
        <f t="shared" si="85"/>
        <v>0</v>
      </c>
      <c r="BC172" s="367">
        <f t="shared" si="85"/>
        <v>0</v>
      </c>
      <c r="BD172" s="367">
        <f t="shared" si="85"/>
        <v>0</v>
      </c>
      <c r="BE172" s="367">
        <f t="shared" si="85"/>
        <v>0</v>
      </c>
    </row>
    <row r="173" spans="1:57" s="347" customFormat="1" hidden="1" outlineLevel="1">
      <c r="A173" s="347" t="s">
        <v>135</v>
      </c>
      <c r="B173" s="374">
        <f>C170</f>
        <v>28.69870955980587</v>
      </c>
      <c r="C173" s="368">
        <f>C170-C171+C172</f>
        <v>45.291803393865365</v>
      </c>
      <c r="D173" s="368">
        <f>D170-D171+D172</f>
        <v>64.470462390459602</v>
      </c>
      <c r="E173" s="368">
        <f>E170-E171+E172</f>
        <v>75.095202976314013</v>
      </c>
      <c r="F173" s="368">
        <f>F170-F171+F172</f>
        <v>85.224042441364617</v>
      </c>
      <c r="G173" s="368">
        <f>G170-G171+G172</f>
        <v>77.555288366280649</v>
      </c>
      <c r="H173" s="368">
        <f t="shared" ref="H173:BE173" si="86">H170-H171+H172</f>
        <v>62.124728148771695</v>
      </c>
      <c r="I173" s="368">
        <f t="shared" si="86"/>
        <v>37.274836889263014</v>
      </c>
      <c r="J173" s="368">
        <f t="shared" si="86"/>
        <v>22.364902133557806</v>
      </c>
      <c r="K173" s="368">
        <f t="shared" si="86"/>
        <v>13.418941280134684</v>
      </c>
      <c r="L173" s="368">
        <f t="shared" si="86"/>
        <v>8.0513647680808091</v>
      </c>
      <c r="M173" s="368">
        <f t="shared" si="86"/>
        <v>4.8308188608484848</v>
      </c>
      <c r="N173" s="368">
        <f t="shared" si="86"/>
        <v>2.8984913165090909</v>
      </c>
      <c r="O173" s="368">
        <f t="shared" si="86"/>
        <v>1.7390947899054545</v>
      </c>
      <c r="P173" s="368">
        <f t="shared" si="86"/>
        <v>1.0434568739432728</v>
      </c>
      <c r="Q173" s="368">
        <f t="shared" si="86"/>
        <v>0.62607412436596366</v>
      </c>
      <c r="R173" s="368">
        <f t="shared" si="86"/>
        <v>0.37564447461957817</v>
      </c>
      <c r="S173" s="368">
        <f t="shared" si="86"/>
        <v>0.22538668477174689</v>
      </c>
      <c r="T173" s="368">
        <f t="shared" si="86"/>
        <v>0.13523201086304815</v>
      </c>
      <c r="U173" s="368">
        <f t="shared" si="86"/>
        <v>8.1139206517828882E-2</v>
      </c>
      <c r="V173" s="368">
        <f t="shared" si="86"/>
        <v>4.8683523910697329E-2</v>
      </c>
      <c r="W173" s="368">
        <f t="shared" si="86"/>
        <v>2.9210114346418396E-2</v>
      </c>
      <c r="X173" s="368">
        <f t="shared" si="86"/>
        <v>1.7526068607851039E-2</v>
      </c>
      <c r="Y173" s="368">
        <f t="shared" si="86"/>
        <v>1.0515641164710623E-2</v>
      </c>
      <c r="Z173" s="368">
        <f t="shared" si="86"/>
        <v>6.3093846988263739E-3</v>
      </c>
      <c r="AA173" s="368">
        <f t="shared" si="86"/>
        <v>3.7856308192958242E-3</v>
      </c>
      <c r="AB173" s="368">
        <f t="shared" si="86"/>
        <v>2.2713784915774945E-3</v>
      </c>
      <c r="AC173" s="368">
        <f t="shared" si="86"/>
        <v>1.3628270949464967E-3</v>
      </c>
      <c r="AD173" s="368">
        <f t="shared" si="86"/>
        <v>8.1769625696789794E-4</v>
      </c>
      <c r="AE173" s="368">
        <f t="shared" si="86"/>
        <v>4.9061775418073874E-4</v>
      </c>
      <c r="AF173" s="368">
        <f t="shared" si="86"/>
        <v>2.9437065250844324E-4</v>
      </c>
      <c r="AG173" s="368">
        <f t="shared" si="86"/>
        <v>1.7662239150506592E-4</v>
      </c>
      <c r="AH173" s="368">
        <f t="shared" si="86"/>
        <v>1.0597343490303955E-4</v>
      </c>
      <c r="AI173" s="368">
        <f t="shared" si="86"/>
        <v>6.3584060941823724E-5</v>
      </c>
      <c r="AJ173" s="368">
        <f t="shared" si="86"/>
        <v>3.8150436565094234E-5</v>
      </c>
      <c r="AK173" s="368">
        <f t="shared" si="86"/>
        <v>2.2890261939056541E-5</v>
      </c>
      <c r="AL173" s="368">
        <f t="shared" si="86"/>
        <v>1.3734157163433923E-5</v>
      </c>
      <c r="AM173" s="368">
        <f t="shared" si="86"/>
        <v>8.240494298060354E-6</v>
      </c>
      <c r="AN173" s="368">
        <f t="shared" si="86"/>
        <v>4.9442965788362124E-6</v>
      </c>
      <c r="AO173" s="368">
        <f t="shared" si="86"/>
        <v>2.9665779473017274E-6</v>
      </c>
      <c r="AP173" s="368">
        <f t="shared" si="86"/>
        <v>1.7799467683810364E-6</v>
      </c>
      <c r="AQ173" s="368">
        <f t="shared" si="86"/>
        <v>1.0679680610286219E-6</v>
      </c>
      <c r="AR173" s="368">
        <f t="shared" si="86"/>
        <v>6.4078083661717321E-7</v>
      </c>
      <c r="AS173" s="368">
        <f t="shared" si="86"/>
        <v>3.8446850197030389E-7</v>
      </c>
      <c r="AT173" s="368">
        <f t="shared" si="86"/>
        <v>2.3068110118218233E-7</v>
      </c>
      <c r="AU173" s="368">
        <f t="shared" si="86"/>
        <v>1.384086607093094E-7</v>
      </c>
      <c r="AV173" s="368">
        <f t="shared" si="86"/>
        <v>8.3045196425585639E-8</v>
      </c>
      <c r="AW173" s="368">
        <f t="shared" si="86"/>
        <v>4.9827117855351381E-8</v>
      </c>
      <c r="AX173" s="368">
        <f t="shared" si="86"/>
        <v>2.9896270713210826E-8</v>
      </c>
      <c r="AY173" s="368">
        <f t="shared" si="86"/>
        <v>1.7937762427926493E-8</v>
      </c>
      <c r="AZ173" s="368">
        <f t="shared" si="86"/>
        <v>1.0762657456755894E-8</v>
      </c>
      <c r="BA173" s="368">
        <f t="shared" si="86"/>
        <v>6.4575944740535366E-9</v>
      </c>
      <c r="BB173" s="368">
        <f t="shared" si="86"/>
        <v>3.8745566844321218E-9</v>
      </c>
      <c r="BC173" s="368">
        <f t="shared" si="86"/>
        <v>2.3247340106592733E-9</v>
      </c>
      <c r="BD173" s="368">
        <f t="shared" si="86"/>
        <v>1.3948404063955639E-9</v>
      </c>
      <c r="BE173" s="368">
        <f t="shared" si="86"/>
        <v>8.3690424383733826E-10</v>
      </c>
    </row>
    <row r="174" spans="1:57" s="347" customFormat="1" hidden="1" outlineLevel="1">
      <c r="A174" s="365" t="s">
        <v>114</v>
      </c>
      <c r="B174" s="373"/>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c r="AM174" s="373"/>
      <c r="AN174" s="373"/>
      <c r="AO174" s="373"/>
      <c r="AP174" s="373"/>
      <c r="AQ174" s="373"/>
      <c r="AR174" s="373"/>
      <c r="AS174" s="373"/>
      <c r="AT174" s="373"/>
      <c r="AU174" s="373"/>
      <c r="AV174" s="373"/>
      <c r="AW174" s="373"/>
      <c r="AX174" s="373"/>
      <c r="AY174" s="373"/>
      <c r="AZ174" s="373"/>
      <c r="BA174" s="373"/>
      <c r="BB174" s="373"/>
      <c r="BC174" s="373"/>
      <c r="BD174" s="373"/>
      <c r="BE174" s="373"/>
    </row>
    <row r="175" spans="1:57" s="347" customFormat="1" hidden="1" outlineLevel="1">
      <c r="A175" s="347" t="s">
        <v>133</v>
      </c>
      <c r="C175" s="372">
        <f>B$117</f>
        <v>16.366938369851695</v>
      </c>
      <c r="D175" s="367">
        <f>C178</f>
        <v>17.287584006555942</v>
      </c>
      <c r="E175" s="367">
        <f>D178</f>
        <v>18.819880356681356</v>
      </c>
      <c r="F175" s="367">
        <f>E178</f>
        <v>21.475166794323407</v>
      </c>
      <c r="G175" s="367">
        <f>F178</f>
        <v>23.302615954820848</v>
      </c>
      <c r="H175" s="367">
        <f t="shared" ref="H175:BE175" si="87">G178</f>
        <v>23.713104677739551</v>
      </c>
      <c r="I175" s="367">
        <f t="shared" si="87"/>
        <v>22.792867680082999</v>
      </c>
      <c r="J175" s="367">
        <f t="shared" si="87"/>
        <v>18.770596913009527</v>
      </c>
      <c r="K175" s="367">
        <f t="shared" si="87"/>
        <v>15.45813863424314</v>
      </c>
      <c r="L175" s="367">
        <f t="shared" si="87"/>
        <v>12.730231816435527</v>
      </c>
      <c r="M175" s="367">
        <f t="shared" si="87"/>
        <v>10.483720319417493</v>
      </c>
      <c r="N175" s="367">
        <f t="shared" si="87"/>
        <v>8.6336520277555824</v>
      </c>
      <c r="O175" s="367">
        <f t="shared" si="87"/>
        <v>7.1100663757987146</v>
      </c>
      <c r="P175" s="367">
        <f t="shared" si="87"/>
        <v>5.8553487800695301</v>
      </c>
      <c r="Q175" s="367">
        <f t="shared" si="87"/>
        <v>4.8220519365278482</v>
      </c>
      <c r="R175" s="367">
        <f t="shared" si="87"/>
        <v>3.9711015947876396</v>
      </c>
      <c r="S175" s="367">
        <f t="shared" si="87"/>
        <v>3.2703189604133502</v>
      </c>
      <c r="T175" s="367">
        <f t="shared" si="87"/>
        <v>2.6932038497521709</v>
      </c>
      <c r="U175" s="367">
        <f t="shared" si="87"/>
        <v>2.2179325821488467</v>
      </c>
      <c r="V175" s="367">
        <f t="shared" si="87"/>
        <v>1.826532714710815</v>
      </c>
      <c r="W175" s="367">
        <f t="shared" si="87"/>
        <v>1.5042034121147889</v>
      </c>
      <c r="X175" s="367">
        <f t="shared" si="87"/>
        <v>1.2387557511533556</v>
      </c>
      <c r="Y175" s="367">
        <f t="shared" si="87"/>
        <v>1.0201517950674692</v>
      </c>
      <c r="Z175" s="367">
        <f t="shared" si="87"/>
        <v>0.84012500770262166</v>
      </c>
      <c r="AA175" s="367">
        <f t="shared" si="87"/>
        <v>0.69186765340215906</v>
      </c>
      <c r="AB175" s="367">
        <f t="shared" si="87"/>
        <v>0.56977336162530745</v>
      </c>
      <c r="AC175" s="367">
        <f t="shared" si="87"/>
        <v>0.46922512133848848</v>
      </c>
      <c r="AD175" s="367">
        <f t="shared" si="87"/>
        <v>0.38642068816110819</v>
      </c>
      <c r="AE175" s="367">
        <f t="shared" si="87"/>
        <v>0.31822880201503029</v>
      </c>
      <c r="AF175" s="367">
        <f t="shared" si="87"/>
        <v>0.26207077813002494</v>
      </c>
      <c r="AG175" s="367">
        <f t="shared" si="87"/>
        <v>0.21582299375413819</v>
      </c>
      <c r="AH175" s="367">
        <f t="shared" si="87"/>
        <v>0.17773658309164322</v>
      </c>
      <c r="AI175" s="367">
        <f t="shared" si="87"/>
        <v>0.14637130372252971</v>
      </c>
      <c r="AJ175" s="367">
        <f t="shared" si="87"/>
        <v>0.120541073653848</v>
      </c>
      <c r="AK175" s="367">
        <f t="shared" si="87"/>
        <v>9.9269119479639539E-2</v>
      </c>
      <c r="AL175" s="367">
        <f t="shared" si="87"/>
        <v>8.1751039571467857E-2</v>
      </c>
      <c r="AM175" s="367">
        <f t="shared" si="87"/>
        <v>6.7324385529444114E-2</v>
      </c>
      <c r="AN175" s="367">
        <f t="shared" si="87"/>
        <v>5.5443611612483387E-2</v>
      </c>
      <c r="AO175" s="367">
        <f t="shared" si="87"/>
        <v>4.5659444857339263E-2</v>
      </c>
      <c r="AP175" s="367">
        <f t="shared" si="87"/>
        <v>3.7601895764867631E-2</v>
      </c>
      <c r="AQ175" s="367">
        <f t="shared" si="87"/>
        <v>3.0966267100479228E-2</v>
      </c>
      <c r="AR175" s="367">
        <f t="shared" si="87"/>
        <v>2.5501631729806424E-2</v>
      </c>
      <c r="AS175" s="367">
        <f t="shared" si="87"/>
        <v>2.1001343777487642E-2</v>
      </c>
      <c r="AT175" s="367">
        <f t="shared" si="87"/>
        <v>1.7295224287342766E-2</v>
      </c>
      <c r="AU175" s="367">
        <f t="shared" si="87"/>
        <v>1.4243125883694042E-2</v>
      </c>
      <c r="AV175" s="367">
        <f t="shared" si="87"/>
        <v>1.1729633080689212E-2</v>
      </c>
      <c r="AW175" s="367">
        <f t="shared" si="87"/>
        <v>9.6596978311558213E-3</v>
      </c>
      <c r="AX175" s="367">
        <f t="shared" si="87"/>
        <v>7.9550452727165585E-3</v>
      </c>
      <c r="AY175" s="367">
        <f t="shared" si="87"/>
        <v>6.5512137540018715E-3</v>
      </c>
      <c r="AZ175" s="367">
        <f t="shared" si="87"/>
        <v>5.3951172091780122E-3</v>
      </c>
      <c r="BA175" s="367">
        <f t="shared" si="87"/>
        <v>4.4430377016760102E-3</v>
      </c>
      <c r="BB175" s="367">
        <f t="shared" si="87"/>
        <v>3.6589722249096555E-3</v>
      </c>
      <c r="BC175" s="367">
        <f t="shared" si="87"/>
        <v>3.0132712440432458E-3</v>
      </c>
      <c r="BD175" s="367">
        <f t="shared" si="87"/>
        <v>2.4815174950944376E-3</v>
      </c>
      <c r="BE175" s="367">
        <f t="shared" si="87"/>
        <v>2.0436026430189487E-3</v>
      </c>
    </row>
    <row r="176" spans="1:57" s="347" customFormat="1" hidden="1" outlineLevel="1">
      <c r="A176" s="347" t="s">
        <v>134</v>
      </c>
      <c r="C176" s="367">
        <f>IF($C$117=1,C177,$C$117*(C175+C177*0.5))</f>
        <v>3.2568892622329964</v>
      </c>
      <c r="D176" s="367">
        <f t="shared" ref="D176:BE176" si="88">IF($C$117=1,D177,$C$117*(D175+D177*0.5))</f>
        <v>3.4942707448294157</v>
      </c>
      <c r="E176" s="367">
        <f t="shared" si="88"/>
        <v>3.8995206920327181</v>
      </c>
      <c r="F176" s="367">
        <f t="shared" si="88"/>
        <v>4.3333338144333151</v>
      </c>
      <c r="G176" s="367">
        <f t="shared" si="88"/>
        <v>4.549908448312296</v>
      </c>
      <c r="H176" s="367">
        <f t="shared" si="88"/>
        <v>4.5005779701118591</v>
      </c>
      <c r="I176" s="367">
        <f t="shared" si="88"/>
        <v>4.0222707670734703</v>
      </c>
      <c r="J176" s="367">
        <f t="shared" si="88"/>
        <v>3.3124582787663868</v>
      </c>
      <c r="K176" s="367">
        <f t="shared" si="88"/>
        <v>2.7279068178076127</v>
      </c>
      <c r="L176" s="367">
        <f t="shared" si="88"/>
        <v>2.2465114970180338</v>
      </c>
      <c r="M176" s="367">
        <f t="shared" si="88"/>
        <v>1.8500682916619104</v>
      </c>
      <c r="N176" s="367">
        <f t="shared" si="88"/>
        <v>1.5235856519568673</v>
      </c>
      <c r="O176" s="367">
        <f t="shared" si="88"/>
        <v>1.2547175957291847</v>
      </c>
      <c r="P176" s="367">
        <f t="shared" si="88"/>
        <v>1.0332968435416816</v>
      </c>
      <c r="Q176" s="367">
        <f t="shared" si="88"/>
        <v>0.85095034174020845</v>
      </c>
      <c r="R176" s="367">
        <f t="shared" si="88"/>
        <v>0.70078263437428923</v>
      </c>
      <c r="S176" s="367">
        <f t="shared" si="88"/>
        <v>0.57711511066117938</v>
      </c>
      <c r="T176" s="367">
        <f t="shared" si="88"/>
        <v>0.47527126760332422</v>
      </c>
      <c r="U176" s="367">
        <f t="shared" si="88"/>
        <v>0.39139986743803173</v>
      </c>
      <c r="V176" s="367">
        <f t="shared" si="88"/>
        <v>0.32232930259602616</v>
      </c>
      <c r="W176" s="367">
        <f t="shared" si="88"/>
        <v>0.2654476609614333</v>
      </c>
      <c r="X176" s="367">
        <f t="shared" si="88"/>
        <v>0.21860395608588626</v>
      </c>
      <c r="Y176" s="367">
        <f t="shared" si="88"/>
        <v>0.18002678736484751</v>
      </c>
      <c r="Z176" s="367">
        <f t="shared" si="88"/>
        <v>0.14825735430046263</v>
      </c>
      <c r="AA176" s="367">
        <f t="shared" si="88"/>
        <v>0.12209429177685159</v>
      </c>
      <c r="AB176" s="367">
        <f t="shared" si="88"/>
        <v>0.10054824028681895</v>
      </c>
      <c r="AC176" s="367">
        <f t="shared" si="88"/>
        <v>8.2804433177380316E-2</v>
      </c>
      <c r="AD176" s="367">
        <f t="shared" si="88"/>
        <v>6.8191886146077907E-2</v>
      </c>
      <c r="AE176" s="367">
        <f t="shared" si="88"/>
        <v>5.6158023885005341E-2</v>
      </c>
      <c r="AF176" s="367">
        <f t="shared" si="88"/>
        <v>4.6247784375886752E-2</v>
      </c>
      <c r="AG176" s="367">
        <f t="shared" si="88"/>
        <v>3.808641066249497E-2</v>
      </c>
      <c r="AH176" s="367">
        <f t="shared" si="88"/>
        <v>3.1365279369113507E-2</v>
      </c>
      <c r="AI176" s="367">
        <f t="shared" si="88"/>
        <v>2.5830230068681712E-2</v>
      </c>
      <c r="AJ176" s="367">
        <f t="shared" si="88"/>
        <v>2.127195417420847E-2</v>
      </c>
      <c r="AK176" s="367">
        <f t="shared" si="88"/>
        <v>1.7518079908171683E-2</v>
      </c>
      <c r="AL176" s="367">
        <f t="shared" si="88"/>
        <v>1.4426654042023737E-2</v>
      </c>
      <c r="AM176" s="367">
        <f t="shared" si="88"/>
        <v>1.1880773916960725E-2</v>
      </c>
      <c r="AN176" s="367">
        <f t="shared" si="88"/>
        <v>9.7841667551441264E-3</v>
      </c>
      <c r="AO176" s="367">
        <f t="shared" si="88"/>
        <v>8.0575490924716334E-3</v>
      </c>
      <c r="AP176" s="367">
        <f t="shared" si="88"/>
        <v>6.6356286643884047E-3</v>
      </c>
      <c r="AQ176" s="367">
        <f t="shared" si="88"/>
        <v>5.4646353706728048E-3</v>
      </c>
      <c r="AR176" s="367">
        <f t="shared" si="88"/>
        <v>4.5002879523187806E-3</v>
      </c>
      <c r="AS176" s="367">
        <f t="shared" si="88"/>
        <v>3.7061194901448777E-3</v>
      </c>
      <c r="AT176" s="367">
        <f t="shared" si="88"/>
        <v>3.052098403648723E-3</v>
      </c>
      <c r="AU176" s="367">
        <f t="shared" si="88"/>
        <v>2.5134928030048306E-3</v>
      </c>
      <c r="AV176" s="367">
        <f t="shared" si="88"/>
        <v>2.0699352495333902E-3</v>
      </c>
      <c r="AW176" s="367">
        <f t="shared" si="88"/>
        <v>1.7046525584392624E-3</v>
      </c>
      <c r="AX176" s="367">
        <f t="shared" si="88"/>
        <v>1.4038315187146866E-3</v>
      </c>
      <c r="AY176" s="367">
        <f t="shared" si="88"/>
        <v>1.1560965448238595E-3</v>
      </c>
      <c r="AZ176" s="367">
        <f t="shared" si="88"/>
        <v>9.5207950750200211E-4</v>
      </c>
      <c r="BA176" s="367">
        <f t="shared" si="88"/>
        <v>7.8406547676635472E-4</v>
      </c>
      <c r="BB176" s="367">
        <f t="shared" si="88"/>
        <v>6.4570098086640972E-4</v>
      </c>
      <c r="BC176" s="367">
        <f t="shared" si="88"/>
        <v>5.3175374894880807E-4</v>
      </c>
      <c r="BD176" s="367">
        <f t="shared" si="88"/>
        <v>4.3791485207548896E-4</v>
      </c>
      <c r="BE176" s="367">
        <f t="shared" si="88"/>
        <v>3.6063576053275563E-4</v>
      </c>
    </row>
    <row r="177" spans="1:57" s="347" customFormat="1" hidden="1" outlineLevel="1">
      <c r="A177" s="347" t="s">
        <v>151</v>
      </c>
      <c r="C177" s="367">
        <f>C$135</f>
        <v>4.1775348989372425</v>
      </c>
      <c r="D177" s="367">
        <f t="shared" ref="D177:BE177" si="89">D$135</f>
        <v>5.0265670949548289</v>
      </c>
      <c r="E177" s="367">
        <f t="shared" si="89"/>
        <v>6.5548071296747672</v>
      </c>
      <c r="F177" s="367">
        <f t="shared" si="89"/>
        <v>6.1607829749307585</v>
      </c>
      <c r="G177" s="367">
        <f t="shared" si="89"/>
        <v>4.9603971712309995</v>
      </c>
      <c r="H177" s="367">
        <f t="shared" si="89"/>
        <v>3.5803409724553061</v>
      </c>
      <c r="I177" s="367">
        <f t="shared" si="89"/>
        <v>0</v>
      </c>
      <c r="J177" s="367">
        <f t="shared" si="89"/>
        <v>0</v>
      </c>
      <c r="K177" s="367">
        <f t="shared" si="89"/>
        <v>0</v>
      </c>
      <c r="L177" s="367">
        <f t="shared" si="89"/>
        <v>0</v>
      </c>
      <c r="M177" s="367">
        <f t="shared" si="89"/>
        <v>0</v>
      </c>
      <c r="N177" s="367">
        <f t="shared" si="89"/>
        <v>0</v>
      </c>
      <c r="O177" s="367">
        <f t="shared" si="89"/>
        <v>0</v>
      </c>
      <c r="P177" s="367">
        <f t="shared" si="89"/>
        <v>0</v>
      </c>
      <c r="Q177" s="367">
        <f t="shared" si="89"/>
        <v>0</v>
      </c>
      <c r="R177" s="367">
        <f t="shared" si="89"/>
        <v>0</v>
      </c>
      <c r="S177" s="367">
        <f t="shared" si="89"/>
        <v>0</v>
      </c>
      <c r="T177" s="367">
        <f t="shared" si="89"/>
        <v>0</v>
      </c>
      <c r="U177" s="367">
        <f t="shared" si="89"/>
        <v>0</v>
      </c>
      <c r="V177" s="367">
        <f t="shared" si="89"/>
        <v>0</v>
      </c>
      <c r="W177" s="367">
        <f t="shared" si="89"/>
        <v>0</v>
      </c>
      <c r="X177" s="367">
        <f t="shared" si="89"/>
        <v>0</v>
      </c>
      <c r="Y177" s="367">
        <f t="shared" si="89"/>
        <v>0</v>
      </c>
      <c r="Z177" s="367">
        <f t="shared" si="89"/>
        <v>0</v>
      </c>
      <c r="AA177" s="367">
        <f t="shared" si="89"/>
        <v>0</v>
      </c>
      <c r="AB177" s="367">
        <f t="shared" si="89"/>
        <v>0</v>
      </c>
      <c r="AC177" s="367">
        <f t="shared" si="89"/>
        <v>0</v>
      </c>
      <c r="AD177" s="367">
        <f t="shared" si="89"/>
        <v>0</v>
      </c>
      <c r="AE177" s="367">
        <f t="shared" si="89"/>
        <v>0</v>
      </c>
      <c r="AF177" s="367">
        <f t="shared" si="89"/>
        <v>0</v>
      </c>
      <c r="AG177" s="367">
        <f t="shared" si="89"/>
        <v>0</v>
      </c>
      <c r="AH177" s="367">
        <f t="shared" si="89"/>
        <v>0</v>
      </c>
      <c r="AI177" s="367">
        <f t="shared" si="89"/>
        <v>0</v>
      </c>
      <c r="AJ177" s="367">
        <f t="shared" si="89"/>
        <v>0</v>
      </c>
      <c r="AK177" s="367">
        <f t="shared" si="89"/>
        <v>0</v>
      </c>
      <c r="AL177" s="367">
        <f t="shared" si="89"/>
        <v>0</v>
      </c>
      <c r="AM177" s="367">
        <f t="shared" si="89"/>
        <v>0</v>
      </c>
      <c r="AN177" s="367">
        <f t="shared" si="89"/>
        <v>0</v>
      </c>
      <c r="AO177" s="367">
        <f t="shared" si="89"/>
        <v>0</v>
      </c>
      <c r="AP177" s="367">
        <f t="shared" si="89"/>
        <v>0</v>
      </c>
      <c r="AQ177" s="367">
        <f t="shared" si="89"/>
        <v>0</v>
      </c>
      <c r="AR177" s="367">
        <f t="shared" si="89"/>
        <v>0</v>
      </c>
      <c r="AS177" s="367">
        <f t="shared" si="89"/>
        <v>0</v>
      </c>
      <c r="AT177" s="367">
        <f t="shared" si="89"/>
        <v>0</v>
      </c>
      <c r="AU177" s="367">
        <f t="shared" si="89"/>
        <v>0</v>
      </c>
      <c r="AV177" s="367">
        <f t="shared" si="89"/>
        <v>0</v>
      </c>
      <c r="AW177" s="367">
        <f t="shared" si="89"/>
        <v>0</v>
      </c>
      <c r="AX177" s="367">
        <f t="shared" si="89"/>
        <v>0</v>
      </c>
      <c r="AY177" s="367">
        <f t="shared" si="89"/>
        <v>0</v>
      </c>
      <c r="AZ177" s="367">
        <f t="shared" si="89"/>
        <v>0</v>
      </c>
      <c r="BA177" s="367">
        <f t="shared" si="89"/>
        <v>0</v>
      </c>
      <c r="BB177" s="367">
        <f t="shared" si="89"/>
        <v>0</v>
      </c>
      <c r="BC177" s="367">
        <f t="shared" si="89"/>
        <v>0</v>
      </c>
      <c r="BD177" s="367">
        <f t="shared" si="89"/>
        <v>0</v>
      </c>
      <c r="BE177" s="367">
        <f t="shared" si="89"/>
        <v>0</v>
      </c>
    </row>
    <row r="178" spans="1:57" s="347" customFormat="1" hidden="1" outlineLevel="1">
      <c r="A178" s="347" t="s">
        <v>135</v>
      </c>
      <c r="B178" s="374">
        <f>C175</f>
        <v>16.366938369851695</v>
      </c>
      <c r="C178" s="368">
        <f>C175-C176+C177</f>
        <v>17.287584006555942</v>
      </c>
      <c r="D178" s="368">
        <f>D175-D176+D177</f>
        <v>18.819880356681356</v>
      </c>
      <c r="E178" s="368">
        <f>E175-E176+E177</f>
        <v>21.475166794323407</v>
      </c>
      <c r="F178" s="368">
        <f>F175-F176+F177</f>
        <v>23.302615954820848</v>
      </c>
      <c r="G178" s="368">
        <f>G175-G176+G177</f>
        <v>23.713104677739551</v>
      </c>
      <c r="H178" s="368">
        <f t="shared" ref="H178:BE178" si="90">H175-H176+H177</f>
        <v>22.792867680082999</v>
      </c>
      <c r="I178" s="368">
        <f t="shared" si="90"/>
        <v>18.770596913009527</v>
      </c>
      <c r="J178" s="368">
        <f t="shared" si="90"/>
        <v>15.45813863424314</v>
      </c>
      <c r="K178" s="368">
        <f t="shared" si="90"/>
        <v>12.730231816435527</v>
      </c>
      <c r="L178" s="368">
        <f t="shared" si="90"/>
        <v>10.483720319417493</v>
      </c>
      <c r="M178" s="368">
        <f t="shared" si="90"/>
        <v>8.6336520277555824</v>
      </c>
      <c r="N178" s="368">
        <f t="shared" si="90"/>
        <v>7.1100663757987146</v>
      </c>
      <c r="O178" s="368">
        <f t="shared" si="90"/>
        <v>5.8553487800695301</v>
      </c>
      <c r="P178" s="368">
        <f t="shared" si="90"/>
        <v>4.8220519365278482</v>
      </c>
      <c r="Q178" s="368">
        <f t="shared" si="90"/>
        <v>3.9711015947876396</v>
      </c>
      <c r="R178" s="368">
        <f t="shared" si="90"/>
        <v>3.2703189604133502</v>
      </c>
      <c r="S178" s="368">
        <f t="shared" si="90"/>
        <v>2.6932038497521709</v>
      </c>
      <c r="T178" s="368">
        <f t="shared" si="90"/>
        <v>2.2179325821488467</v>
      </c>
      <c r="U178" s="368">
        <f t="shared" si="90"/>
        <v>1.826532714710815</v>
      </c>
      <c r="V178" s="368">
        <f t="shared" si="90"/>
        <v>1.5042034121147889</v>
      </c>
      <c r="W178" s="368">
        <f t="shared" si="90"/>
        <v>1.2387557511533556</v>
      </c>
      <c r="X178" s="368">
        <f t="shared" si="90"/>
        <v>1.0201517950674692</v>
      </c>
      <c r="Y178" s="368">
        <f t="shared" si="90"/>
        <v>0.84012500770262166</v>
      </c>
      <c r="Z178" s="368">
        <f t="shared" si="90"/>
        <v>0.69186765340215906</v>
      </c>
      <c r="AA178" s="368">
        <f t="shared" si="90"/>
        <v>0.56977336162530745</v>
      </c>
      <c r="AB178" s="368">
        <f t="shared" si="90"/>
        <v>0.46922512133848848</v>
      </c>
      <c r="AC178" s="368">
        <f t="shared" si="90"/>
        <v>0.38642068816110819</v>
      </c>
      <c r="AD178" s="368">
        <f t="shared" si="90"/>
        <v>0.31822880201503029</v>
      </c>
      <c r="AE178" s="368">
        <f t="shared" si="90"/>
        <v>0.26207077813002494</v>
      </c>
      <c r="AF178" s="368">
        <f t="shared" si="90"/>
        <v>0.21582299375413819</v>
      </c>
      <c r="AG178" s="368">
        <f t="shared" si="90"/>
        <v>0.17773658309164322</v>
      </c>
      <c r="AH178" s="368">
        <f t="shared" si="90"/>
        <v>0.14637130372252971</v>
      </c>
      <c r="AI178" s="368">
        <f t="shared" si="90"/>
        <v>0.120541073653848</v>
      </c>
      <c r="AJ178" s="368">
        <f t="shared" si="90"/>
        <v>9.9269119479639539E-2</v>
      </c>
      <c r="AK178" s="368">
        <f t="shared" si="90"/>
        <v>8.1751039571467857E-2</v>
      </c>
      <c r="AL178" s="368">
        <f t="shared" si="90"/>
        <v>6.7324385529444114E-2</v>
      </c>
      <c r="AM178" s="368">
        <f t="shared" si="90"/>
        <v>5.5443611612483387E-2</v>
      </c>
      <c r="AN178" s="368">
        <f t="shared" si="90"/>
        <v>4.5659444857339263E-2</v>
      </c>
      <c r="AO178" s="368">
        <f t="shared" si="90"/>
        <v>3.7601895764867631E-2</v>
      </c>
      <c r="AP178" s="368">
        <f t="shared" si="90"/>
        <v>3.0966267100479228E-2</v>
      </c>
      <c r="AQ178" s="368">
        <f t="shared" si="90"/>
        <v>2.5501631729806424E-2</v>
      </c>
      <c r="AR178" s="368">
        <f t="shared" si="90"/>
        <v>2.1001343777487642E-2</v>
      </c>
      <c r="AS178" s="368">
        <f t="shared" si="90"/>
        <v>1.7295224287342766E-2</v>
      </c>
      <c r="AT178" s="368">
        <f t="shared" si="90"/>
        <v>1.4243125883694042E-2</v>
      </c>
      <c r="AU178" s="368">
        <f t="shared" si="90"/>
        <v>1.1729633080689212E-2</v>
      </c>
      <c r="AV178" s="368">
        <f t="shared" si="90"/>
        <v>9.6596978311558213E-3</v>
      </c>
      <c r="AW178" s="368">
        <f t="shared" si="90"/>
        <v>7.9550452727165585E-3</v>
      </c>
      <c r="AX178" s="368">
        <f t="shared" si="90"/>
        <v>6.5512137540018715E-3</v>
      </c>
      <c r="AY178" s="368">
        <f t="shared" si="90"/>
        <v>5.3951172091780122E-3</v>
      </c>
      <c r="AZ178" s="368">
        <f t="shared" si="90"/>
        <v>4.4430377016760102E-3</v>
      </c>
      <c r="BA178" s="368">
        <f t="shared" si="90"/>
        <v>3.6589722249096555E-3</v>
      </c>
      <c r="BB178" s="368">
        <f t="shared" si="90"/>
        <v>3.0132712440432458E-3</v>
      </c>
      <c r="BC178" s="368">
        <f t="shared" si="90"/>
        <v>2.4815174950944376E-3</v>
      </c>
      <c r="BD178" s="368">
        <f t="shared" si="90"/>
        <v>2.0436026430189487E-3</v>
      </c>
      <c r="BE178" s="368">
        <f t="shared" si="90"/>
        <v>1.682966882486193E-3</v>
      </c>
    </row>
    <row r="179" spans="1:57" s="347" customFormat="1" collapsed="1">
      <c r="A179" s="369" t="s">
        <v>152</v>
      </c>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c r="AU179" s="373"/>
      <c r="AV179" s="373"/>
      <c r="AW179" s="373"/>
      <c r="AX179" s="373"/>
      <c r="AY179" s="373"/>
      <c r="AZ179" s="373"/>
      <c r="BA179" s="373"/>
      <c r="BB179" s="373"/>
      <c r="BC179" s="373"/>
      <c r="BD179" s="373"/>
      <c r="BE179" s="373"/>
    </row>
    <row r="180" spans="1:57" s="347" customFormat="1">
      <c r="A180" s="347" t="s">
        <v>133</v>
      </c>
      <c r="C180" s="367">
        <f>C140+C145+C150+C155+C160+C165+C170+C175</f>
        <v>535.42585368994253</v>
      </c>
      <c r="D180" s="367">
        <f>D140+D145+D150+D155+D160+D165+D170+D175</f>
        <v>717.51907507264991</v>
      </c>
      <c r="E180" s="367">
        <f>E140+E145+E150+E155+E160+E165+E170+E175</f>
        <v>914.86516951421186</v>
      </c>
      <c r="F180" s="367">
        <f>F140+F145+F150+F155+F160+F165+F170+F175</f>
        <v>1124.1719253801175</v>
      </c>
      <c r="G180" s="367">
        <f>G140+G145+G150+G155+G160+G165+G170+G175</f>
        <v>1359.8473679947219</v>
      </c>
      <c r="H180" s="367">
        <f t="shared" ref="H180:BE183" si="91">H140+H145+H150+H155+H160+H165+H170+H175</f>
        <v>1592.9855784659708</v>
      </c>
      <c r="I180" s="367">
        <f t="shared" si="91"/>
        <v>1793.1414704479116</v>
      </c>
      <c r="J180" s="367">
        <f t="shared" si="91"/>
        <v>1661.3263454301728</v>
      </c>
      <c r="K180" s="367">
        <f t="shared" si="91"/>
        <v>1547.7401087248302</v>
      </c>
      <c r="L180" s="367">
        <f t="shared" si="91"/>
        <v>1447.6322118501387</v>
      </c>
      <c r="M180" s="367">
        <f t="shared" si="91"/>
        <v>1357.9251904542625</v>
      </c>
      <c r="N180" s="367">
        <f t="shared" si="91"/>
        <v>1276.5687213877022</v>
      </c>
      <c r="O180" s="367">
        <f t="shared" si="91"/>
        <v>1202.1494125837462</v>
      </c>
      <c r="P180" s="367">
        <f t="shared" si="91"/>
        <v>1133.6543612368296</v>
      </c>
      <c r="Q180" s="367">
        <f t="shared" si="91"/>
        <v>1070.3272570446181</v>
      </c>
      <c r="R180" s="367">
        <f t="shared" si="91"/>
        <v>1011.5802585705044</v>
      </c>
      <c r="S180" s="367">
        <f t="shared" si="91"/>
        <v>956.93954706424222</v>
      </c>
      <c r="T180" s="367">
        <f t="shared" si="91"/>
        <v>906.01127250128638</v>
      </c>
      <c r="U180" s="367">
        <f t="shared" si="91"/>
        <v>858.45989679555339</v>
      </c>
      <c r="V180" s="367">
        <f t="shared" si="91"/>
        <v>813.99411659867258</v>
      </c>
      <c r="W180" s="367">
        <f t="shared" si="91"/>
        <v>772.35745741307562</v>
      </c>
      <c r="X180" s="367">
        <f t="shared" si="91"/>
        <v>733.32177875150148</v>
      </c>
      <c r="Y180" s="367">
        <f t="shared" si="91"/>
        <v>696.68262093946726</v>
      </c>
      <c r="Z180" s="367">
        <f t="shared" si="91"/>
        <v>662.25574043633458</v>
      </c>
      <c r="AA180" s="367">
        <f t="shared" si="91"/>
        <v>629.87443182530603</v>
      </c>
      <c r="AB180" s="367">
        <f t="shared" si="91"/>
        <v>599.38738668027429</v>
      </c>
      <c r="AC180" s="367">
        <f t="shared" si="91"/>
        <v>570.65693186304816</v>
      </c>
      <c r="AD180" s="367">
        <f t="shared" si="91"/>
        <v>543.55754616855688</v>
      </c>
      <c r="AE180" s="367">
        <f t="shared" si="91"/>
        <v>517.97458887959101</v>
      </c>
      <c r="AF180" s="367">
        <f t="shared" si="91"/>
        <v>493.80319529268564</v>
      </c>
      <c r="AG180" s="367">
        <f t="shared" si="91"/>
        <v>470.9473077949977</v>
      </c>
      <c r="AH180" s="367">
        <f t="shared" si="91"/>
        <v>449.31881971954613</v>
      </c>
      <c r="AI180" s="367">
        <f t="shared" si="91"/>
        <v>428.83681486128381</v>
      </c>
      <c r="AJ180" s="367">
        <f t="shared" si="91"/>
        <v>409.42688933603949</v>
      </c>
      <c r="AK180" s="367">
        <f t="shared" si="91"/>
        <v>391.02054509891502</v>
      </c>
      <c r="AL180" s="367">
        <f t="shared" si="91"/>
        <v>373.55464632969858</v>
      </c>
      <c r="AM180" s="367">
        <f t="shared" si="91"/>
        <v>356.97093129918085</v>
      </c>
      <c r="AN180" s="367">
        <f t="shared" si="91"/>
        <v>341.21557341248268</v>
      </c>
      <c r="AO180" s="367">
        <f t="shared" si="91"/>
        <v>326.23878598436988</v>
      </c>
      <c r="AP180" s="367">
        <f t="shared" si="91"/>
        <v>311.99446600127987</v>
      </c>
      <c r="AQ180" s="367">
        <f t="shared" si="91"/>
        <v>298.43987270720362</v>
      </c>
      <c r="AR180" s="367">
        <f t="shared" si="91"/>
        <v>285.53533734354698</v>
      </c>
      <c r="AS180" s="367">
        <f t="shared" si="91"/>
        <v>273.24400079574264</v>
      </c>
      <c r="AT180" s="367">
        <f t="shared" si="91"/>
        <v>261.53157626527297</v>
      </c>
      <c r="AU180" s="367">
        <f t="shared" si="91"/>
        <v>250.36613440482341</v>
      </c>
      <c r="AV180" s="367">
        <f t="shared" si="91"/>
        <v>239.71790863401961</v>
      </c>
      <c r="AW180" s="367">
        <f t="shared" si="91"/>
        <v>229.55911859948716</v>
      </c>
      <c r="AX180" s="367">
        <f t="shared" si="91"/>
        <v>219.86380996048985</v>
      </c>
      <c r="AY180" s="367">
        <f t="shared" si="91"/>
        <v>210.60770887399599</v>
      </c>
      <c r="AZ180" s="367">
        <f t="shared" si="91"/>
        <v>201.76808972389293</v>
      </c>
      <c r="BA180" s="367">
        <f t="shared" si="91"/>
        <v>193.32365479091314</v>
      </c>
      <c r="BB180" s="367">
        <f t="shared" si="91"/>
        <v>185.25442469496076</v>
      </c>
      <c r="BC180" s="367">
        <f t="shared" si="91"/>
        <v>177.54163856192045</v>
      </c>
      <c r="BD180" s="367">
        <f t="shared" si="91"/>
        <v>170.16766297440685</v>
      </c>
      <c r="BE180" s="367">
        <f t="shared" si="91"/>
        <v>163.11590886177288</v>
      </c>
    </row>
    <row r="181" spans="1:57" s="347" customFormat="1">
      <c r="A181" s="347" t="s">
        <v>134</v>
      </c>
      <c r="C181" s="367">
        <f>C141+C146+C151+C156+C161+C166+C171+C176</f>
        <v>89.3925314986286</v>
      </c>
      <c r="D181" s="367">
        <f t="shared" ref="D181:G183" si="92">D141+D146+D151+D156+D161+D166+D171+D176</f>
        <v>92.008981007894846</v>
      </c>
      <c r="E181" s="367">
        <f t="shared" si="92"/>
        <v>121.80199209861841</v>
      </c>
      <c r="F181" s="367">
        <f t="shared" si="92"/>
        <v>150.62778883714785</v>
      </c>
      <c r="G181" s="367">
        <f t="shared" si="92"/>
        <v>195.09458559791759</v>
      </c>
      <c r="H181" s="367">
        <f t="shared" si="91"/>
        <v>187.23032974455947</v>
      </c>
      <c r="I181" s="367">
        <f t="shared" si="91"/>
        <v>131.81512501773889</v>
      </c>
      <c r="J181" s="367">
        <f t="shared" si="91"/>
        <v>113.58623670534263</v>
      </c>
      <c r="K181" s="367">
        <f t="shared" si="91"/>
        <v>100.10789687469141</v>
      </c>
      <c r="L181" s="367">
        <f t="shared" si="91"/>
        <v>89.707021395876211</v>
      </c>
      <c r="M181" s="367">
        <f t="shared" si="91"/>
        <v>81.356469066560194</v>
      </c>
      <c r="N181" s="367">
        <f t="shared" si="91"/>
        <v>74.419308803956056</v>
      </c>
      <c r="O181" s="367">
        <f t="shared" si="91"/>
        <v>68.49505134691664</v>
      </c>
      <c r="P181" s="367">
        <f t="shared" si="91"/>
        <v>63.327104192211699</v>
      </c>
      <c r="Q181" s="367">
        <f t="shared" si="91"/>
        <v>58.746998474113681</v>
      </c>
      <c r="R181" s="367">
        <f t="shared" si="91"/>
        <v>54.640711506261965</v>
      </c>
      <c r="S181" s="367">
        <f t="shared" si="91"/>
        <v>50.928274562955913</v>
      </c>
      <c r="T181" s="367">
        <f t="shared" si="91"/>
        <v>47.5513757057332</v>
      </c>
      <c r="U181" s="367">
        <f t="shared" si="91"/>
        <v>44.465780196880516</v>
      </c>
      <c r="V181" s="367">
        <f t="shared" si="91"/>
        <v>41.636659185596962</v>
      </c>
      <c r="W181" s="367">
        <f t="shared" si="91"/>
        <v>39.035678661574167</v>
      </c>
      <c r="X181" s="367">
        <f t="shared" si="91"/>
        <v>36.639157812034334</v>
      </c>
      <c r="Y181" s="367">
        <f t="shared" si="91"/>
        <v>34.42688050313248</v>
      </c>
      <c r="Z181" s="367">
        <f t="shared" si="91"/>
        <v>32.381308611028587</v>
      </c>
      <c r="AA181" s="367">
        <f t="shared" si="91"/>
        <v>30.487045145031772</v>
      </c>
      <c r="AB181" s="367">
        <f t="shared" si="91"/>
        <v>28.7304548172262</v>
      </c>
      <c r="AC181" s="367">
        <f t="shared" si="91"/>
        <v>27.099385694491353</v>
      </c>
      <c r="AD181" s="367">
        <f t="shared" si="91"/>
        <v>25.582957288965844</v>
      </c>
      <c r="AE181" s="367">
        <f t="shared" si="91"/>
        <v>24.171393586905335</v>
      </c>
      <c r="AF181" s="367">
        <f t="shared" si="91"/>
        <v>22.85588749768792</v>
      </c>
      <c r="AG181" s="367">
        <f t="shared" si="91"/>
        <v>21.628488075451614</v>
      </c>
      <c r="AH181" s="367">
        <f t="shared" si="91"/>
        <v>20.482004858262258</v>
      </c>
      <c r="AI181" s="367">
        <f t="shared" si="91"/>
        <v>19.409925525244326</v>
      </c>
      <c r="AJ181" s="367">
        <f t="shared" si="91"/>
        <v>18.406344237124532</v>
      </c>
      <c r="AK181" s="367">
        <f t="shared" si="91"/>
        <v>17.465898769216416</v>
      </c>
      <c r="AL181" s="367">
        <f t="shared" si="91"/>
        <v>16.583715030517702</v>
      </c>
      <c r="AM181" s="367">
        <f t="shared" si="91"/>
        <v>15.755357886698265</v>
      </c>
      <c r="AN181" s="367">
        <f t="shared" si="91"/>
        <v>14.976787428112701</v>
      </c>
      <c r="AO181" s="367">
        <f t="shared" si="91"/>
        <v>14.244319983090065</v>
      </c>
      <c r="AP181" s="367">
        <f t="shared" si="91"/>
        <v>13.554593294076343</v>
      </c>
      <c r="AQ181" s="367">
        <f t="shared" si="91"/>
        <v>12.904535363656594</v>
      </c>
      <c r="AR181" s="367">
        <f t="shared" si="91"/>
        <v>12.291336547804372</v>
      </c>
      <c r="AS181" s="367">
        <f t="shared" si="91"/>
        <v>11.712424530469628</v>
      </c>
      <c r="AT181" s="367">
        <f t="shared" si="91"/>
        <v>11.165441860449535</v>
      </c>
      <c r="AU181" s="367">
        <f t="shared" si="91"/>
        <v>10.64822577080381</v>
      </c>
      <c r="AV181" s="367">
        <f t="shared" si="91"/>
        <v>10.158790034532428</v>
      </c>
      <c r="AW181" s="367">
        <f t="shared" si="91"/>
        <v>9.6953086389973482</v>
      </c>
      <c r="AX181" s="367">
        <f t="shared" si="91"/>
        <v>9.2561010864939188</v>
      </c>
      <c r="AY181" s="367">
        <f t="shared" si="91"/>
        <v>8.8396191501030401</v>
      </c>
      <c r="AZ181" s="367">
        <f t="shared" si="91"/>
        <v>8.4444349329797372</v>
      </c>
      <c r="BA181" s="367">
        <f t="shared" si="91"/>
        <v>8.0692300959523457</v>
      </c>
      <c r="BB181" s="367">
        <f t="shared" si="91"/>
        <v>7.7127861330403453</v>
      </c>
      <c r="BC181" s="367">
        <f t="shared" si="91"/>
        <v>7.3739755875136241</v>
      </c>
      <c r="BD181" s="367">
        <f t="shared" si="91"/>
        <v>7.0517541126339482</v>
      </c>
      <c r="BE181" s="367">
        <f t="shared" si="91"/>
        <v>6.7451532914295189</v>
      </c>
    </row>
    <row r="182" spans="1:57" s="347" customFormat="1">
      <c r="A182" s="347" t="s">
        <v>151</v>
      </c>
      <c r="C182" s="367">
        <f>C142+C147+C152+C157+C162+C167+C172+C177</f>
        <v>271.485752881336</v>
      </c>
      <c r="D182" s="367">
        <f t="shared" si="92"/>
        <v>289.35507544945682</v>
      </c>
      <c r="E182" s="367">
        <f t="shared" si="92"/>
        <v>331.1087479645239</v>
      </c>
      <c r="F182" s="367">
        <f t="shared" si="92"/>
        <v>386.30323145175248</v>
      </c>
      <c r="G182" s="367">
        <f t="shared" si="92"/>
        <v>428.2327960691668</v>
      </c>
      <c r="H182" s="367">
        <f t="shared" si="91"/>
        <v>387.38622172650003</v>
      </c>
      <c r="I182" s="367">
        <f t="shared" si="91"/>
        <v>0</v>
      </c>
      <c r="J182" s="367">
        <f t="shared" si="91"/>
        <v>0</v>
      </c>
      <c r="K182" s="367">
        <f t="shared" si="91"/>
        <v>0</v>
      </c>
      <c r="L182" s="367">
        <f t="shared" si="91"/>
        <v>0</v>
      </c>
      <c r="M182" s="367">
        <f t="shared" si="91"/>
        <v>0</v>
      </c>
      <c r="N182" s="367">
        <f t="shared" si="91"/>
        <v>0</v>
      </c>
      <c r="O182" s="367">
        <f t="shared" si="91"/>
        <v>0</v>
      </c>
      <c r="P182" s="367">
        <f t="shared" si="91"/>
        <v>0</v>
      </c>
      <c r="Q182" s="367">
        <f t="shared" si="91"/>
        <v>0</v>
      </c>
      <c r="R182" s="367">
        <f t="shared" si="91"/>
        <v>0</v>
      </c>
      <c r="S182" s="367">
        <f t="shared" si="91"/>
        <v>0</v>
      </c>
      <c r="T182" s="367">
        <f t="shared" si="91"/>
        <v>0</v>
      </c>
      <c r="U182" s="367">
        <f t="shared" si="91"/>
        <v>0</v>
      </c>
      <c r="V182" s="367">
        <f t="shared" si="91"/>
        <v>0</v>
      </c>
      <c r="W182" s="367">
        <f t="shared" si="91"/>
        <v>0</v>
      </c>
      <c r="X182" s="367">
        <f t="shared" si="91"/>
        <v>0</v>
      </c>
      <c r="Y182" s="367">
        <f t="shared" si="91"/>
        <v>0</v>
      </c>
      <c r="Z182" s="367">
        <f t="shared" si="91"/>
        <v>0</v>
      </c>
      <c r="AA182" s="367">
        <f t="shared" si="91"/>
        <v>0</v>
      </c>
      <c r="AB182" s="367">
        <f t="shared" si="91"/>
        <v>0</v>
      </c>
      <c r="AC182" s="367">
        <f t="shared" si="91"/>
        <v>0</v>
      </c>
      <c r="AD182" s="367">
        <f t="shared" si="91"/>
        <v>0</v>
      </c>
      <c r="AE182" s="367">
        <f t="shared" si="91"/>
        <v>0</v>
      </c>
      <c r="AF182" s="367">
        <f t="shared" si="91"/>
        <v>0</v>
      </c>
      <c r="AG182" s="367">
        <f t="shared" si="91"/>
        <v>0</v>
      </c>
      <c r="AH182" s="367">
        <f t="shared" si="91"/>
        <v>0</v>
      </c>
      <c r="AI182" s="367">
        <f t="shared" si="91"/>
        <v>0</v>
      </c>
      <c r="AJ182" s="367">
        <f t="shared" si="91"/>
        <v>0</v>
      </c>
      <c r="AK182" s="367">
        <f t="shared" si="91"/>
        <v>0</v>
      </c>
      <c r="AL182" s="367">
        <f t="shared" si="91"/>
        <v>0</v>
      </c>
      <c r="AM182" s="367">
        <f t="shared" si="91"/>
        <v>0</v>
      </c>
      <c r="AN182" s="367">
        <f t="shared" si="91"/>
        <v>0</v>
      </c>
      <c r="AO182" s="367">
        <f t="shared" si="91"/>
        <v>0</v>
      </c>
      <c r="AP182" s="367">
        <f t="shared" si="91"/>
        <v>0</v>
      </c>
      <c r="AQ182" s="367">
        <f t="shared" si="91"/>
        <v>0</v>
      </c>
      <c r="AR182" s="367">
        <f t="shared" si="91"/>
        <v>0</v>
      </c>
      <c r="AS182" s="367">
        <f t="shared" si="91"/>
        <v>0</v>
      </c>
      <c r="AT182" s="367">
        <f t="shared" si="91"/>
        <v>0</v>
      </c>
      <c r="AU182" s="367">
        <f t="shared" si="91"/>
        <v>0</v>
      </c>
      <c r="AV182" s="367">
        <f t="shared" si="91"/>
        <v>0</v>
      </c>
      <c r="AW182" s="367">
        <f t="shared" si="91"/>
        <v>0</v>
      </c>
      <c r="AX182" s="367">
        <f t="shared" si="91"/>
        <v>0</v>
      </c>
      <c r="AY182" s="367">
        <f t="shared" si="91"/>
        <v>0</v>
      </c>
      <c r="AZ182" s="367">
        <f t="shared" si="91"/>
        <v>0</v>
      </c>
      <c r="BA182" s="367">
        <f t="shared" si="91"/>
        <v>0</v>
      </c>
      <c r="BB182" s="367">
        <f t="shared" si="91"/>
        <v>0</v>
      </c>
      <c r="BC182" s="367">
        <f t="shared" si="91"/>
        <v>0</v>
      </c>
      <c r="BD182" s="367">
        <f t="shared" si="91"/>
        <v>0</v>
      </c>
      <c r="BE182" s="367">
        <f t="shared" si="91"/>
        <v>0</v>
      </c>
    </row>
    <row r="183" spans="1:57" s="347" customFormat="1">
      <c r="A183" s="347" t="s">
        <v>135</v>
      </c>
      <c r="B183" s="368">
        <f>B143+B148+B153+B158+B163+B168+B173+B178</f>
        <v>535.42585368994253</v>
      </c>
      <c r="C183" s="368">
        <f>C143+C148+C153+C158+C163+C168+C173+C178</f>
        <v>717.51907507264991</v>
      </c>
      <c r="D183" s="368">
        <f t="shared" si="92"/>
        <v>914.86516951421186</v>
      </c>
      <c r="E183" s="368">
        <f t="shared" si="92"/>
        <v>1124.1719253801175</v>
      </c>
      <c r="F183" s="368">
        <f t="shared" si="92"/>
        <v>1359.8473679947219</v>
      </c>
      <c r="G183" s="368">
        <f t="shared" si="92"/>
        <v>1592.9855784659708</v>
      </c>
      <c r="H183" s="368">
        <f t="shared" si="91"/>
        <v>1793.1414704479116</v>
      </c>
      <c r="I183" s="368">
        <f t="shared" si="91"/>
        <v>1661.3263454301728</v>
      </c>
      <c r="J183" s="368">
        <f t="shared" si="91"/>
        <v>1547.7401087248302</v>
      </c>
      <c r="K183" s="368">
        <f t="shared" si="91"/>
        <v>1447.6322118501387</v>
      </c>
      <c r="L183" s="368">
        <f t="shared" si="91"/>
        <v>1357.9251904542625</v>
      </c>
      <c r="M183" s="368">
        <f t="shared" si="91"/>
        <v>1276.5687213877022</v>
      </c>
      <c r="N183" s="368">
        <f t="shared" si="91"/>
        <v>1202.1494125837462</v>
      </c>
      <c r="O183" s="368">
        <f t="shared" si="91"/>
        <v>1133.6543612368296</v>
      </c>
      <c r="P183" s="368">
        <f t="shared" si="91"/>
        <v>1070.3272570446181</v>
      </c>
      <c r="Q183" s="368">
        <f t="shared" si="91"/>
        <v>1011.5802585705044</v>
      </c>
      <c r="R183" s="368">
        <f t="shared" si="91"/>
        <v>956.93954706424222</v>
      </c>
      <c r="S183" s="368">
        <f t="shared" si="91"/>
        <v>906.01127250128638</v>
      </c>
      <c r="T183" s="368">
        <f t="shared" si="91"/>
        <v>858.45989679555339</v>
      </c>
      <c r="U183" s="368">
        <f t="shared" si="91"/>
        <v>813.99411659867258</v>
      </c>
      <c r="V183" s="368">
        <f t="shared" si="91"/>
        <v>772.35745741307562</v>
      </c>
      <c r="W183" s="368">
        <f t="shared" si="91"/>
        <v>733.32177875150148</v>
      </c>
      <c r="X183" s="368">
        <f t="shared" si="91"/>
        <v>696.68262093946726</v>
      </c>
      <c r="Y183" s="368">
        <f t="shared" si="91"/>
        <v>662.25574043633458</v>
      </c>
      <c r="Z183" s="368">
        <f t="shared" si="91"/>
        <v>629.87443182530603</v>
      </c>
      <c r="AA183" s="368">
        <f t="shared" si="91"/>
        <v>599.38738668027429</v>
      </c>
      <c r="AB183" s="368">
        <f t="shared" si="91"/>
        <v>570.65693186304816</v>
      </c>
      <c r="AC183" s="368">
        <f t="shared" si="91"/>
        <v>543.55754616855688</v>
      </c>
      <c r="AD183" s="368">
        <f t="shared" si="91"/>
        <v>517.97458887959101</v>
      </c>
      <c r="AE183" s="368">
        <f t="shared" si="91"/>
        <v>493.80319529268564</v>
      </c>
      <c r="AF183" s="368">
        <f t="shared" si="91"/>
        <v>470.9473077949977</v>
      </c>
      <c r="AG183" s="368">
        <f t="shared" si="91"/>
        <v>449.31881971954613</v>
      </c>
      <c r="AH183" s="368">
        <f t="shared" si="91"/>
        <v>428.83681486128381</v>
      </c>
      <c r="AI183" s="368">
        <f t="shared" si="91"/>
        <v>409.42688933603949</v>
      </c>
      <c r="AJ183" s="368">
        <f t="shared" si="91"/>
        <v>391.02054509891502</v>
      </c>
      <c r="AK183" s="368">
        <f t="shared" si="91"/>
        <v>373.55464632969858</v>
      </c>
      <c r="AL183" s="368">
        <f t="shared" si="91"/>
        <v>356.97093129918085</v>
      </c>
      <c r="AM183" s="368">
        <f t="shared" si="91"/>
        <v>341.21557341248268</v>
      </c>
      <c r="AN183" s="368">
        <f t="shared" si="91"/>
        <v>326.23878598436988</v>
      </c>
      <c r="AO183" s="368">
        <f t="shared" si="91"/>
        <v>311.99446600127987</v>
      </c>
      <c r="AP183" s="368">
        <f t="shared" si="91"/>
        <v>298.43987270720362</v>
      </c>
      <c r="AQ183" s="368">
        <f t="shared" si="91"/>
        <v>285.53533734354698</v>
      </c>
      <c r="AR183" s="368">
        <f t="shared" si="91"/>
        <v>273.24400079574264</v>
      </c>
      <c r="AS183" s="368">
        <f t="shared" si="91"/>
        <v>261.53157626527297</v>
      </c>
      <c r="AT183" s="368">
        <f t="shared" si="91"/>
        <v>250.36613440482341</v>
      </c>
      <c r="AU183" s="368">
        <f t="shared" si="91"/>
        <v>239.71790863401961</v>
      </c>
      <c r="AV183" s="368">
        <f t="shared" si="91"/>
        <v>229.55911859948716</v>
      </c>
      <c r="AW183" s="368">
        <f t="shared" si="91"/>
        <v>219.86380996048985</v>
      </c>
      <c r="AX183" s="368">
        <f t="shared" si="91"/>
        <v>210.60770887399599</v>
      </c>
      <c r="AY183" s="368">
        <f t="shared" si="91"/>
        <v>201.76808972389293</v>
      </c>
      <c r="AZ183" s="368">
        <f t="shared" si="91"/>
        <v>193.32365479091314</v>
      </c>
      <c r="BA183" s="368">
        <f t="shared" si="91"/>
        <v>185.25442469496076</v>
      </c>
      <c r="BB183" s="368">
        <f t="shared" si="91"/>
        <v>177.54163856192045</v>
      </c>
      <c r="BC183" s="368">
        <f t="shared" si="91"/>
        <v>170.16766297440685</v>
      </c>
      <c r="BD183" s="368">
        <f t="shared" si="91"/>
        <v>163.11590886177288</v>
      </c>
      <c r="BE183" s="368">
        <f t="shared" si="91"/>
        <v>156.37075557034339</v>
      </c>
    </row>
    <row r="184" spans="1:57" s="347" customFormat="1">
      <c r="A184" s="363" t="s">
        <v>166</v>
      </c>
      <c r="C184" s="346"/>
      <c r="H184" s="408">
        <f>H143+H148+H153+H158+H163</f>
        <v>1691.486761111556</v>
      </c>
    </row>
    <row r="185" spans="1:57" s="347" customFormat="1">
      <c r="C185" s="346"/>
    </row>
    <row r="186" spans="1:57" s="347" customFormat="1">
      <c r="A186" s="350" t="s">
        <v>153</v>
      </c>
      <c r="B186" s="351">
        <v>2010</v>
      </c>
      <c r="C186" s="375" t="s">
        <v>123</v>
      </c>
    </row>
    <row r="187" spans="1:57" s="347" customFormat="1">
      <c r="A187" s="353" t="s">
        <v>115</v>
      </c>
      <c r="B187" s="354" t="s">
        <v>125</v>
      </c>
      <c r="C187" s="376" t="s">
        <v>154</v>
      </c>
    </row>
    <row r="188" spans="1:57" s="347" customFormat="1">
      <c r="A188" s="346" t="s">
        <v>115</v>
      </c>
      <c r="B188" s="382">
        <v>0</v>
      </c>
      <c r="C188" s="383">
        <v>0.2</v>
      </c>
    </row>
    <row r="189" spans="1:57" s="346" customFormat="1">
      <c r="C189" s="377"/>
      <c r="D189" s="378"/>
    </row>
    <row r="190" spans="1:57" s="346" customFormat="1">
      <c r="C190" s="377"/>
      <c r="D190" s="378"/>
    </row>
    <row r="191" spans="1:57" s="346" customFormat="1">
      <c r="B191" s="364">
        <f t="shared" ref="B191:BE191" si="93">B$2</f>
        <v>2009</v>
      </c>
      <c r="C191" s="364">
        <f t="shared" si="93"/>
        <v>2010</v>
      </c>
      <c r="D191" s="364">
        <f t="shared" si="93"/>
        <v>2011</v>
      </c>
      <c r="E191" s="364">
        <f t="shared" si="93"/>
        <v>2012</v>
      </c>
      <c r="F191" s="364">
        <f t="shared" si="93"/>
        <v>2013</v>
      </c>
      <c r="G191" s="364">
        <f t="shared" si="93"/>
        <v>2014</v>
      </c>
      <c r="H191" s="364">
        <f t="shared" si="93"/>
        <v>2015</v>
      </c>
      <c r="I191" s="364">
        <f t="shared" si="93"/>
        <v>2016</v>
      </c>
      <c r="J191" s="364">
        <f t="shared" si="93"/>
        <v>2017</v>
      </c>
      <c r="K191" s="364">
        <f t="shared" si="93"/>
        <v>2018</v>
      </c>
      <c r="L191" s="364">
        <f t="shared" si="93"/>
        <v>2019</v>
      </c>
      <c r="M191" s="364">
        <f t="shared" si="93"/>
        <v>2020</v>
      </c>
      <c r="N191" s="364">
        <f t="shared" si="93"/>
        <v>2021</v>
      </c>
      <c r="O191" s="364">
        <f t="shared" si="93"/>
        <v>2022</v>
      </c>
      <c r="P191" s="364">
        <f t="shared" si="93"/>
        <v>2023</v>
      </c>
      <c r="Q191" s="364">
        <f t="shared" si="93"/>
        <v>2024</v>
      </c>
      <c r="R191" s="364">
        <f t="shared" si="93"/>
        <v>2025</v>
      </c>
      <c r="S191" s="364">
        <f t="shared" si="93"/>
        <v>2026</v>
      </c>
      <c r="T191" s="364">
        <f t="shared" si="93"/>
        <v>2027</v>
      </c>
      <c r="U191" s="364">
        <f t="shared" si="93"/>
        <v>2028</v>
      </c>
      <c r="V191" s="364">
        <f t="shared" si="93"/>
        <v>2029</v>
      </c>
      <c r="W191" s="364">
        <f t="shared" si="93"/>
        <v>2030</v>
      </c>
      <c r="X191" s="364">
        <f t="shared" si="93"/>
        <v>2031</v>
      </c>
      <c r="Y191" s="364">
        <f t="shared" si="93"/>
        <v>2032</v>
      </c>
      <c r="Z191" s="364">
        <f t="shared" si="93"/>
        <v>2033</v>
      </c>
      <c r="AA191" s="364">
        <f t="shared" si="93"/>
        <v>2034</v>
      </c>
      <c r="AB191" s="364">
        <f t="shared" si="93"/>
        <v>2035</v>
      </c>
      <c r="AC191" s="364">
        <f t="shared" si="93"/>
        <v>2036</v>
      </c>
      <c r="AD191" s="364">
        <f t="shared" si="93"/>
        <v>2037</v>
      </c>
      <c r="AE191" s="364">
        <f t="shared" si="93"/>
        <v>2038</v>
      </c>
      <c r="AF191" s="364">
        <f t="shared" si="93"/>
        <v>2039</v>
      </c>
      <c r="AG191" s="364">
        <f t="shared" si="93"/>
        <v>2040</v>
      </c>
      <c r="AH191" s="364">
        <f t="shared" si="93"/>
        <v>2041</v>
      </c>
      <c r="AI191" s="364">
        <f t="shared" si="93"/>
        <v>2042</v>
      </c>
      <c r="AJ191" s="364">
        <f t="shared" si="93"/>
        <v>2043</v>
      </c>
      <c r="AK191" s="364">
        <f t="shared" si="93"/>
        <v>2044</v>
      </c>
      <c r="AL191" s="364">
        <f t="shared" si="93"/>
        <v>2045</v>
      </c>
      <c r="AM191" s="364">
        <f t="shared" si="93"/>
        <v>2046</v>
      </c>
      <c r="AN191" s="364">
        <f t="shared" si="93"/>
        <v>2047</v>
      </c>
      <c r="AO191" s="364">
        <f t="shared" si="93"/>
        <v>2048</v>
      </c>
      <c r="AP191" s="364">
        <f t="shared" si="93"/>
        <v>2049</v>
      </c>
      <c r="AQ191" s="364">
        <f t="shared" si="93"/>
        <v>2050</v>
      </c>
      <c r="AR191" s="364">
        <f t="shared" si="93"/>
        <v>2051</v>
      </c>
      <c r="AS191" s="364">
        <f t="shared" si="93"/>
        <v>2052</v>
      </c>
      <c r="AT191" s="364">
        <f t="shared" si="93"/>
        <v>2053</v>
      </c>
      <c r="AU191" s="364">
        <f t="shared" si="93"/>
        <v>2054</v>
      </c>
      <c r="AV191" s="364">
        <f t="shared" si="93"/>
        <v>2055</v>
      </c>
      <c r="AW191" s="364">
        <f t="shared" si="93"/>
        <v>2056</v>
      </c>
      <c r="AX191" s="364">
        <f t="shared" si="93"/>
        <v>2057</v>
      </c>
      <c r="AY191" s="364">
        <f t="shared" si="93"/>
        <v>2058</v>
      </c>
      <c r="AZ191" s="364">
        <f t="shared" si="93"/>
        <v>2059</v>
      </c>
      <c r="BA191" s="364">
        <f t="shared" si="93"/>
        <v>2060</v>
      </c>
      <c r="BB191" s="364">
        <f t="shared" si="93"/>
        <v>2061</v>
      </c>
      <c r="BC191" s="364">
        <f t="shared" si="93"/>
        <v>2062</v>
      </c>
      <c r="BD191" s="364">
        <f t="shared" si="93"/>
        <v>2063</v>
      </c>
      <c r="BE191" s="364">
        <f t="shared" si="93"/>
        <v>2064</v>
      </c>
    </row>
    <row r="192" spans="1:57" s="346" customFormat="1">
      <c r="A192" s="346" t="s">
        <v>149</v>
      </c>
      <c r="B192" s="377">
        <v>1</v>
      </c>
      <c r="C192" s="377">
        <f>Input!I314</f>
        <v>1.0278766310794782</v>
      </c>
      <c r="D192" s="377">
        <f>Input!J314</f>
        <v>1.0640569395017794</v>
      </c>
      <c r="E192" s="377">
        <f>Input!K314</f>
        <v>1.0853807258645405</v>
      </c>
      <c r="F192" s="377">
        <f>Input!L314</f>
        <v>1.1088368908635777</v>
      </c>
      <c r="G192" s="377">
        <f>Input!M314</f>
        <v>1.1344254344988911</v>
      </c>
      <c r="H192" s="377">
        <f>Input!N314</f>
        <v>1.1514844635890999</v>
      </c>
      <c r="I192" s="377">
        <f>Input!O314</f>
        <v>1.1767019733417012</v>
      </c>
      <c r="J192" s="377">
        <f>Input!P314</f>
        <v>1.2024717465578845</v>
      </c>
      <c r="K192" s="377">
        <f>Input!Q314</f>
        <v>1.2288058778075022</v>
      </c>
      <c r="L192" s="377">
        <f>Input!R314</f>
        <v>1.2557167265314866</v>
      </c>
      <c r="M192" s="377"/>
      <c r="N192" s="377"/>
      <c r="O192" s="377"/>
      <c r="P192" s="377"/>
      <c r="Q192" s="377"/>
      <c r="R192" s="377"/>
      <c r="S192" s="377"/>
      <c r="T192" s="377"/>
      <c r="U192" s="377"/>
      <c r="V192" s="377"/>
      <c r="W192" s="377"/>
      <c r="X192" s="377"/>
      <c r="Y192" s="377"/>
      <c r="Z192" s="377"/>
      <c r="AA192" s="377"/>
      <c r="AB192" s="377"/>
      <c r="AC192" s="377"/>
      <c r="AD192" s="377"/>
      <c r="AE192" s="377"/>
      <c r="AF192" s="377"/>
      <c r="AG192" s="377"/>
      <c r="AH192" s="377"/>
      <c r="AI192" s="377"/>
      <c r="AJ192" s="377"/>
      <c r="AK192" s="377"/>
      <c r="AL192" s="377"/>
      <c r="AM192" s="377"/>
      <c r="AN192" s="377"/>
      <c r="AO192" s="377"/>
      <c r="AP192" s="377"/>
      <c r="AQ192" s="377"/>
      <c r="AR192" s="377"/>
      <c r="AS192" s="377"/>
      <c r="AT192" s="377"/>
      <c r="AU192" s="377"/>
      <c r="AV192" s="377"/>
      <c r="AW192" s="377"/>
      <c r="AX192" s="377"/>
      <c r="AY192" s="377"/>
      <c r="AZ192" s="377"/>
      <c r="BA192" s="377"/>
      <c r="BB192" s="377"/>
      <c r="BC192" s="377"/>
      <c r="BD192" s="377"/>
      <c r="BE192" s="377"/>
    </row>
    <row r="193" spans="1:57" s="346" customFormat="1">
      <c r="C193" s="377"/>
      <c r="D193" s="377"/>
      <c r="E193" s="377"/>
      <c r="F193" s="377"/>
      <c r="G193" s="377"/>
    </row>
    <row r="194" spans="1:57" s="346" customFormat="1">
      <c r="A194" s="379" t="s">
        <v>150</v>
      </c>
      <c r="B194" s="379"/>
    </row>
    <row r="195" spans="1:57" s="346" customFormat="1">
      <c r="A195" s="349" t="s">
        <v>81</v>
      </c>
      <c r="B195" s="349"/>
      <c r="C195" s="377"/>
      <c r="D195" s="378"/>
    </row>
    <row r="196" spans="1:57" s="346" customFormat="1">
      <c r="A196" s="350" t="s">
        <v>153</v>
      </c>
      <c r="B196" s="364">
        <f>B$2</f>
        <v>2009</v>
      </c>
      <c r="C196" s="364">
        <f>C$2</f>
        <v>2010</v>
      </c>
      <c r="D196" s="364">
        <f t="shared" ref="D196:BE196" si="94">D$2</f>
        <v>2011</v>
      </c>
      <c r="E196" s="364">
        <f t="shared" si="94"/>
        <v>2012</v>
      </c>
      <c r="F196" s="364">
        <f t="shared" si="94"/>
        <v>2013</v>
      </c>
      <c r="G196" s="364">
        <f t="shared" si="94"/>
        <v>2014</v>
      </c>
      <c r="H196" s="364">
        <f t="shared" si="94"/>
        <v>2015</v>
      </c>
      <c r="I196" s="364">
        <f t="shared" si="94"/>
        <v>2016</v>
      </c>
      <c r="J196" s="364">
        <f t="shared" si="94"/>
        <v>2017</v>
      </c>
      <c r="K196" s="364">
        <f t="shared" si="94"/>
        <v>2018</v>
      </c>
      <c r="L196" s="364">
        <f t="shared" si="94"/>
        <v>2019</v>
      </c>
      <c r="M196" s="364">
        <f t="shared" si="94"/>
        <v>2020</v>
      </c>
      <c r="N196" s="364">
        <f t="shared" si="94"/>
        <v>2021</v>
      </c>
      <c r="O196" s="364">
        <f t="shared" si="94"/>
        <v>2022</v>
      </c>
      <c r="P196" s="364">
        <f t="shared" si="94"/>
        <v>2023</v>
      </c>
      <c r="Q196" s="364">
        <f t="shared" si="94"/>
        <v>2024</v>
      </c>
      <c r="R196" s="364">
        <f t="shared" si="94"/>
        <v>2025</v>
      </c>
      <c r="S196" s="364">
        <f t="shared" si="94"/>
        <v>2026</v>
      </c>
      <c r="T196" s="364">
        <f t="shared" si="94"/>
        <v>2027</v>
      </c>
      <c r="U196" s="364">
        <f t="shared" si="94"/>
        <v>2028</v>
      </c>
      <c r="V196" s="364">
        <f t="shared" si="94"/>
        <v>2029</v>
      </c>
      <c r="W196" s="364">
        <f t="shared" si="94"/>
        <v>2030</v>
      </c>
      <c r="X196" s="364">
        <f t="shared" si="94"/>
        <v>2031</v>
      </c>
      <c r="Y196" s="364">
        <f t="shared" si="94"/>
        <v>2032</v>
      </c>
      <c r="Z196" s="364">
        <f t="shared" si="94"/>
        <v>2033</v>
      </c>
      <c r="AA196" s="364">
        <f t="shared" si="94"/>
        <v>2034</v>
      </c>
      <c r="AB196" s="364">
        <f t="shared" si="94"/>
        <v>2035</v>
      </c>
      <c r="AC196" s="364">
        <f t="shared" si="94"/>
        <v>2036</v>
      </c>
      <c r="AD196" s="364">
        <f t="shared" si="94"/>
        <v>2037</v>
      </c>
      <c r="AE196" s="364">
        <f t="shared" si="94"/>
        <v>2038</v>
      </c>
      <c r="AF196" s="364">
        <f t="shared" si="94"/>
        <v>2039</v>
      </c>
      <c r="AG196" s="364">
        <f t="shared" si="94"/>
        <v>2040</v>
      </c>
      <c r="AH196" s="364">
        <f t="shared" si="94"/>
        <v>2041</v>
      </c>
      <c r="AI196" s="364">
        <f t="shared" si="94"/>
        <v>2042</v>
      </c>
      <c r="AJ196" s="364">
        <f t="shared" si="94"/>
        <v>2043</v>
      </c>
      <c r="AK196" s="364">
        <f t="shared" si="94"/>
        <v>2044</v>
      </c>
      <c r="AL196" s="364">
        <f t="shared" si="94"/>
        <v>2045</v>
      </c>
      <c r="AM196" s="364">
        <f t="shared" si="94"/>
        <v>2046</v>
      </c>
      <c r="AN196" s="364">
        <f t="shared" si="94"/>
        <v>2047</v>
      </c>
      <c r="AO196" s="364">
        <f t="shared" si="94"/>
        <v>2048</v>
      </c>
      <c r="AP196" s="364">
        <f t="shared" si="94"/>
        <v>2049</v>
      </c>
      <c r="AQ196" s="364">
        <f t="shared" si="94"/>
        <v>2050</v>
      </c>
      <c r="AR196" s="364">
        <f t="shared" si="94"/>
        <v>2051</v>
      </c>
      <c r="AS196" s="364">
        <f t="shared" si="94"/>
        <v>2052</v>
      </c>
      <c r="AT196" s="364">
        <f t="shared" si="94"/>
        <v>2053</v>
      </c>
      <c r="AU196" s="364">
        <f t="shared" si="94"/>
        <v>2054</v>
      </c>
      <c r="AV196" s="364">
        <f t="shared" si="94"/>
        <v>2055</v>
      </c>
      <c r="AW196" s="364">
        <f t="shared" si="94"/>
        <v>2056</v>
      </c>
      <c r="AX196" s="364">
        <f t="shared" si="94"/>
        <v>2057</v>
      </c>
      <c r="AY196" s="364">
        <f t="shared" si="94"/>
        <v>2058</v>
      </c>
      <c r="AZ196" s="364">
        <f t="shared" si="94"/>
        <v>2059</v>
      </c>
      <c r="BA196" s="364">
        <f t="shared" si="94"/>
        <v>2060</v>
      </c>
      <c r="BB196" s="364">
        <f t="shared" si="94"/>
        <v>2061</v>
      </c>
      <c r="BC196" s="364">
        <f t="shared" si="94"/>
        <v>2062</v>
      </c>
      <c r="BD196" s="364">
        <f t="shared" si="94"/>
        <v>2063</v>
      </c>
      <c r="BE196" s="364">
        <f t="shared" si="94"/>
        <v>2064</v>
      </c>
    </row>
    <row r="197" spans="1:57" s="346" customFormat="1">
      <c r="A197" s="353" t="s">
        <v>115</v>
      </c>
      <c r="B197" s="353"/>
      <c r="C197" s="377"/>
      <c r="D197" s="378"/>
    </row>
    <row r="198" spans="1:57" s="346" customFormat="1">
      <c r="A198" s="346" t="s">
        <v>115</v>
      </c>
      <c r="C198" s="395">
        <v>0</v>
      </c>
      <c r="D198" s="513">
        <v>1.4831149183194219</v>
      </c>
      <c r="E198" s="380">
        <v>0</v>
      </c>
      <c r="F198" s="380">
        <v>0</v>
      </c>
      <c r="G198" s="380">
        <v>0</v>
      </c>
      <c r="H198" s="380">
        <v>0</v>
      </c>
      <c r="I198" s="380">
        <v>0</v>
      </c>
      <c r="J198" s="380">
        <v>0</v>
      </c>
      <c r="K198" s="380">
        <v>0</v>
      </c>
      <c r="L198" s="380">
        <v>0</v>
      </c>
    </row>
    <row r="199" spans="1:57" s="347" customFormat="1">
      <c r="C199" s="346"/>
    </row>
    <row r="200" spans="1:57" s="347" customFormat="1">
      <c r="C200" s="346"/>
    </row>
    <row r="201" spans="1:57" s="347" customFormat="1">
      <c r="A201" s="384" t="s">
        <v>132</v>
      </c>
      <c r="C201" s="346"/>
    </row>
    <row r="202" spans="1:57" s="347" customFormat="1" hidden="1" outlineLevel="1">
      <c r="A202" s="385" t="s">
        <v>43</v>
      </c>
      <c r="C202" s="372">
        <f>$B$188*$C$188</f>
        <v>0</v>
      </c>
      <c r="D202" s="367">
        <f>IF($B$188*$C$188&gt;$B$188-SUM($C202:C202),$B$188-SUM($C202:C202),$B$188*$C$188)</f>
        <v>0</v>
      </c>
      <c r="E202" s="367">
        <f>IF($B$188*$C$188&gt;$B$188-SUM($C202:D202),$B$188-SUM($C202:D202),$B$188*$C$188)</f>
        <v>0</v>
      </c>
      <c r="F202" s="367">
        <f>IF($B$188*$C$188&gt;$B$188-SUM($C202:E202),$B$188-SUM($C202:E202),$B$188*$C$188)</f>
        <v>0</v>
      </c>
      <c r="G202" s="367">
        <f>IF($B$188*$C$188&gt;$B$188-SUM($C202:F202),$B$188-SUM($C202:F202),$B$188*$C$188)</f>
        <v>0</v>
      </c>
      <c r="H202" s="367">
        <f>IF($B$188*$C$188&gt;$B$188-SUM($C202:G202),$B$188-SUM($C202:G202),$B$188*$C$188)</f>
        <v>0</v>
      </c>
      <c r="I202" s="367">
        <f>IF($B$188*$C$188&gt;$B$188-SUM($C202:H202),$B$188-SUM($C202:H202),$B$188*$C$188)</f>
        <v>0</v>
      </c>
      <c r="J202" s="367">
        <f>IF($B$188*$C$188&gt;$B$188-SUM($C202:I202),$B$188-SUM($C202:I202),$B$188*$C$188)</f>
        <v>0</v>
      </c>
      <c r="K202" s="367">
        <f>IF($B$188*$C$188&gt;$B$188-SUM($C202:J202),$B$188-SUM($C202:J202),$B$188*$C$188)</f>
        <v>0</v>
      </c>
      <c r="L202" s="367">
        <f>IF($B$188*$C$188&gt;$B$188-SUM($C202:K202),$B$188-SUM($C202:K202),$B$188*$C$188)</f>
        <v>0</v>
      </c>
      <c r="M202" s="367">
        <f>IF($B$188*$C$188&gt;$B$188-SUM($C202:L202),$B$188-SUM($C202:L202),$B$188*$C$188)</f>
        <v>0</v>
      </c>
      <c r="N202" s="367">
        <f>IF($B$188*$C$188&gt;$B$188-SUM($C202:M202),$B$188-SUM($C202:M202),$B$188*$C$188)</f>
        <v>0</v>
      </c>
      <c r="O202" s="367">
        <f>IF($B$188*$C$188&gt;$B$188-SUM($C202:N202),$B$188-SUM($C202:N202),$B$188*$C$188)</f>
        <v>0</v>
      </c>
      <c r="P202" s="367">
        <f>IF($B$188*$C$188&gt;$B$188-SUM($C202:O202),$B$188-SUM($C202:O202),$B$188*$C$188)</f>
        <v>0</v>
      </c>
      <c r="Q202" s="367">
        <f>IF($B$188*$C$188&gt;$B$188-SUM($C202:P202),$B$188-SUM($C202:P202),$B$188*$C$188)</f>
        <v>0</v>
      </c>
      <c r="R202" s="367">
        <f>IF($B$188*$C$188&gt;$B$188-SUM($C202:Q202),$B$188-SUM($C202:Q202),$B$188*$C$188)</f>
        <v>0</v>
      </c>
      <c r="S202" s="367">
        <f>IF($B$188*$C$188&gt;$B$188-SUM($C202:R202),$B$188-SUM($C202:R202),$B$188*$C$188)</f>
        <v>0</v>
      </c>
      <c r="T202" s="367">
        <f>IF($B$188*$C$188&gt;$B$188-SUM($C202:S202),$B$188-SUM($C202:S202),$B$188*$C$188)</f>
        <v>0</v>
      </c>
      <c r="U202" s="367">
        <f>IF($B$188*$C$188&gt;$B$188-SUM($C202:T202),$B$188-SUM($C202:T202),$B$188*$C$188)</f>
        <v>0</v>
      </c>
      <c r="V202" s="367">
        <f>IF($B$188*$C$188&gt;$B$188-SUM($C202:U202),$B$188-SUM($C202:U202),$B$188*$C$188)</f>
        <v>0</v>
      </c>
      <c r="W202" s="367">
        <f>IF($B$188*$C$188&gt;$B$188-SUM($C202:V202),$B$188-SUM($C202:V202),$B$188*$C$188)</f>
        <v>0</v>
      </c>
      <c r="X202" s="367">
        <f>IF($B$188*$C$188&gt;$B$188-SUM($C202:W202),$B$188-SUM($C202:W202),$B$188*$C$188)</f>
        <v>0</v>
      </c>
      <c r="Y202" s="367">
        <f>IF($B$188*$C$188&gt;$B$188-SUM($C202:X202),$B$188-SUM($C202:X202),$B$188*$C$188)</f>
        <v>0</v>
      </c>
      <c r="Z202" s="367">
        <f>IF($B$188*$C$188&gt;$B$188-SUM($C202:Y202),$B$188-SUM($C202:Y202),$B$188*$C$188)</f>
        <v>0</v>
      </c>
      <c r="AA202" s="367">
        <f>IF($B$188*$C$188&gt;$B$188-SUM($C202:Z202),$B$188-SUM($C202:Z202),$B$188*$C$188)</f>
        <v>0</v>
      </c>
      <c r="AB202" s="367">
        <f>IF($B$188*$C$188&gt;$B$188-SUM($C202:AA202),$B$188-SUM($C202:AA202),$B$188*$C$188)</f>
        <v>0</v>
      </c>
      <c r="AC202" s="367">
        <f>IF($B$188*$C$188&gt;$B$188-SUM($C202:AB202),$B$188-SUM($C202:AB202),$B$188*$C$188)</f>
        <v>0</v>
      </c>
      <c r="AD202" s="367">
        <f>IF($B$188*$C$188&gt;$B$188-SUM($C202:AC202),$B$188-SUM($C202:AC202),$B$188*$C$188)</f>
        <v>0</v>
      </c>
      <c r="AE202" s="367">
        <f>IF($B$188*$C$188&gt;$B$188-SUM($C202:AD202),$B$188-SUM($C202:AD202),$B$188*$C$188)</f>
        <v>0</v>
      </c>
      <c r="AF202" s="367">
        <f>IF($B$188*$C$188&gt;$B$188-SUM($C202:AE202),$B$188-SUM($C202:AE202),$B$188*$C$188)</f>
        <v>0</v>
      </c>
      <c r="AG202" s="367">
        <f>IF($B$188*$C$188&gt;$B$188-SUM($C202:AF202),$B$188-SUM($C202:AF202),$B$188*$C$188)</f>
        <v>0</v>
      </c>
      <c r="AH202" s="367">
        <f>IF($B$188*$C$188&gt;$B$188-SUM($C202:AG202),$B$188-SUM($C202:AG202),$B$188*$C$188)</f>
        <v>0</v>
      </c>
      <c r="AI202" s="367">
        <f>IF($B$188*$C$188&gt;$B$188-SUM($C202:AH202),$B$188-SUM($C202:AH202),$B$188*$C$188)</f>
        <v>0</v>
      </c>
      <c r="AJ202" s="367">
        <f>IF($B$188*$C$188&gt;$B$188-SUM($C202:AI202),$B$188-SUM($C202:AI202),$B$188*$C$188)</f>
        <v>0</v>
      </c>
      <c r="AK202" s="367">
        <f>IF($B$188*$C$188&gt;$B$188-SUM($C202:AJ202),$B$188-SUM($C202:AJ202),$B$188*$C$188)</f>
        <v>0</v>
      </c>
      <c r="AL202" s="367">
        <f>IF($B$188*$C$188&gt;$B$188-SUM($C202:AK202),$B$188-SUM($C202:AK202),$B$188*$C$188)</f>
        <v>0</v>
      </c>
      <c r="AM202" s="367">
        <f>IF($B$188*$C$188&gt;$B$188-SUM($C202:AL202),$B$188-SUM($C202:AL202),$B$188*$C$188)</f>
        <v>0</v>
      </c>
      <c r="AN202" s="367">
        <f>IF($B$188*$C$188&gt;$B$188-SUM($C202:AM202),$B$188-SUM($C202:AM202),$B$188*$C$188)</f>
        <v>0</v>
      </c>
      <c r="AO202" s="367">
        <f>IF($B$188*$C$188&gt;$B$188-SUM($C202:AN202),$B$188-SUM($C202:AN202),$B$188*$C$188)</f>
        <v>0</v>
      </c>
      <c r="AP202" s="367">
        <f>IF($B$188*$C$188&gt;$B$188-SUM($C202:AO202),$B$188-SUM($C202:AO202),$B$188*$C$188)</f>
        <v>0</v>
      </c>
      <c r="AQ202" s="367">
        <f>IF($B$188*$C$188&gt;$B$188-SUM($C202:AP202),$B$188-SUM($C202:AP202),$B$188*$C$188)</f>
        <v>0</v>
      </c>
      <c r="AR202" s="367">
        <f>IF($B$188*$C$188&gt;$B$188-SUM($C202:AQ202),$B$188-SUM($C202:AQ202),$B$188*$C$188)</f>
        <v>0</v>
      </c>
      <c r="AS202" s="367">
        <f>IF($B$188*$C$188&gt;$B$188-SUM($C202:AR202),$B$188-SUM($C202:AR202),$B$188*$C$188)</f>
        <v>0</v>
      </c>
      <c r="AT202" s="367">
        <f>IF($B$188*$C$188&gt;$B$188-SUM($C202:AS202),$B$188-SUM($C202:AS202),$B$188*$C$188)</f>
        <v>0</v>
      </c>
      <c r="AU202" s="367">
        <f>IF($B$188*$C$188&gt;$B$188-SUM($C202:AT202),$B$188-SUM($C202:AT202),$B$188*$C$188)</f>
        <v>0</v>
      </c>
      <c r="AV202" s="367">
        <f>IF($B$188*$C$188&gt;$B$188-SUM($C202:AU202),$B$188-SUM($C202:AU202),$B$188*$C$188)</f>
        <v>0</v>
      </c>
      <c r="AW202" s="367">
        <f>IF($B$188*$C$188&gt;$B$188-SUM($C202:AV202),$B$188-SUM($C202:AV202),$B$188*$C$188)</f>
        <v>0</v>
      </c>
      <c r="AX202" s="367">
        <f>IF($B$188*$C$188&gt;$B$188-SUM($C202:AW202),$B$188-SUM($C202:AW202),$B$188*$C$188)</f>
        <v>0</v>
      </c>
      <c r="AY202" s="367">
        <f>IF($B$188*$C$188&gt;$B$188-SUM($C202:AX202),$B$188-SUM($C202:AX202),$B$188*$C$188)</f>
        <v>0</v>
      </c>
      <c r="AZ202" s="367">
        <f>IF($B$188*$C$188&gt;$B$188-SUM($C202:AY202),$B$188-SUM($C202:AY202),$B$188*$C$188)</f>
        <v>0</v>
      </c>
      <c r="BA202" s="367">
        <f>IF($B$188*$C$188&gt;$B$188-SUM($C202:AZ202),$B$188-SUM($C202:AZ202),$B$188*$C$188)</f>
        <v>0</v>
      </c>
      <c r="BB202" s="367">
        <f>IF($B$188*$C$188&gt;$B$188-SUM($C202:BA202),$B$188-SUM($C202:BA202),$B$188*$C$188)</f>
        <v>0</v>
      </c>
      <c r="BC202" s="367">
        <f>IF($B$188*$C$188&gt;$B$188-SUM($C202:BB202),$B$188-SUM($C202:BB202),$B$188*$C$188)</f>
        <v>0</v>
      </c>
      <c r="BD202" s="367">
        <f>IF($B$188*$C$188&gt;$B$188-SUM($C202:BC202),$B$188-SUM($C202:BC202),$B$188*$C$188)</f>
        <v>0</v>
      </c>
      <c r="BE202" s="367">
        <f>IF($B$188*$C$188&gt;$B$188-SUM($C202:BD202),$B$188-SUM($C202:BD202),$B$188*$C$188)</f>
        <v>0</v>
      </c>
    </row>
    <row r="203" spans="1:57" s="347" customFormat="1" hidden="1" outlineLevel="1">
      <c r="A203" s="386"/>
      <c r="C203" s="346"/>
    </row>
    <row r="204" spans="1:57" s="347" customFormat="1" hidden="1" outlineLevel="1">
      <c r="A204" s="387" t="s">
        <v>155</v>
      </c>
      <c r="C204" s="372">
        <f>$C$198*$C$188</f>
        <v>0</v>
      </c>
      <c r="D204" s="367">
        <f>IF($C$198*$C$188&gt;$C$198-SUM($C204:C204),$C$198-SUM($C204:C204),$C$198*$C$188)</f>
        <v>0</v>
      </c>
      <c r="E204" s="367">
        <f>IF($C$198*$C$188&gt;$C$198-SUM($C204:D204),$C$198-SUM($C204:D204),$C$198*$C$188)</f>
        <v>0</v>
      </c>
      <c r="F204" s="367">
        <f>IF($C$198*$C$188&gt;$C$198-SUM($C204:E204),$C$198-SUM($C204:E204),$C$198*$C$188)</f>
        <v>0</v>
      </c>
      <c r="G204" s="367">
        <f>IF($C$198*$C$188&gt;$C$198-SUM($C204:F204),$C$198-SUM($C204:F204),$C$198*$C$188)</f>
        <v>0</v>
      </c>
      <c r="H204" s="367">
        <f>IF($C$198*$C$188&gt;$C$198-SUM($C204:G204),$C$198-SUM($C204:G204),$C$198*$C$188)</f>
        <v>0</v>
      </c>
      <c r="I204" s="367">
        <f>IF($C$198*$C$188&gt;$C$198-SUM($C204:H204),$C$198-SUM($C204:H204),$C$198*$C$188)</f>
        <v>0</v>
      </c>
      <c r="J204" s="367">
        <f>IF($C$198*$C$188&gt;$C$198-SUM($C204:I204),$C$198-SUM($C204:I204),$C$198*$C$188)</f>
        <v>0</v>
      </c>
      <c r="K204" s="367">
        <f>IF($C$198*$C$188&gt;$C$198-SUM($C204:J204),$C$198-SUM($C204:J204),$C$198*$C$188)</f>
        <v>0</v>
      </c>
      <c r="L204" s="367">
        <f>IF($C$198*$C$188&gt;$C$198-SUM($C204:K204),$C$198-SUM($C204:K204),$C$198*$C$188)</f>
        <v>0</v>
      </c>
      <c r="M204" s="367">
        <f>IF($C$198*$C$188&gt;$C$198-SUM($C204:L204),$C$198-SUM($C204:L204),$C$198*$C$188)</f>
        <v>0</v>
      </c>
      <c r="N204" s="367">
        <f>IF($C$198*$C$188&gt;$C$198-SUM($C204:M204),$C$198-SUM($C204:M204),$C$198*$C$188)</f>
        <v>0</v>
      </c>
      <c r="O204" s="367">
        <f>IF($C$198*$C$188&gt;$C$198-SUM($C204:N204),$C$198-SUM($C204:N204),$C$198*$C$188)</f>
        <v>0</v>
      </c>
      <c r="P204" s="367">
        <f>IF($C$198*$C$188&gt;$C$198-SUM($C204:O204),$C$198-SUM($C204:O204),$C$198*$C$188)</f>
        <v>0</v>
      </c>
      <c r="Q204" s="367">
        <f>IF($C$198*$C$188&gt;$C$198-SUM($C204:P204),$C$198-SUM($C204:P204),$C$198*$C$188)</f>
        <v>0</v>
      </c>
      <c r="R204" s="367">
        <f>IF($C$198*$C$188&gt;$C$198-SUM($C204:Q204),$C$198-SUM($C204:Q204),$C$198*$C$188)</f>
        <v>0</v>
      </c>
      <c r="S204" s="367">
        <f>IF($C$198*$C$188&gt;$C$198-SUM($C204:R204),$C$198-SUM($C204:R204),$C$198*$C$188)</f>
        <v>0</v>
      </c>
      <c r="T204" s="367">
        <f>IF($C$198*$C$188&gt;$C$198-SUM($C204:S204),$C$198-SUM($C204:S204),$C$198*$C$188)</f>
        <v>0</v>
      </c>
      <c r="U204" s="367">
        <f>IF($C$198*$C$188&gt;$C$198-SUM($C204:T204),$C$198-SUM($C204:T204),$C$198*$C$188)</f>
        <v>0</v>
      </c>
      <c r="V204" s="367">
        <f>IF($C$198*$C$188&gt;$C$198-SUM($C204:U204),$C$198-SUM($C204:U204),$C$198*$C$188)</f>
        <v>0</v>
      </c>
      <c r="W204" s="367">
        <f>IF($C$198*$C$188&gt;$C$198-SUM($C204:V204),$C$198-SUM($C204:V204),$C$198*$C$188)</f>
        <v>0</v>
      </c>
      <c r="X204" s="367">
        <f>IF($C$198*$C$188&gt;$C$198-SUM($C204:W204),$C$198-SUM($C204:W204),$C$198*$C$188)</f>
        <v>0</v>
      </c>
      <c r="Y204" s="367">
        <f>IF($C$198*$C$188&gt;$C$198-SUM($C204:X204),$C$198-SUM($C204:X204),$C$198*$C$188)</f>
        <v>0</v>
      </c>
      <c r="Z204" s="367">
        <f>IF($C$198*$C$188&gt;$C$198-SUM($C204:Y204),$C$198-SUM($C204:Y204),$C$198*$C$188)</f>
        <v>0</v>
      </c>
      <c r="AA204" s="367">
        <f>IF($C$198*$C$188&gt;$C$198-SUM($C204:Z204),$C$198-SUM($C204:Z204),$C$198*$C$188)</f>
        <v>0</v>
      </c>
      <c r="AB204" s="367">
        <f>IF($C$198*$C$188&gt;$C$198-SUM($C204:AA204),$C$198-SUM($C204:AA204),$C$198*$C$188)</f>
        <v>0</v>
      </c>
      <c r="AC204" s="367">
        <f>IF($C$198*$C$188&gt;$C$198-SUM($C204:AB204),$C$198-SUM($C204:AB204),$C$198*$C$188)</f>
        <v>0</v>
      </c>
      <c r="AD204" s="367">
        <f>IF($C$198*$C$188&gt;$C$198-SUM($C204:AC204),$C$198-SUM($C204:AC204),$C$198*$C$188)</f>
        <v>0</v>
      </c>
      <c r="AE204" s="367">
        <f>IF($C$198*$C$188&gt;$C$198-SUM($C204:AD204),$C$198-SUM($C204:AD204),$C$198*$C$188)</f>
        <v>0</v>
      </c>
      <c r="AF204" s="367">
        <f>IF($C$198*$C$188&gt;$C$198-SUM($C204:AE204),$C$198-SUM($C204:AE204),$C$198*$C$188)</f>
        <v>0</v>
      </c>
      <c r="AG204" s="367">
        <f>IF($C$198*$C$188&gt;$C$198-SUM($C204:AF204),$C$198-SUM($C204:AF204),$C$198*$C$188)</f>
        <v>0</v>
      </c>
      <c r="AH204" s="367">
        <f>IF($C$198*$C$188&gt;$C$198-SUM($C204:AG204),$C$198-SUM($C204:AG204),$C$198*$C$188)</f>
        <v>0</v>
      </c>
      <c r="AI204" s="367">
        <f>IF($C$198*$C$188&gt;$C$198-SUM($C204:AH204),$C$198-SUM($C204:AH204),$C$198*$C$188)</f>
        <v>0</v>
      </c>
      <c r="AJ204" s="367">
        <f>IF($C$198*$C$188&gt;$C$198-SUM($C204:AI204),$C$198-SUM($C204:AI204),$C$198*$C$188)</f>
        <v>0</v>
      </c>
      <c r="AK204" s="367">
        <f>IF($C$198*$C$188&gt;$C$198-SUM($C204:AJ204),$C$198-SUM($C204:AJ204),$C$198*$C$188)</f>
        <v>0</v>
      </c>
      <c r="AL204" s="367">
        <f>IF($C$198*$C$188&gt;$C$198-SUM($C204:AK204),$C$198-SUM($C204:AK204),$C$198*$C$188)</f>
        <v>0</v>
      </c>
      <c r="AM204" s="367">
        <f>IF($C$198*$C$188&gt;$C$198-SUM($C204:AL204),$C$198-SUM($C204:AL204),$C$198*$C$188)</f>
        <v>0</v>
      </c>
      <c r="AN204" s="367">
        <f>IF($C$198*$C$188&gt;$C$198-SUM($C204:AM204),$C$198-SUM($C204:AM204),$C$198*$C$188)</f>
        <v>0</v>
      </c>
      <c r="AO204" s="367">
        <f>IF($C$198*$C$188&gt;$C$198-SUM($C204:AN204),$C$198-SUM($C204:AN204),$C$198*$C$188)</f>
        <v>0</v>
      </c>
      <c r="AP204" s="367">
        <f>IF($C$198*$C$188&gt;$C$198-SUM($C204:AO204),$C$198-SUM($C204:AO204),$C$198*$C$188)</f>
        <v>0</v>
      </c>
      <c r="AQ204" s="367">
        <f>IF($C$198*$C$188&gt;$C$198-SUM($C204:AP204),$C$198-SUM($C204:AP204),$C$198*$C$188)</f>
        <v>0</v>
      </c>
      <c r="AR204" s="367">
        <f>IF($C$198*$C$188&gt;$C$198-SUM($C204:AQ204),$C$198-SUM($C204:AQ204),$C$198*$C$188)</f>
        <v>0</v>
      </c>
      <c r="AS204" s="367">
        <f>IF($C$198*$C$188&gt;$C$198-SUM($C204:AR204),$C$198-SUM($C204:AR204),$C$198*$C$188)</f>
        <v>0</v>
      </c>
      <c r="AT204" s="367">
        <f>IF($C$198*$C$188&gt;$C$198-SUM($C204:AS204),$C$198-SUM($C204:AS204),$C$198*$C$188)</f>
        <v>0</v>
      </c>
      <c r="AU204" s="367">
        <f>IF($C$198*$C$188&gt;$C$198-SUM($C204:AT204),$C$198-SUM($C204:AT204),$C$198*$C$188)</f>
        <v>0</v>
      </c>
      <c r="AV204" s="367">
        <f>IF($C$198*$C$188&gt;$C$198-SUM($C204:AU204),$C$198-SUM($C204:AU204),$C$198*$C$188)</f>
        <v>0</v>
      </c>
      <c r="AW204" s="367">
        <f>IF($C$198*$C$188&gt;$C$198-SUM($C204:AV204),$C$198-SUM($C204:AV204),$C$198*$C$188)</f>
        <v>0</v>
      </c>
      <c r="AX204" s="367">
        <f>IF($C$198*$C$188&gt;$C$198-SUM($C204:AW204),$C$198-SUM($C204:AW204),$C$198*$C$188)</f>
        <v>0</v>
      </c>
      <c r="AY204" s="367">
        <f>IF($C$198*$C$188&gt;$C$198-SUM($C204:AX204),$C$198-SUM($C204:AX204),$C$198*$C$188)</f>
        <v>0</v>
      </c>
      <c r="AZ204" s="367">
        <f>IF($C$198*$C$188&gt;$C$198-SUM($C204:AY204),$C$198-SUM($C204:AY204),$C$198*$C$188)</f>
        <v>0</v>
      </c>
      <c r="BA204" s="367">
        <f>IF($C$198*$C$188&gt;$C$198-SUM($C204:AZ204),$C$198-SUM($C204:AZ204),$C$198*$C$188)</f>
        <v>0</v>
      </c>
      <c r="BB204" s="367">
        <f>IF($C$198*$C$188&gt;$C$198-SUM($C204:BA204),$C$198-SUM($C204:BA204),$C$198*$C$188)</f>
        <v>0</v>
      </c>
      <c r="BC204" s="367">
        <f>IF($C$198*$C$188&gt;$C$198-SUM($C204:BB204),$C$198-SUM($C204:BB204),$C$198*$C$188)</f>
        <v>0</v>
      </c>
      <c r="BD204" s="367">
        <f>IF($C$198*$C$188&gt;$C$198-SUM($C204:BC204),$C$198-SUM($C204:BC204),$C$198*$C$188)</f>
        <v>0</v>
      </c>
      <c r="BE204" s="367">
        <f>IF($C$198*$C$188&gt;$C$198-SUM($C204:BD204),$C$198-SUM($C204:BD204),$C$198*$C$188)</f>
        <v>0</v>
      </c>
    </row>
    <row r="205" spans="1:57" s="347" customFormat="1" hidden="1" outlineLevel="1">
      <c r="A205" s="388"/>
      <c r="C205" s="389"/>
      <c r="D205" s="372">
        <f>$D$198*$C$188</f>
        <v>0.2966229836638844</v>
      </c>
      <c r="E205" s="367">
        <f>IF($D$198*$C$188&gt;$D$198-SUM($C205:D205),$D$198-SUM($C205:D205),$D$198*$C$188)</f>
        <v>0.2966229836638844</v>
      </c>
      <c r="F205" s="367">
        <f>IF($D$198*$C$188&gt;$D$198-SUM($C205:E205),$D$198-SUM($C205:E205),$D$198*$C$188)</f>
        <v>0.2966229836638844</v>
      </c>
      <c r="G205" s="367">
        <f>IF($D$198*$C$188&gt;$D$198-SUM($C205:F205),$D$198-SUM($C205:F205),$D$198*$C$188)</f>
        <v>0.2966229836638844</v>
      </c>
      <c r="H205" s="367">
        <f>IF($D$198*$C$188&gt;$D$198-SUM($C205:G205),$D$198-SUM($C205:G205),$D$198*$C$188)</f>
        <v>0.2966229836638844</v>
      </c>
      <c r="I205" s="367">
        <f>IF($D$198*$C$188&gt;$D$198-SUM($C205:H205),$D$198-SUM($C205:H205),$D$198*$C$188)</f>
        <v>0</v>
      </c>
      <c r="J205" s="367">
        <f>IF($D$198*$C$188&gt;$D$198-SUM($C205:I205),$D$198-SUM($C205:I205),$D$198*$C$188)</f>
        <v>0</v>
      </c>
      <c r="K205" s="367">
        <f>IF($D$198*$C$188&gt;$D$198-SUM($C205:J205),$D$198-SUM($C205:J205),$D$198*$C$188)</f>
        <v>0</v>
      </c>
      <c r="L205" s="367">
        <f>IF($D$198*$C$188&gt;$D$198-SUM($C205:K205),$D$198-SUM($C205:K205),$D$198*$C$188)</f>
        <v>0</v>
      </c>
      <c r="M205" s="367">
        <f>IF($D$198*$C$188&gt;$D$198-SUM($C205:L205),$D$198-SUM($C205:L205),$D$198*$C$188)</f>
        <v>0</v>
      </c>
      <c r="N205" s="367">
        <f>IF($D$198*$C$188&gt;$D$198-SUM($C205:M205),$D$198-SUM($C205:M205),$D$198*$C$188)</f>
        <v>0</v>
      </c>
      <c r="O205" s="367">
        <f>IF($D$198*$C$188&gt;$D$198-SUM($C205:N205),$D$198-SUM($C205:N205),$D$198*$C$188)</f>
        <v>0</v>
      </c>
      <c r="P205" s="367">
        <f>IF($D$198*$C$188&gt;$D$198-SUM($C205:O205),$D$198-SUM($C205:O205),$D$198*$C$188)</f>
        <v>0</v>
      </c>
      <c r="Q205" s="367">
        <f>IF($D$198*$C$188&gt;$D$198-SUM($C205:P205),$D$198-SUM($C205:P205),$D$198*$C$188)</f>
        <v>0</v>
      </c>
      <c r="R205" s="367">
        <f>IF($D$198*$C$188&gt;$D$198-SUM($C205:Q205),$D$198-SUM($C205:Q205),$D$198*$C$188)</f>
        <v>0</v>
      </c>
      <c r="S205" s="367">
        <f>IF($D$198*$C$188&gt;$D$198-SUM($C205:R205),$D$198-SUM($C205:R205),$D$198*$C$188)</f>
        <v>0</v>
      </c>
      <c r="T205" s="367">
        <f>IF($D$198*$C$188&gt;$D$198-SUM($C205:S205),$D$198-SUM($C205:S205),$D$198*$C$188)</f>
        <v>0</v>
      </c>
      <c r="U205" s="367">
        <f>IF($D$198*$C$188&gt;$D$198-SUM($C205:T205),$D$198-SUM($C205:T205),$D$198*$C$188)</f>
        <v>0</v>
      </c>
      <c r="V205" s="367">
        <f>IF($D$198*$C$188&gt;$D$198-SUM($C205:U205),$D$198-SUM($C205:U205),$D$198*$C$188)</f>
        <v>0</v>
      </c>
      <c r="W205" s="367">
        <f>IF($D$198*$C$188&gt;$D$198-SUM($C205:V205),$D$198-SUM($C205:V205),$D$198*$C$188)</f>
        <v>0</v>
      </c>
      <c r="X205" s="367">
        <f>IF($D$198*$C$188&gt;$D$198-SUM($C205:W205),$D$198-SUM($C205:W205),$D$198*$C$188)</f>
        <v>0</v>
      </c>
      <c r="Y205" s="367">
        <f>IF($D$198*$C$188&gt;$D$198-SUM($C205:X205),$D$198-SUM($C205:X205),$D$198*$C$188)</f>
        <v>0</v>
      </c>
      <c r="Z205" s="367">
        <f>IF($D$198*$C$188&gt;$D$198-SUM($C205:Y205),$D$198-SUM($C205:Y205),$D$198*$C$188)</f>
        <v>0</v>
      </c>
      <c r="AA205" s="367">
        <f>IF($D$198*$C$188&gt;$D$198-SUM($C205:Z205),$D$198-SUM($C205:Z205),$D$198*$C$188)</f>
        <v>0</v>
      </c>
      <c r="AB205" s="367">
        <f>IF($D$198*$C$188&gt;$D$198-SUM($C205:AA205),$D$198-SUM($C205:AA205),$D$198*$C$188)</f>
        <v>0</v>
      </c>
      <c r="AC205" s="367">
        <f>IF($D$198*$C$188&gt;$D$198-SUM($C205:AB205),$D$198-SUM($C205:AB205),$D$198*$C$188)</f>
        <v>0</v>
      </c>
      <c r="AD205" s="367">
        <f>IF($D$198*$C$188&gt;$D$198-SUM($C205:AC205),$D$198-SUM($C205:AC205),$D$198*$C$188)</f>
        <v>0</v>
      </c>
      <c r="AE205" s="367">
        <f>IF($D$198*$C$188&gt;$D$198-SUM($C205:AD205),$D$198-SUM($C205:AD205),$D$198*$C$188)</f>
        <v>0</v>
      </c>
      <c r="AF205" s="367">
        <f>IF($D$198*$C$188&gt;$D$198-SUM($C205:AE205),$D$198-SUM($C205:AE205),$D$198*$C$188)</f>
        <v>0</v>
      </c>
      <c r="AG205" s="367">
        <f>IF($D$198*$C$188&gt;$D$198-SUM($C205:AF205),$D$198-SUM($C205:AF205),$D$198*$C$188)</f>
        <v>0</v>
      </c>
      <c r="AH205" s="367">
        <f>IF($D$198*$C$188&gt;$D$198-SUM($C205:AG205),$D$198-SUM($C205:AG205),$D$198*$C$188)</f>
        <v>0</v>
      </c>
      <c r="AI205" s="367">
        <f>IF($D$198*$C$188&gt;$D$198-SUM($C205:AH205),$D$198-SUM($C205:AH205),$D$198*$C$188)</f>
        <v>0</v>
      </c>
      <c r="AJ205" s="367">
        <f>IF($D$198*$C$188&gt;$D$198-SUM($C205:AI205),$D$198-SUM($C205:AI205),$D$198*$C$188)</f>
        <v>0</v>
      </c>
      <c r="AK205" s="367">
        <f>IF($D$198*$C$188&gt;$D$198-SUM($C205:AJ205),$D$198-SUM($C205:AJ205),$D$198*$C$188)</f>
        <v>0</v>
      </c>
      <c r="AL205" s="367">
        <f>IF($D$198*$C$188&gt;$D$198-SUM($C205:AK205),$D$198-SUM($C205:AK205),$D$198*$C$188)</f>
        <v>0</v>
      </c>
      <c r="AM205" s="367">
        <f>IF($D$198*$C$188&gt;$D$198-SUM($C205:AL205),$D$198-SUM($C205:AL205),$D$198*$C$188)</f>
        <v>0</v>
      </c>
      <c r="AN205" s="367">
        <f>IF($D$198*$C$188&gt;$D$198-SUM($C205:AM205),$D$198-SUM($C205:AM205),$D$198*$C$188)</f>
        <v>0</v>
      </c>
      <c r="AO205" s="367">
        <f>IF($D$198*$C$188&gt;$D$198-SUM($C205:AN205),$D$198-SUM($C205:AN205),$D$198*$C$188)</f>
        <v>0</v>
      </c>
      <c r="AP205" s="367">
        <f>IF($D$198*$C$188&gt;$D$198-SUM($C205:AO205),$D$198-SUM($C205:AO205),$D$198*$C$188)</f>
        <v>0</v>
      </c>
      <c r="AQ205" s="367">
        <f>IF($D$198*$C$188&gt;$D$198-SUM($C205:AP205),$D$198-SUM($C205:AP205),$D$198*$C$188)</f>
        <v>0</v>
      </c>
      <c r="AR205" s="367">
        <f>IF($D$198*$C$188&gt;$D$198-SUM($C205:AQ205),$D$198-SUM($C205:AQ205),$D$198*$C$188)</f>
        <v>0</v>
      </c>
      <c r="AS205" s="367">
        <f>IF($D$198*$C$188&gt;$D$198-SUM($C205:AR205),$D$198-SUM($C205:AR205),$D$198*$C$188)</f>
        <v>0</v>
      </c>
      <c r="AT205" s="367">
        <f>IF($D$198*$C$188&gt;$D$198-SUM($C205:AS205),$D$198-SUM($C205:AS205),$D$198*$C$188)</f>
        <v>0</v>
      </c>
      <c r="AU205" s="367">
        <f>IF($D$198*$C$188&gt;$D$198-SUM($C205:AT205),$D$198-SUM($C205:AT205),$D$198*$C$188)</f>
        <v>0</v>
      </c>
      <c r="AV205" s="367">
        <f>IF($D$198*$C$188&gt;$D$198-SUM($C205:AU205),$D$198-SUM($C205:AU205),$D$198*$C$188)</f>
        <v>0</v>
      </c>
      <c r="AW205" s="367">
        <f>IF($D$198*$C$188&gt;$D$198-SUM($C205:AV205),$D$198-SUM($C205:AV205),$D$198*$C$188)</f>
        <v>0</v>
      </c>
      <c r="AX205" s="367">
        <f>IF($D$198*$C$188&gt;$D$198-SUM($C205:AW205),$D$198-SUM($C205:AW205),$D$198*$C$188)</f>
        <v>0</v>
      </c>
      <c r="AY205" s="367">
        <f>IF($D$198*$C$188&gt;$D$198-SUM($C205:AX205),$D$198-SUM($C205:AX205),$D$198*$C$188)</f>
        <v>0</v>
      </c>
      <c r="AZ205" s="367">
        <f>IF($D$198*$C$188&gt;$D$198-SUM($C205:AY205),$D$198-SUM($C205:AY205),$D$198*$C$188)</f>
        <v>0</v>
      </c>
      <c r="BA205" s="367">
        <f>IF($D$198*$C$188&gt;$D$198-SUM($C205:AZ205),$D$198-SUM($C205:AZ205),$D$198*$C$188)</f>
        <v>0</v>
      </c>
      <c r="BB205" s="367">
        <f>IF($D$198*$C$188&gt;$D$198-SUM($C205:BA205),$D$198-SUM($C205:BA205),$D$198*$C$188)</f>
        <v>0</v>
      </c>
      <c r="BC205" s="367">
        <f>IF($D$198*$C$188&gt;$D$198-SUM($C205:BB205),$D$198-SUM($C205:BB205),$D$198*$C$188)</f>
        <v>0</v>
      </c>
      <c r="BD205" s="367">
        <f>IF($D$198*$C$188&gt;$D$198-SUM($C205:BC205),$D$198-SUM($C205:BC205),$D$198*$C$188)</f>
        <v>0</v>
      </c>
      <c r="BE205" s="367">
        <f>IF($D$198*$C$188&gt;$D$198-SUM($C205:BD205),$D$198-SUM($C205:BD205),$D$198*$C$188)</f>
        <v>0</v>
      </c>
    </row>
    <row r="206" spans="1:57" s="347" customFormat="1" hidden="1" outlineLevel="1">
      <c r="A206" s="388"/>
      <c r="C206" s="389"/>
      <c r="D206" s="389"/>
      <c r="E206" s="372">
        <f>$E$198*$C$188</f>
        <v>0</v>
      </c>
      <c r="F206" s="367">
        <f>IF($E$198*$C$188&gt;$E$198-SUM($C206:E206),$E$198-SUM($C206:E206),$E$198*$C$188)</f>
        <v>0</v>
      </c>
      <c r="G206" s="367">
        <f>IF($E$198*$C$188&gt;$E$198-SUM($C206:F206),$E$198-SUM($C206:F206),$E$198*$C$188)</f>
        <v>0</v>
      </c>
      <c r="H206" s="367">
        <f>IF($E$198*$C$188&gt;$E$198-SUM($C206:G206),$E$198-SUM($C206:G206),$E$198*$C$188)</f>
        <v>0</v>
      </c>
      <c r="I206" s="367">
        <f>IF($E$198*$C$188&gt;$E$198-SUM($C206:H206),$E$198-SUM($C206:H206),$E$198*$C$188)</f>
        <v>0</v>
      </c>
      <c r="J206" s="367">
        <f>IF($E$198*$C$188&gt;$E$198-SUM($C206:I206),$E$198-SUM($C206:I206),$E$198*$C$188)</f>
        <v>0</v>
      </c>
      <c r="K206" s="367">
        <f>IF($E$198*$C$188&gt;$E$198-SUM($C206:J206),$E$198-SUM($C206:J206),$E$198*$C$188)</f>
        <v>0</v>
      </c>
      <c r="L206" s="367">
        <f>IF($E$198*$C$188&gt;$E$198-SUM($C206:K206),$E$198-SUM($C206:K206),$E$198*$C$188)</f>
        <v>0</v>
      </c>
      <c r="M206" s="367">
        <f>IF($E$198*$C$188&gt;$E$198-SUM($C206:L206),$E$198-SUM($C206:L206),$E$198*$C$188)</f>
        <v>0</v>
      </c>
      <c r="N206" s="367">
        <f>IF($E$198*$C$188&gt;$E$198-SUM($C206:M206),$E$198-SUM($C206:M206),$E$198*$C$188)</f>
        <v>0</v>
      </c>
      <c r="O206" s="367">
        <f>IF($E$198*$C$188&gt;$E$198-SUM($C206:N206),$E$198-SUM($C206:N206),$E$198*$C$188)</f>
        <v>0</v>
      </c>
      <c r="P206" s="367">
        <f>IF($E$198*$C$188&gt;$E$198-SUM($C206:O206),$E$198-SUM($C206:O206),$E$198*$C$188)</f>
        <v>0</v>
      </c>
      <c r="Q206" s="367">
        <f>IF($E$198*$C$188&gt;$E$198-SUM($C206:P206),$E$198-SUM($C206:P206),$E$198*$C$188)</f>
        <v>0</v>
      </c>
      <c r="R206" s="367">
        <f>IF($E$198*$C$188&gt;$E$198-SUM($C206:Q206),$E$198-SUM($C206:Q206),$E$198*$C$188)</f>
        <v>0</v>
      </c>
      <c r="S206" s="367">
        <f>IF($E$198*$C$188&gt;$E$198-SUM($C206:R206),$E$198-SUM($C206:R206),$E$198*$C$188)</f>
        <v>0</v>
      </c>
      <c r="T206" s="367">
        <f>IF($E$198*$C$188&gt;$E$198-SUM($C206:S206),$E$198-SUM($C206:S206),$E$198*$C$188)</f>
        <v>0</v>
      </c>
      <c r="U206" s="367">
        <f>IF($E$198*$C$188&gt;$E$198-SUM($C206:T206),$E$198-SUM($C206:T206),$E$198*$C$188)</f>
        <v>0</v>
      </c>
      <c r="V206" s="367">
        <f>IF($E$198*$C$188&gt;$E$198-SUM($C206:U206),$E$198-SUM($C206:U206),$E$198*$C$188)</f>
        <v>0</v>
      </c>
      <c r="W206" s="367">
        <f>IF($E$198*$C$188&gt;$E$198-SUM($C206:V206),$E$198-SUM($C206:V206),$E$198*$C$188)</f>
        <v>0</v>
      </c>
      <c r="X206" s="367">
        <f>IF($E$198*$C$188&gt;$E$198-SUM($C206:W206),$E$198-SUM($C206:W206),$E$198*$C$188)</f>
        <v>0</v>
      </c>
      <c r="Y206" s="367">
        <f>IF($E$198*$C$188&gt;$E$198-SUM($C206:X206),$E$198-SUM($C206:X206),$E$198*$C$188)</f>
        <v>0</v>
      </c>
      <c r="Z206" s="367">
        <f>IF($E$198*$C$188&gt;$E$198-SUM($C206:Y206),$E$198-SUM($C206:Y206),$E$198*$C$188)</f>
        <v>0</v>
      </c>
      <c r="AA206" s="367">
        <f>IF($E$198*$C$188&gt;$E$198-SUM($C206:Z206),$E$198-SUM($C206:Z206),$E$198*$C$188)</f>
        <v>0</v>
      </c>
      <c r="AB206" s="367">
        <f>IF($E$198*$C$188&gt;$E$198-SUM($C206:AA206),$E$198-SUM($C206:AA206),$E$198*$C$188)</f>
        <v>0</v>
      </c>
      <c r="AC206" s="367">
        <f>IF($E$198*$C$188&gt;$E$198-SUM($C206:AB206),$E$198-SUM($C206:AB206),$E$198*$C$188)</f>
        <v>0</v>
      </c>
      <c r="AD206" s="367">
        <f>IF($E$198*$C$188&gt;$E$198-SUM($C206:AC206),$E$198-SUM($C206:AC206),$E$198*$C$188)</f>
        <v>0</v>
      </c>
      <c r="AE206" s="367">
        <f>IF($E$198*$C$188&gt;$E$198-SUM($C206:AD206),$E$198-SUM($C206:AD206),$E$198*$C$188)</f>
        <v>0</v>
      </c>
      <c r="AF206" s="367">
        <f>IF($E$198*$C$188&gt;$E$198-SUM($C206:AE206),$E$198-SUM($C206:AE206),$E$198*$C$188)</f>
        <v>0</v>
      </c>
      <c r="AG206" s="367">
        <f>IF($E$198*$C$188&gt;$E$198-SUM($C206:AF206),$E$198-SUM($C206:AF206),$E$198*$C$188)</f>
        <v>0</v>
      </c>
      <c r="AH206" s="367">
        <f>IF($E$198*$C$188&gt;$E$198-SUM($C206:AG206),$E$198-SUM($C206:AG206),$E$198*$C$188)</f>
        <v>0</v>
      </c>
      <c r="AI206" s="367">
        <f>IF($E$198*$C$188&gt;$E$198-SUM($C206:AH206),$E$198-SUM($C206:AH206),$E$198*$C$188)</f>
        <v>0</v>
      </c>
      <c r="AJ206" s="367">
        <f>IF($E$198*$C$188&gt;$E$198-SUM($C206:AI206),$E$198-SUM($C206:AI206),$E$198*$C$188)</f>
        <v>0</v>
      </c>
      <c r="AK206" s="367">
        <f>IF($E$198*$C$188&gt;$E$198-SUM($C206:AJ206),$E$198-SUM($C206:AJ206),$E$198*$C$188)</f>
        <v>0</v>
      </c>
      <c r="AL206" s="367">
        <f>IF($E$198*$C$188&gt;$E$198-SUM($C206:AK206),$E$198-SUM($C206:AK206),$E$198*$C$188)</f>
        <v>0</v>
      </c>
      <c r="AM206" s="367">
        <f>IF($E$198*$C$188&gt;$E$198-SUM($C206:AL206),$E$198-SUM($C206:AL206),$E$198*$C$188)</f>
        <v>0</v>
      </c>
      <c r="AN206" s="367">
        <f>IF($E$198*$C$188&gt;$E$198-SUM($C206:AM206),$E$198-SUM($C206:AM206),$E$198*$C$188)</f>
        <v>0</v>
      </c>
      <c r="AO206" s="367">
        <f>IF($E$198*$C$188&gt;$E$198-SUM($C206:AN206),$E$198-SUM($C206:AN206),$E$198*$C$188)</f>
        <v>0</v>
      </c>
      <c r="AP206" s="367">
        <f>IF($E$198*$C$188&gt;$E$198-SUM($C206:AO206),$E$198-SUM($C206:AO206),$E$198*$C$188)</f>
        <v>0</v>
      </c>
      <c r="AQ206" s="367">
        <f>IF($E$198*$C$188&gt;$E$198-SUM($C206:AP206),$E$198-SUM($C206:AP206),$E$198*$C$188)</f>
        <v>0</v>
      </c>
      <c r="AR206" s="367">
        <f>IF($E$198*$C$188&gt;$E$198-SUM($C206:AQ206),$E$198-SUM($C206:AQ206),$E$198*$C$188)</f>
        <v>0</v>
      </c>
      <c r="AS206" s="367">
        <f>IF($E$198*$C$188&gt;$E$198-SUM($C206:AR206),$E$198-SUM($C206:AR206),$E$198*$C$188)</f>
        <v>0</v>
      </c>
      <c r="AT206" s="367">
        <f>IF($E$198*$C$188&gt;$E$198-SUM($C206:AS206),$E$198-SUM($C206:AS206),$E$198*$C$188)</f>
        <v>0</v>
      </c>
      <c r="AU206" s="367">
        <f>IF($E$198*$C$188&gt;$E$198-SUM($C206:AT206),$E$198-SUM($C206:AT206),$E$198*$C$188)</f>
        <v>0</v>
      </c>
      <c r="AV206" s="367">
        <f>IF($E$198*$C$188&gt;$E$198-SUM($C206:AU206),$E$198-SUM($C206:AU206),$E$198*$C$188)</f>
        <v>0</v>
      </c>
      <c r="AW206" s="367">
        <f>IF($E$198*$C$188&gt;$E$198-SUM($C206:AV206),$E$198-SUM($C206:AV206),$E$198*$C$188)</f>
        <v>0</v>
      </c>
      <c r="AX206" s="367">
        <f>IF($E$198*$C$188&gt;$E$198-SUM($C206:AW206),$E$198-SUM($C206:AW206),$E$198*$C$188)</f>
        <v>0</v>
      </c>
      <c r="AY206" s="367">
        <f>IF($E$198*$C$188&gt;$E$198-SUM($C206:AX206),$E$198-SUM($C206:AX206),$E$198*$C$188)</f>
        <v>0</v>
      </c>
      <c r="AZ206" s="367">
        <f>IF($E$198*$C$188&gt;$E$198-SUM($C206:AY206),$E$198-SUM($C206:AY206),$E$198*$C$188)</f>
        <v>0</v>
      </c>
      <c r="BA206" s="367">
        <f>IF($E$198*$C$188&gt;$E$198-SUM($C206:AZ206),$E$198-SUM($C206:AZ206),$E$198*$C$188)</f>
        <v>0</v>
      </c>
      <c r="BB206" s="367">
        <f>IF($E$198*$C$188&gt;$E$198-SUM($C206:BA206),$E$198-SUM($C206:BA206),$E$198*$C$188)</f>
        <v>0</v>
      </c>
      <c r="BC206" s="367">
        <f>IF($E$198*$C$188&gt;$E$198-SUM($C206:BB206),$E$198-SUM($C206:BB206),$E$198*$C$188)</f>
        <v>0</v>
      </c>
      <c r="BD206" s="367">
        <f>IF($E$198*$C$188&gt;$E$198-SUM($C206:BC206),$E$198-SUM($C206:BC206),$E$198*$C$188)</f>
        <v>0</v>
      </c>
      <c r="BE206" s="367">
        <f>IF($E$198*$C$188&gt;$E$198-SUM($C206:BD206),$E$198-SUM($C206:BD206),$E$198*$C$188)</f>
        <v>0</v>
      </c>
    </row>
    <row r="207" spans="1:57" s="347" customFormat="1" hidden="1" outlineLevel="1">
      <c r="A207" s="388"/>
      <c r="C207" s="389"/>
      <c r="D207" s="389"/>
      <c r="E207" s="389"/>
      <c r="F207" s="372">
        <f>$F$198*$C$188</f>
        <v>0</v>
      </c>
      <c r="G207" s="367">
        <f>IF($F$198*$C$188&gt;$F$198-SUM($C207:F207),$F$198-SUM($C207:F207),$F$198*$C$188)</f>
        <v>0</v>
      </c>
      <c r="H207" s="367">
        <f>IF($F$198*$C$188&gt;$F$198-SUM($C207:G207),$F$198-SUM($C207:G207),$F$198*$C$188)</f>
        <v>0</v>
      </c>
      <c r="I207" s="367">
        <f>IF($F$198*$C$188&gt;$F$198-SUM($C207:H207),$F$198-SUM($C207:H207),$F$198*$C$188)</f>
        <v>0</v>
      </c>
      <c r="J207" s="367">
        <f>IF($F$198*$C$188&gt;$F$198-SUM($C207:I207),$F$198-SUM($C207:I207),$F$198*$C$188)</f>
        <v>0</v>
      </c>
      <c r="K207" s="367">
        <f>IF($F$198*$C$188&gt;$F$198-SUM($C207:J207),$F$198-SUM($C207:J207),$F$198*$C$188)</f>
        <v>0</v>
      </c>
      <c r="L207" s="367">
        <f>IF($F$198*$C$188&gt;$F$198-SUM($C207:K207),$F$198-SUM($C207:K207),$F$198*$C$188)</f>
        <v>0</v>
      </c>
      <c r="M207" s="367">
        <f>IF($F$198*$C$188&gt;$F$198-SUM($C207:L207),$F$198-SUM($C207:L207),$F$198*$C$188)</f>
        <v>0</v>
      </c>
      <c r="N207" s="367">
        <f>IF($F$198*$C$188&gt;$F$198-SUM($C207:M207),$F$198-SUM($C207:M207),$F$198*$C$188)</f>
        <v>0</v>
      </c>
      <c r="O207" s="367">
        <f>IF($F$198*$C$188&gt;$F$198-SUM($C207:N207),$F$198-SUM($C207:N207),$F$198*$C$188)</f>
        <v>0</v>
      </c>
      <c r="P207" s="367">
        <f>IF($F$198*$C$188&gt;$F$198-SUM($C207:O207),$F$198-SUM($C207:O207),$F$198*$C$188)</f>
        <v>0</v>
      </c>
      <c r="Q207" s="367">
        <f>IF($F$198*$C$188&gt;$F$198-SUM($C207:P207),$F$198-SUM($C207:P207),$F$198*$C$188)</f>
        <v>0</v>
      </c>
      <c r="R207" s="367">
        <f>IF($F$198*$C$188&gt;$F$198-SUM($C207:Q207),$F$198-SUM($C207:Q207),$F$198*$C$188)</f>
        <v>0</v>
      </c>
      <c r="S207" s="367">
        <f>IF($F$198*$C$188&gt;$F$198-SUM($C207:R207),$F$198-SUM($C207:R207),$F$198*$C$188)</f>
        <v>0</v>
      </c>
      <c r="T207" s="367">
        <f>IF($F$198*$C$188&gt;$F$198-SUM($C207:S207),$F$198-SUM($C207:S207),$F$198*$C$188)</f>
        <v>0</v>
      </c>
      <c r="U207" s="367">
        <f>IF($F$198*$C$188&gt;$F$198-SUM($C207:T207),$F$198-SUM($C207:T207),$F$198*$C$188)</f>
        <v>0</v>
      </c>
      <c r="V207" s="367">
        <f>IF($F$198*$C$188&gt;$F$198-SUM($C207:U207),$F$198-SUM($C207:U207),$F$198*$C$188)</f>
        <v>0</v>
      </c>
      <c r="W207" s="367">
        <f>IF($F$198*$C$188&gt;$F$198-SUM($C207:V207),$F$198-SUM($C207:V207),$F$198*$C$188)</f>
        <v>0</v>
      </c>
      <c r="X207" s="367">
        <f>IF($F$198*$C$188&gt;$F$198-SUM($C207:W207),$F$198-SUM($C207:W207),$F$198*$C$188)</f>
        <v>0</v>
      </c>
      <c r="Y207" s="367">
        <f>IF($F$198*$C$188&gt;$F$198-SUM($C207:X207),$F$198-SUM($C207:X207),$F$198*$C$188)</f>
        <v>0</v>
      </c>
      <c r="Z207" s="367">
        <f>IF($F$198*$C$188&gt;$F$198-SUM($C207:Y207),$F$198-SUM($C207:Y207),$F$198*$C$188)</f>
        <v>0</v>
      </c>
      <c r="AA207" s="367">
        <f>IF($F$198*$C$188&gt;$F$198-SUM($C207:Z207),$F$198-SUM($C207:Z207),$F$198*$C$188)</f>
        <v>0</v>
      </c>
      <c r="AB207" s="367">
        <f>IF($F$198*$C$188&gt;$F$198-SUM($C207:AA207),$F$198-SUM($C207:AA207),$F$198*$C$188)</f>
        <v>0</v>
      </c>
      <c r="AC207" s="367">
        <f>IF($F$198*$C$188&gt;$F$198-SUM($C207:AB207),$F$198-SUM($C207:AB207),$F$198*$C$188)</f>
        <v>0</v>
      </c>
      <c r="AD207" s="367">
        <f>IF($F$198*$C$188&gt;$F$198-SUM($C207:AC207),$F$198-SUM($C207:AC207),$F$198*$C$188)</f>
        <v>0</v>
      </c>
      <c r="AE207" s="367">
        <f>IF($F$198*$C$188&gt;$F$198-SUM($C207:AD207),$F$198-SUM($C207:AD207),$F$198*$C$188)</f>
        <v>0</v>
      </c>
      <c r="AF207" s="367">
        <f>IF($F$198*$C$188&gt;$F$198-SUM($C207:AE207),$F$198-SUM($C207:AE207),$F$198*$C$188)</f>
        <v>0</v>
      </c>
      <c r="AG207" s="367">
        <f>IF($F$198*$C$188&gt;$F$198-SUM($C207:AF207),$F$198-SUM($C207:AF207),$F$198*$C$188)</f>
        <v>0</v>
      </c>
      <c r="AH207" s="367">
        <f>IF($F$198*$C$188&gt;$F$198-SUM($C207:AG207),$F$198-SUM($C207:AG207),$F$198*$C$188)</f>
        <v>0</v>
      </c>
      <c r="AI207" s="367">
        <f>IF($F$198*$C$188&gt;$F$198-SUM($C207:AH207),$F$198-SUM($C207:AH207),$F$198*$C$188)</f>
        <v>0</v>
      </c>
      <c r="AJ207" s="367">
        <f>IF($F$198*$C$188&gt;$F$198-SUM($C207:AI207),$F$198-SUM($C207:AI207),$F$198*$C$188)</f>
        <v>0</v>
      </c>
      <c r="AK207" s="367">
        <f>IF($F$198*$C$188&gt;$F$198-SUM($C207:AJ207),$F$198-SUM($C207:AJ207),$F$198*$C$188)</f>
        <v>0</v>
      </c>
      <c r="AL207" s="367">
        <f>IF($F$198*$C$188&gt;$F$198-SUM($C207:AK207),$F$198-SUM($C207:AK207),$F$198*$C$188)</f>
        <v>0</v>
      </c>
      <c r="AM207" s="367">
        <f>IF($F$198*$C$188&gt;$F$198-SUM($C207:AL207),$F$198-SUM($C207:AL207),$F$198*$C$188)</f>
        <v>0</v>
      </c>
      <c r="AN207" s="367">
        <f>IF($F$198*$C$188&gt;$F$198-SUM($C207:AM207),$F$198-SUM($C207:AM207),$F$198*$C$188)</f>
        <v>0</v>
      </c>
      <c r="AO207" s="367">
        <f>IF($F$198*$C$188&gt;$F$198-SUM($C207:AN207),$F$198-SUM($C207:AN207),$F$198*$C$188)</f>
        <v>0</v>
      </c>
      <c r="AP207" s="367">
        <f>IF($F$198*$C$188&gt;$F$198-SUM($C207:AO207),$F$198-SUM($C207:AO207),$F$198*$C$188)</f>
        <v>0</v>
      </c>
      <c r="AQ207" s="367">
        <f>IF($F$198*$C$188&gt;$F$198-SUM($C207:AP207),$F$198-SUM($C207:AP207),$F$198*$C$188)</f>
        <v>0</v>
      </c>
      <c r="AR207" s="367">
        <f>IF($F$198*$C$188&gt;$F$198-SUM($C207:AQ207),$F$198-SUM($C207:AQ207),$F$198*$C$188)</f>
        <v>0</v>
      </c>
      <c r="AS207" s="367">
        <f>IF($F$198*$C$188&gt;$F$198-SUM($C207:AR207),$F$198-SUM($C207:AR207),$F$198*$C$188)</f>
        <v>0</v>
      </c>
      <c r="AT207" s="367">
        <f>IF($F$198*$C$188&gt;$F$198-SUM($C207:AS207),$F$198-SUM($C207:AS207),$F$198*$C$188)</f>
        <v>0</v>
      </c>
      <c r="AU207" s="367">
        <f>IF($F$198*$C$188&gt;$F$198-SUM($C207:AT207),$F$198-SUM($C207:AT207),$F$198*$C$188)</f>
        <v>0</v>
      </c>
      <c r="AV207" s="367">
        <f>IF($F$198*$C$188&gt;$F$198-SUM($C207:AU207),$F$198-SUM($C207:AU207),$F$198*$C$188)</f>
        <v>0</v>
      </c>
      <c r="AW207" s="367">
        <f>IF($F$198*$C$188&gt;$F$198-SUM($C207:AV207),$F$198-SUM($C207:AV207),$F$198*$C$188)</f>
        <v>0</v>
      </c>
      <c r="AX207" s="367">
        <f>IF($F$198*$C$188&gt;$F$198-SUM($C207:AW207),$F$198-SUM($C207:AW207),$F$198*$C$188)</f>
        <v>0</v>
      </c>
      <c r="AY207" s="367">
        <f>IF($F$198*$C$188&gt;$F$198-SUM($C207:AX207),$F$198-SUM($C207:AX207),$F$198*$C$188)</f>
        <v>0</v>
      </c>
      <c r="AZ207" s="367">
        <f>IF($F$198*$C$188&gt;$F$198-SUM($C207:AY207),$F$198-SUM($C207:AY207),$F$198*$C$188)</f>
        <v>0</v>
      </c>
      <c r="BA207" s="367">
        <f>IF($F$198*$C$188&gt;$F$198-SUM($C207:AZ207),$F$198-SUM($C207:AZ207),$F$198*$C$188)</f>
        <v>0</v>
      </c>
      <c r="BB207" s="367">
        <f>IF($F$198*$C$188&gt;$F$198-SUM($C207:BA207),$F$198-SUM($C207:BA207),$F$198*$C$188)</f>
        <v>0</v>
      </c>
      <c r="BC207" s="367">
        <f>IF($F$198*$C$188&gt;$F$198-SUM($C207:BB207),$F$198-SUM($C207:BB207),$F$198*$C$188)</f>
        <v>0</v>
      </c>
      <c r="BD207" s="367">
        <f>IF($F$198*$C$188&gt;$F$198-SUM($C207:BC207),$F$198-SUM($C207:BC207),$F$198*$C$188)</f>
        <v>0</v>
      </c>
      <c r="BE207" s="367">
        <f>IF($F$198*$C$188&gt;$F$198-SUM($C207:BD207),$F$198-SUM($C207:BD207),$F$198*$C$188)</f>
        <v>0</v>
      </c>
    </row>
    <row r="208" spans="1:57" s="347" customFormat="1" hidden="1" outlineLevel="1">
      <c r="C208" s="389"/>
      <c r="D208" s="389"/>
      <c r="E208" s="389"/>
      <c r="F208" s="389"/>
      <c r="G208" s="372">
        <f>$G$198*$C$188</f>
        <v>0</v>
      </c>
      <c r="H208" s="367">
        <f>IF($G$198*$C$188&gt;$G$198-SUM($C208:G208),$G$198-SUM($C208:G208),$G$198*$C$188)</f>
        <v>0</v>
      </c>
      <c r="I208" s="367">
        <f>IF($G$198*$C$188&gt;$G$198-SUM($C208:H208),$G$198-SUM($C208:H208),$G$198*$C$188)</f>
        <v>0</v>
      </c>
      <c r="J208" s="367">
        <f>IF($G$198*$C$188&gt;$G$198-SUM($C208:I208),$G$198-SUM($C208:I208),$G$198*$C$188)</f>
        <v>0</v>
      </c>
      <c r="K208" s="367">
        <f>IF($G$198*$C$188&gt;$G$198-SUM($C208:J208),$G$198-SUM($C208:J208),$G$198*$C$188)</f>
        <v>0</v>
      </c>
      <c r="L208" s="367">
        <f>IF($G$198*$C$188&gt;$G$198-SUM($C208:K208),$G$198-SUM($C208:K208),$G$198*$C$188)</f>
        <v>0</v>
      </c>
      <c r="M208" s="367">
        <f>IF($G$198*$C$188&gt;$G$198-SUM($C208:L208),$G$198-SUM($C208:L208),$G$198*$C$188)</f>
        <v>0</v>
      </c>
      <c r="N208" s="367">
        <f>IF($G$198*$C$188&gt;$G$198-SUM($C208:M208),$G$198-SUM($C208:M208),$G$198*$C$188)</f>
        <v>0</v>
      </c>
      <c r="O208" s="367">
        <f>IF($G$198*$C$188&gt;$G$198-SUM($C208:N208),$G$198-SUM($C208:N208),$G$198*$C$188)</f>
        <v>0</v>
      </c>
      <c r="P208" s="367">
        <f>IF($G$198*$C$188&gt;$G$198-SUM($C208:O208),$G$198-SUM($C208:O208),$G$198*$C$188)</f>
        <v>0</v>
      </c>
      <c r="Q208" s="367">
        <f>IF($G$198*$C$188&gt;$G$198-SUM($C208:P208),$G$198-SUM($C208:P208),$G$198*$C$188)</f>
        <v>0</v>
      </c>
      <c r="R208" s="367">
        <f>IF($G$198*$C$188&gt;$G$198-SUM($C208:Q208),$G$198-SUM($C208:Q208),$G$198*$C$188)</f>
        <v>0</v>
      </c>
      <c r="S208" s="367">
        <f>IF($G$198*$C$188&gt;$G$198-SUM($C208:R208),$G$198-SUM($C208:R208),$G$198*$C$188)</f>
        <v>0</v>
      </c>
      <c r="T208" s="367">
        <f>IF($G$198*$C$188&gt;$G$198-SUM($C208:S208),$G$198-SUM($C208:S208),$G$198*$C$188)</f>
        <v>0</v>
      </c>
      <c r="U208" s="367">
        <f>IF($G$198*$C$188&gt;$G$198-SUM($C208:T208),$G$198-SUM($C208:T208),$G$198*$C$188)</f>
        <v>0</v>
      </c>
      <c r="V208" s="367">
        <f>IF($G$198*$C$188&gt;$G$198-SUM($C208:U208),$G$198-SUM($C208:U208),$G$198*$C$188)</f>
        <v>0</v>
      </c>
      <c r="W208" s="367">
        <f>IF($G$198*$C$188&gt;$G$198-SUM($C208:V208),$G$198-SUM($C208:V208),$G$198*$C$188)</f>
        <v>0</v>
      </c>
      <c r="X208" s="367">
        <f>IF($G$198*$C$188&gt;$G$198-SUM($C208:W208),$G$198-SUM($C208:W208),$G$198*$C$188)</f>
        <v>0</v>
      </c>
      <c r="Y208" s="367">
        <f>IF($G$198*$C$188&gt;$G$198-SUM($C208:X208),$G$198-SUM($C208:X208),$G$198*$C$188)</f>
        <v>0</v>
      </c>
      <c r="Z208" s="367">
        <f>IF($G$198*$C$188&gt;$G$198-SUM($C208:Y208),$G$198-SUM($C208:Y208),$G$198*$C$188)</f>
        <v>0</v>
      </c>
      <c r="AA208" s="367">
        <f>IF($G$198*$C$188&gt;$G$198-SUM($C208:Z208),$G$198-SUM($C208:Z208),$G$198*$C$188)</f>
        <v>0</v>
      </c>
      <c r="AB208" s="367">
        <f>IF($G$198*$C$188&gt;$G$198-SUM($C208:AA208),$G$198-SUM($C208:AA208),$G$198*$C$188)</f>
        <v>0</v>
      </c>
      <c r="AC208" s="367">
        <f>IF($G$198*$C$188&gt;$G$198-SUM($C208:AB208),$G$198-SUM($C208:AB208),$G$198*$C$188)</f>
        <v>0</v>
      </c>
      <c r="AD208" s="367">
        <f>IF($G$198*$C$188&gt;$G$198-SUM($C208:AC208),$G$198-SUM($C208:AC208),$G$198*$C$188)</f>
        <v>0</v>
      </c>
      <c r="AE208" s="367">
        <f>IF($G$198*$C$188&gt;$G$198-SUM($C208:AD208),$G$198-SUM($C208:AD208),$G$198*$C$188)</f>
        <v>0</v>
      </c>
      <c r="AF208" s="367">
        <f>IF($G$198*$C$188&gt;$G$198-SUM($C208:AE208),$G$198-SUM($C208:AE208),$G$198*$C$188)</f>
        <v>0</v>
      </c>
      <c r="AG208" s="367">
        <f>IF($G$198*$C$188&gt;$G$198-SUM($C208:AF208),$G$198-SUM($C208:AF208),$G$198*$C$188)</f>
        <v>0</v>
      </c>
      <c r="AH208" s="367">
        <f>IF($G$198*$C$188&gt;$G$198-SUM($C208:AG208),$G$198-SUM($C208:AG208),$G$198*$C$188)</f>
        <v>0</v>
      </c>
      <c r="AI208" s="367">
        <f>IF($G$198*$C$188&gt;$G$198-SUM($C208:AH208),$G$198-SUM($C208:AH208),$G$198*$C$188)</f>
        <v>0</v>
      </c>
      <c r="AJ208" s="367">
        <f>IF($G$198*$C$188&gt;$G$198-SUM($C208:AI208),$G$198-SUM($C208:AI208),$G$198*$C$188)</f>
        <v>0</v>
      </c>
      <c r="AK208" s="367">
        <f>IF($G$198*$C$188&gt;$G$198-SUM($C208:AJ208),$G$198-SUM($C208:AJ208),$G$198*$C$188)</f>
        <v>0</v>
      </c>
      <c r="AL208" s="367">
        <f>IF($G$198*$C$188&gt;$G$198-SUM($C208:AK208),$G$198-SUM($C208:AK208),$G$198*$C$188)</f>
        <v>0</v>
      </c>
      <c r="AM208" s="367">
        <f>IF($G$198*$C$188&gt;$G$198-SUM($C208:AL208),$G$198-SUM($C208:AL208),$G$198*$C$188)</f>
        <v>0</v>
      </c>
      <c r="AN208" s="367">
        <f>IF($G$198*$C$188&gt;$G$198-SUM($C208:AM208),$G$198-SUM($C208:AM208),$G$198*$C$188)</f>
        <v>0</v>
      </c>
      <c r="AO208" s="367">
        <f>IF($G$198*$C$188&gt;$G$198-SUM($C208:AN208),$G$198-SUM($C208:AN208),$G$198*$C$188)</f>
        <v>0</v>
      </c>
      <c r="AP208" s="367">
        <f>IF($G$198*$C$188&gt;$G$198-SUM($C208:AO208),$G$198-SUM($C208:AO208),$G$198*$C$188)</f>
        <v>0</v>
      </c>
      <c r="AQ208" s="367">
        <f>IF($G$198*$C$188&gt;$G$198-SUM($C208:AP208),$G$198-SUM($C208:AP208),$G$198*$C$188)</f>
        <v>0</v>
      </c>
      <c r="AR208" s="367">
        <f>IF($G$198*$C$188&gt;$G$198-SUM($C208:AQ208),$G$198-SUM($C208:AQ208),$G$198*$C$188)</f>
        <v>0</v>
      </c>
      <c r="AS208" s="367">
        <f>IF($G$198*$C$188&gt;$G$198-SUM($C208:AR208),$G$198-SUM($C208:AR208),$G$198*$C$188)</f>
        <v>0</v>
      </c>
      <c r="AT208" s="367">
        <f>IF($G$198*$C$188&gt;$G$198-SUM($C208:AS208),$G$198-SUM($C208:AS208),$G$198*$C$188)</f>
        <v>0</v>
      </c>
      <c r="AU208" s="367">
        <f>IF($G$198*$C$188&gt;$G$198-SUM($C208:AT208),$G$198-SUM($C208:AT208),$G$198*$C$188)</f>
        <v>0</v>
      </c>
      <c r="AV208" s="367">
        <f>IF($G$198*$C$188&gt;$G$198-SUM($C208:AU208),$G$198-SUM($C208:AU208),$G$198*$C$188)</f>
        <v>0</v>
      </c>
      <c r="AW208" s="367">
        <f>IF($G$198*$C$188&gt;$G$198-SUM($C208:AV208),$G$198-SUM($C208:AV208),$G$198*$C$188)</f>
        <v>0</v>
      </c>
      <c r="AX208" s="367">
        <f>IF($G$198*$C$188&gt;$G$198-SUM($C208:AW208),$G$198-SUM($C208:AW208),$G$198*$C$188)</f>
        <v>0</v>
      </c>
      <c r="AY208" s="367">
        <f>IF($G$198*$C$188&gt;$G$198-SUM($C208:AX208),$G$198-SUM($C208:AX208),$G$198*$C$188)</f>
        <v>0</v>
      </c>
      <c r="AZ208" s="367">
        <f>IF($G$198*$C$188&gt;$G$198-SUM($C208:AY208),$G$198-SUM($C208:AY208),$G$198*$C$188)</f>
        <v>0</v>
      </c>
      <c r="BA208" s="367">
        <f>IF($G$198*$C$188&gt;$G$198-SUM($C208:AZ208),$G$198-SUM($C208:AZ208),$G$198*$C$188)</f>
        <v>0</v>
      </c>
      <c r="BB208" s="367">
        <f>IF($G$198*$C$188&gt;$G$198-SUM($C208:BA208),$G$198-SUM($C208:BA208),$G$198*$C$188)</f>
        <v>0</v>
      </c>
      <c r="BC208" s="367">
        <f>IF($G$198*$C$188&gt;$G$198-SUM($C208:BB208),$G$198-SUM($C208:BB208),$G$198*$C$188)</f>
        <v>0</v>
      </c>
      <c r="BD208" s="367">
        <f>IF($G$198*$C$188&gt;$G$198-SUM($C208:BC208),$G$198-SUM($C208:BC208),$G$198*$C$188)</f>
        <v>0</v>
      </c>
      <c r="BE208" s="367">
        <f>IF($G$198*$C$188&gt;$G$198-SUM($C208:BD208),$G$198-SUM($C208:BD208),$G$198*$C$188)</f>
        <v>0</v>
      </c>
    </row>
    <row r="209" spans="1:57" s="347" customFormat="1" hidden="1" outlineLevel="1">
      <c r="C209" s="389"/>
      <c r="D209" s="389"/>
      <c r="E209" s="389"/>
      <c r="F209" s="389"/>
      <c r="G209" s="389"/>
      <c r="H209" s="372">
        <f>$H$198*$C$188</f>
        <v>0</v>
      </c>
      <c r="I209" s="367">
        <f>IF($H$198*$C$188&gt;$H$198-SUM($C209:H209),$H$198-SUM($C209:H209),$H$198*$C$188)</f>
        <v>0</v>
      </c>
      <c r="J209" s="367">
        <f>IF($H$198*$C$188&gt;$H$198-SUM($C209:I209),$H$198-SUM($C209:I209),$H$198*$C$188)</f>
        <v>0</v>
      </c>
      <c r="K209" s="367">
        <f>IF($H$198*$C$188&gt;$H$198-SUM($C209:J209),$H$198-SUM($C209:J209),$H$198*$C$188)</f>
        <v>0</v>
      </c>
      <c r="L209" s="367">
        <f>IF($H$198*$C$188&gt;$H$198-SUM($C209:K209),$H$198-SUM($C209:K209),$H$198*$C$188)</f>
        <v>0</v>
      </c>
      <c r="M209" s="367">
        <f>IF($H$198*$C$188&gt;$H$198-SUM($C209:L209),$H$198-SUM($C209:L209),$H$198*$C$188)</f>
        <v>0</v>
      </c>
      <c r="N209" s="367">
        <f>IF($H$198*$C$188&gt;$H$198-SUM($C209:M209),$H$198-SUM($C209:M209),$H$198*$C$188)</f>
        <v>0</v>
      </c>
      <c r="O209" s="367">
        <f>IF($H$198*$C$188&gt;$H$198-SUM($C209:N209),$H$198-SUM($C209:N209),$H$198*$C$188)</f>
        <v>0</v>
      </c>
      <c r="P209" s="367">
        <f>IF($H$198*$C$188&gt;$H$198-SUM($C209:O209),$H$198-SUM($C209:O209),$H$198*$C$188)</f>
        <v>0</v>
      </c>
      <c r="Q209" s="367">
        <f>IF($H$198*$C$188&gt;$H$198-SUM($C209:P209),$H$198-SUM($C209:P209),$H$198*$C$188)</f>
        <v>0</v>
      </c>
      <c r="R209" s="367">
        <f>IF($H$198*$C$188&gt;$H$198-SUM($C209:Q209),$H$198-SUM($C209:Q209),$H$198*$C$188)</f>
        <v>0</v>
      </c>
      <c r="S209" s="367">
        <f>IF($H$198*$C$188&gt;$H$198-SUM($C209:R209),$H$198-SUM($C209:R209),$H$198*$C$188)</f>
        <v>0</v>
      </c>
      <c r="T209" s="367">
        <f>IF($H$198*$C$188&gt;$H$198-SUM($C209:S209),$H$198-SUM($C209:S209),$H$198*$C$188)</f>
        <v>0</v>
      </c>
      <c r="U209" s="367">
        <f>IF($H$198*$C$188&gt;$H$198-SUM($C209:T209),$H$198-SUM($C209:T209),$H$198*$C$188)</f>
        <v>0</v>
      </c>
      <c r="V209" s="367">
        <f>IF($H$198*$C$188&gt;$H$198-SUM($C209:U209),$H$198-SUM($C209:U209),$H$198*$C$188)</f>
        <v>0</v>
      </c>
      <c r="W209" s="367">
        <f>IF($H$198*$C$188&gt;$H$198-SUM($C209:V209),$H$198-SUM($C209:V209),$H$198*$C$188)</f>
        <v>0</v>
      </c>
      <c r="X209" s="367">
        <f>IF($H$198*$C$188&gt;$H$198-SUM($C209:W209),$H$198-SUM($C209:W209),$H$198*$C$188)</f>
        <v>0</v>
      </c>
      <c r="Y209" s="367">
        <f>IF($H$198*$C$188&gt;$H$198-SUM($C209:X209),$H$198-SUM($C209:X209),$H$198*$C$188)</f>
        <v>0</v>
      </c>
      <c r="Z209" s="367">
        <f>IF($H$198*$C$188&gt;$H$198-SUM($C209:Y209),$H$198-SUM($C209:Y209),$H$198*$C$188)</f>
        <v>0</v>
      </c>
      <c r="AA209" s="367">
        <f>IF($H$198*$C$188&gt;$H$198-SUM($C209:Z209),$H$198-SUM($C209:Z209),$H$198*$C$188)</f>
        <v>0</v>
      </c>
      <c r="AB209" s="367">
        <f>IF($H$198*$C$188&gt;$H$198-SUM($C209:AA209),$H$198-SUM($C209:AA209),$H$198*$C$188)</f>
        <v>0</v>
      </c>
      <c r="AC209" s="367">
        <f>IF($H$198*$C$188&gt;$H$198-SUM($C209:AB209),$H$198-SUM($C209:AB209),$H$198*$C$188)</f>
        <v>0</v>
      </c>
      <c r="AD209" s="367">
        <f>IF($H$198*$C$188&gt;$H$198-SUM($C209:AC209),$H$198-SUM($C209:AC209),$H$198*$C$188)</f>
        <v>0</v>
      </c>
      <c r="AE209" s="367">
        <f>IF($H$198*$C$188&gt;$H$198-SUM($C209:AD209),$H$198-SUM($C209:AD209),$H$198*$C$188)</f>
        <v>0</v>
      </c>
      <c r="AF209" s="367">
        <f>IF($H$198*$C$188&gt;$H$198-SUM($C209:AE209),$H$198-SUM($C209:AE209),$H$198*$C$188)</f>
        <v>0</v>
      </c>
      <c r="AG209" s="367">
        <f>IF($H$198*$C$188&gt;$H$198-SUM($C209:AF209),$H$198-SUM($C209:AF209),$H$198*$C$188)</f>
        <v>0</v>
      </c>
      <c r="AH209" s="367">
        <f>IF($H$198*$C$188&gt;$H$198-SUM($C209:AG209),$H$198-SUM($C209:AG209),$H$198*$C$188)</f>
        <v>0</v>
      </c>
      <c r="AI209" s="367">
        <f>IF($H$198*$C$188&gt;$H$198-SUM($C209:AH209),$H$198-SUM($C209:AH209),$H$198*$C$188)</f>
        <v>0</v>
      </c>
      <c r="AJ209" s="367">
        <f>IF($H$198*$C$188&gt;$H$198-SUM($C209:AI209),$H$198-SUM($C209:AI209),$H$198*$C$188)</f>
        <v>0</v>
      </c>
      <c r="AK209" s="367">
        <f>IF($H$198*$C$188&gt;$H$198-SUM($C209:AJ209),$H$198-SUM($C209:AJ209),$H$198*$C$188)</f>
        <v>0</v>
      </c>
      <c r="AL209" s="367">
        <f>IF($H$198*$C$188&gt;$H$198-SUM($C209:AK209),$H$198-SUM($C209:AK209),$H$198*$C$188)</f>
        <v>0</v>
      </c>
      <c r="AM209" s="367">
        <f>IF($H$198*$C$188&gt;$H$198-SUM($C209:AL209),$H$198-SUM($C209:AL209),$H$198*$C$188)</f>
        <v>0</v>
      </c>
      <c r="AN209" s="367">
        <f>IF($H$198*$C$188&gt;$H$198-SUM($C209:AM209),$H$198-SUM($C209:AM209),$H$198*$C$188)</f>
        <v>0</v>
      </c>
      <c r="AO209" s="367">
        <f>IF($H$198*$C$188&gt;$H$198-SUM($C209:AN209),$H$198-SUM($C209:AN209),$H$198*$C$188)</f>
        <v>0</v>
      </c>
      <c r="AP209" s="367">
        <f>IF($H$198*$C$188&gt;$H$198-SUM($C209:AO209),$H$198-SUM($C209:AO209),$H$198*$C$188)</f>
        <v>0</v>
      </c>
      <c r="AQ209" s="367">
        <f>IF($H$198*$C$188&gt;$H$198-SUM($C209:AP209),$H$198-SUM($C209:AP209),$H$198*$C$188)</f>
        <v>0</v>
      </c>
      <c r="AR209" s="367">
        <f>IF($H$198*$C$188&gt;$H$198-SUM($C209:AQ209),$H$198-SUM($C209:AQ209),$H$198*$C$188)</f>
        <v>0</v>
      </c>
      <c r="AS209" s="367">
        <f>IF($H$198*$C$188&gt;$H$198-SUM($C209:AR209),$H$198-SUM($C209:AR209),$H$198*$C$188)</f>
        <v>0</v>
      </c>
      <c r="AT209" s="367">
        <f>IF($H$198*$C$188&gt;$H$198-SUM($C209:AS209),$H$198-SUM($C209:AS209),$H$198*$C$188)</f>
        <v>0</v>
      </c>
      <c r="AU209" s="367">
        <f>IF($H$198*$C$188&gt;$H$198-SUM($C209:AT209),$H$198-SUM($C209:AT209),$H$198*$C$188)</f>
        <v>0</v>
      </c>
      <c r="AV209" s="367">
        <f>IF($H$198*$C$188&gt;$H$198-SUM($C209:AU209),$H$198-SUM($C209:AU209),$H$198*$C$188)</f>
        <v>0</v>
      </c>
      <c r="AW209" s="367">
        <f>IF($H$198*$C$188&gt;$H$198-SUM($C209:AV209),$H$198-SUM($C209:AV209),$H$198*$C$188)</f>
        <v>0</v>
      </c>
      <c r="AX209" s="367">
        <f>IF($H$198*$C$188&gt;$H$198-SUM($C209:AW209),$H$198-SUM($C209:AW209),$H$198*$C$188)</f>
        <v>0</v>
      </c>
      <c r="AY209" s="367">
        <f>IF($H$198*$C$188&gt;$H$198-SUM($C209:AX209),$H$198-SUM($C209:AX209),$H$198*$C$188)</f>
        <v>0</v>
      </c>
      <c r="AZ209" s="367">
        <f>IF($H$198*$C$188&gt;$H$198-SUM($C209:AY209),$H$198-SUM($C209:AY209),$H$198*$C$188)</f>
        <v>0</v>
      </c>
      <c r="BA209" s="367">
        <f>IF($H$198*$C$188&gt;$H$198-SUM($C209:AZ209),$H$198-SUM($C209:AZ209),$H$198*$C$188)</f>
        <v>0</v>
      </c>
      <c r="BB209" s="367">
        <f>IF($H$198*$C$188&gt;$H$198-SUM($C209:BA209),$H$198-SUM($C209:BA209),$H$198*$C$188)</f>
        <v>0</v>
      </c>
      <c r="BC209" s="367">
        <f>IF($H$198*$C$188&gt;$H$198-SUM($C209:BB209),$H$198-SUM($C209:BB209),$H$198*$C$188)</f>
        <v>0</v>
      </c>
      <c r="BD209" s="367">
        <f>IF($H$198*$C$188&gt;$H$198-SUM($C209:BC209),$H$198-SUM($C209:BC209),$H$198*$C$188)</f>
        <v>0</v>
      </c>
      <c r="BE209" s="367">
        <f>IF($H$198*$C$188&gt;$H$198-SUM($C209:BD209),$H$198-SUM($C209:BD209),$H$198*$C$188)</f>
        <v>0</v>
      </c>
    </row>
    <row r="210" spans="1:57" s="347" customFormat="1" hidden="1" outlineLevel="1">
      <c r="C210" s="389"/>
      <c r="D210" s="389"/>
      <c r="E210" s="389"/>
      <c r="F210" s="389"/>
      <c r="G210" s="389"/>
      <c r="H210" s="389"/>
      <c r="I210" s="372">
        <f>$I$198*$C$188</f>
        <v>0</v>
      </c>
      <c r="J210" s="367">
        <f>IF($I$198*$C$188&gt;$I$198-SUM($C210:I210),$I$198-SUM($C210:I210),$I$198*$C$188)</f>
        <v>0</v>
      </c>
      <c r="K210" s="367">
        <f>IF($I$198*$C$188&gt;$I$198-SUM($C210:J210),$I$198-SUM($C210:J210),$I$198*$C$188)</f>
        <v>0</v>
      </c>
      <c r="L210" s="367">
        <f>IF($I$198*$C$188&gt;$I$198-SUM($C210:K210),$I$198-SUM($C210:K210),$I$198*$C$188)</f>
        <v>0</v>
      </c>
      <c r="M210" s="367">
        <f>IF($I$198*$C$188&gt;$I$198-SUM($C210:L210),$I$198-SUM($C210:L210),$I$198*$C$188)</f>
        <v>0</v>
      </c>
      <c r="N210" s="367">
        <f>IF($I$198*$C$188&gt;$I$198-SUM($C210:M210),$I$198-SUM($C210:M210),$I$198*$C$188)</f>
        <v>0</v>
      </c>
      <c r="O210" s="367">
        <f>IF($I$198*$C$188&gt;$I$198-SUM($C210:N210),$I$198-SUM($C210:N210),$I$198*$C$188)</f>
        <v>0</v>
      </c>
      <c r="P210" s="367">
        <f>IF($I$198*$C$188&gt;$I$198-SUM($C210:O210),$I$198-SUM($C210:O210),$I$198*$C$188)</f>
        <v>0</v>
      </c>
      <c r="Q210" s="367">
        <f>IF($I$198*$C$188&gt;$I$198-SUM($C210:P210),$I$198-SUM($C210:P210),$I$198*$C$188)</f>
        <v>0</v>
      </c>
      <c r="R210" s="367">
        <f>IF($I$198*$C$188&gt;$I$198-SUM($C210:Q210),$I$198-SUM($C210:Q210),$I$198*$C$188)</f>
        <v>0</v>
      </c>
      <c r="S210" s="367">
        <f>IF($I$198*$C$188&gt;$I$198-SUM($C210:R210),$I$198-SUM($C210:R210),$I$198*$C$188)</f>
        <v>0</v>
      </c>
      <c r="T210" s="367">
        <f>IF($I$198*$C$188&gt;$I$198-SUM($C210:S210),$I$198-SUM($C210:S210),$I$198*$C$188)</f>
        <v>0</v>
      </c>
      <c r="U210" s="367">
        <f>IF($I$198*$C$188&gt;$I$198-SUM($C210:T210),$I$198-SUM($C210:T210),$I$198*$C$188)</f>
        <v>0</v>
      </c>
      <c r="V210" s="367">
        <f>IF($I$198*$C$188&gt;$I$198-SUM($C210:U210),$I$198-SUM($C210:U210),$I$198*$C$188)</f>
        <v>0</v>
      </c>
      <c r="W210" s="367">
        <f>IF($I$198*$C$188&gt;$I$198-SUM($C210:V210),$I$198-SUM($C210:V210),$I$198*$C$188)</f>
        <v>0</v>
      </c>
      <c r="X210" s="367">
        <f>IF($I$198*$C$188&gt;$I$198-SUM($C210:W210),$I$198-SUM($C210:W210),$I$198*$C$188)</f>
        <v>0</v>
      </c>
      <c r="Y210" s="367">
        <f>IF($I$198*$C$188&gt;$I$198-SUM($C210:X210),$I$198-SUM($C210:X210),$I$198*$C$188)</f>
        <v>0</v>
      </c>
      <c r="Z210" s="367">
        <f>IF($I$198*$C$188&gt;$I$198-SUM($C210:Y210),$I$198-SUM($C210:Y210),$I$198*$C$188)</f>
        <v>0</v>
      </c>
      <c r="AA210" s="367">
        <f>IF($I$198*$C$188&gt;$I$198-SUM($C210:Z210),$I$198-SUM($C210:Z210),$I$198*$C$188)</f>
        <v>0</v>
      </c>
      <c r="AB210" s="367">
        <f>IF($I$198*$C$188&gt;$I$198-SUM($C210:AA210),$I$198-SUM($C210:AA210),$I$198*$C$188)</f>
        <v>0</v>
      </c>
      <c r="AC210" s="367">
        <f>IF($I$198*$C$188&gt;$I$198-SUM($C210:AB210),$I$198-SUM($C210:AB210),$I$198*$C$188)</f>
        <v>0</v>
      </c>
      <c r="AD210" s="367">
        <f>IF($I$198*$C$188&gt;$I$198-SUM($C210:AC210),$I$198-SUM($C210:AC210),$I$198*$C$188)</f>
        <v>0</v>
      </c>
      <c r="AE210" s="367">
        <f>IF($I$198*$C$188&gt;$I$198-SUM($C210:AD210),$I$198-SUM($C210:AD210),$I$198*$C$188)</f>
        <v>0</v>
      </c>
      <c r="AF210" s="367">
        <f>IF($I$198*$C$188&gt;$I$198-SUM($C210:AE210),$I$198-SUM($C210:AE210),$I$198*$C$188)</f>
        <v>0</v>
      </c>
      <c r="AG210" s="367">
        <f>IF($I$198*$C$188&gt;$I$198-SUM($C210:AF210),$I$198-SUM($C210:AF210),$I$198*$C$188)</f>
        <v>0</v>
      </c>
      <c r="AH210" s="367">
        <f>IF($I$198*$C$188&gt;$I$198-SUM($C210:AG210),$I$198-SUM($C210:AG210),$I$198*$C$188)</f>
        <v>0</v>
      </c>
      <c r="AI210" s="367">
        <f>IF($I$198*$C$188&gt;$I$198-SUM($C210:AH210),$I$198-SUM($C210:AH210),$I$198*$C$188)</f>
        <v>0</v>
      </c>
      <c r="AJ210" s="367">
        <f>IF($I$198*$C$188&gt;$I$198-SUM($C210:AI210),$I$198-SUM($C210:AI210),$I$198*$C$188)</f>
        <v>0</v>
      </c>
      <c r="AK210" s="367">
        <f>IF($I$198*$C$188&gt;$I$198-SUM($C210:AJ210),$I$198-SUM($C210:AJ210),$I$198*$C$188)</f>
        <v>0</v>
      </c>
      <c r="AL210" s="367">
        <f>IF($I$198*$C$188&gt;$I$198-SUM($C210:AK210),$I$198-SUM($C210:AK210),$I$198*$C$188)</f>
        <v>0</v>
      </c>
      <c r="AM210" s="367">
        <f>IF($I$198*$C$188&gt;$I$198-SUM($C210:AL210),$I$198-SUM($C210:AL210),$I$198*$C$188)</f>
        <v>0</v>
      </c>
      <c r="AN210" s="367">
        <f>IF($I$198*$C$188&gt;$I$198-SUM($C210:AM210),$I$198-SUM($C210:AM210),$I$198*$C$188)</f>
        <v>0</v>
      </c>
      <c r="AO210" s="367">
        <f>IF($I$198*$C$188&gt;$I$198-SUM($C210:AN210),$I$198-SUM($C210:AN210),$I$198*$C$188)</f>
        <v>0</v>
      </c>
      <c r="AP210" s="367">
        <f>IF($I$198*$C$188&gt;$I$198-SUM($C210:AO210),$I$198-SUM($C210:AO210),$I$198*$C$188)</f>
        <v>0</v>
      </c>
      <c r="AQ210" s="367">
        <f>IF($I$198*$C$188&gt;$I$198-SUM($C210:AP210),$I$198-SUM($C210:AP210),$I$198*$C$188)</f>
        <v>0</v>
      </c>
      <c r="AR210" s="367">
        <f>IF($I$198*$C$188&gt;$I$198-SUM($C210:AQ210),$I$198-SUM($C210:AQ210),$I$198*$C$188)</f>
        <v>0</v>
      </c>
      <c r="AS210" s="367">
        <f>IF($I$198*$C$188&gt;$I$198-SUM($C210:AR210),$I$198-SUM($C210:AR210),$I$198*$C$188)</f>
        <v>0</v>
      </c>
      <c r="AT210" s="367">
        <f>IF($I$198*$C$188&gt;$I$198-SUM($C210:AS210),$I$198-SUM($C210:AS210),$I$198*$C$188)</f>
        <v>0</v>
      </c>
      <c r="AU210" s="367">
        <f>IF($I$198*$C$188&gt;$I$198-SUM($C210:AT210),$I$198-SUM($C210:AT210),$I$198*$C$188)</f>
        <v>0</v>
      </c>
      <c r="AV210" s="367">
        <f>IF($I$198*$C$188&gt;$I$198-SUM($C210:AU210),$I$198-SUM($C210:AU210),$I$198*$C$188)</f>
        <v>0</v>
      </c>
      <c r="AW210" s="367">
        <f>IF($I$198*$C$188&gt;$I$198-SUM($C210:AV210),$I$198-SUM($C210:AV210),$I$198*$C$188)</f>
        <v>0</v>
      </c>
      <c r="AX210" s="367">
        <f>IF($I$198*$C$188&gt;$I$198-SUM($C210:AW210),$I$198-SUM($C210:AW210),$I$198*$C$188)</f>
        <v>0</v>
      </c>
      <c r="AY210" s="367">
        <f>IF($I$198*$C$188&gt;$I$198-SUM($C210:AX210),$I$198-SUM($C210:AX210),$I$198*$C$188)</f>
        <v>0</v>
      </c>
      <c r="AZ210" s="367">
        <f>IF($I$198*$C$188&gt;$I$198-SUM($C210:AY210),$I$198-SUM($C210:AY210),$I$198*$C$188)</f>
        <v>0</v>
      </c>
      <c r="BA210" s="367">
        <f>IF($I$198*$C$188&gt;$I$198-SUM($C210:AZ210),$I$198-SUM($C210:AZ210),$I$198*$C$188)</f>
        <v>0</v>
      </c>
      <c r="BB210" s="367">
        <f>IF($I$198*$C$188&gt;$I$198-SUM($C210:BA210),$I$198-SUM($C210:BA210),$I$198*$C$188)</f>
        <v>0</v>
      </c>
      <c r="BC210" s="367">
        <f>IF($I$198*$C$188&gt;$I$198-SUM($C210:BB210),$I$198-SUM($C210:BB210),$I$198*$C$188)</f>
        <v>0</v>
      </c>
      <c r="BD210" s="367">
        <f>IF($I$198*$C$188&gt;$I$198-SUM($C210:BC210),$I$198-SUM($C210:BC210),$I$198*$C$188)</f>
        <v>0</v>
      </c>
      <c r="BE210" s="367">
        <f>IF($I$198*$C$188&gt;$I$198-SUM($C210:BD210),$I$198-SUM($C210:BD210),$I$198*$C$188)</f>
        <v>0</v>
      </c>
    </row>
    <row r="211" spans="1:57" s="347" customFormat="1" hidden="1" outlineLevel="1">
      <c r="C211" s="389"/>
      <c r="D211" s="389"/>
      <c r="E211" s="389"/>
      <c r="F211" s="389"/>
      <c r="G211" s="389"/>
      <c r="H211" s="389"/>
      <c r="I211" s="389"/>
      <c r="J211" s="372">
        <f>$J$198*$C$188</f>
        <v>0</v>
      </c>
      <c r="K211" s="367">
        <f>IF($J$198*$C$188&gt;$J$198-SUM($C211:J211),$J$198-SUM($C211:J211),$J$198*$C$188)</f>
        <v>0</v>
      </c>
      <c r="L211" s="367">
        <f>IF($J$198*$C$188&gt;$J$198-SUM($C211:K211),$J$198-SUM($C211:K211),$J$198*$C$188)</f>
        <v>0</v>
      </c>
      <c r="M211" s="367">
        <f>IF($J$198*$C$188&gt;$J$198-SUM($C211:L211),$J$198-SUM($C211:L211),$J$198*$C$188)</f>
        <v>0</v>
      </c>
      <c r="N211" s="367">
        <f>IF($J$198*$C$188&gt;$J$198-SUM($C211:M211),$J$198-SUM($C211:M211),$J$198*$C$188)</f>
        <v>0</v>
      </c>
      <c r="O211" s="367">
        <f>IF($J$198*$C$188&gt;$J$198-SUM($C211:N211),$J$198-SUM($C211:N211),$J$198*$C$188)</f>
        <v>0</v>
      </c>
      <c r="P211" s="367">
        <f>IF($J$198*$C$188&gt;$J$198-SUM($C211:O211),$J$198-SUM($C211:O211),$J$198*$C$188)</f>
        <v>0</v>
      </c>
      <c r="Q211" s="367">
        <f>IF($J$198*$C$188&gt;$J$198-SUM($C211:P211),$J$198-SUM($C211:P211),$J$198*$C$188)</f>
        <v>0</v>
      </c>
      <c r="R211" s="367">
        <f>IF($J$198*$C$188&gt;$J$198-SUM($C211:Q211),$J$198-SUM($C211:Q211),$J$198*$C$188)</f>
        <v>0</v>
      </c>
      <c r="S211" s="367">
        <f>IF($J$198*$C$188&gt;$J$198-SUM($C211:R211),$J$198-SUM($C211:R211),$J$198*$C$188)</f>
        <v>0</v>
      </c>
      <c r="T211" s="367">
        <f>IF($J$198*$C$188&gt;$J$198-SUM($C211:S211),$J$198-SUM($C211:S211),$J$198*$C$188)</f>
        <v>0</v>
      </c>
      <c r="U211" s="367">
        <f>IF($J$198*$C$188&gt;$J$198-SUM($C211:T211),$J$198-SUM($C211:T211),$J$198*$C$188)</f>
        <v>0</v>
      </c>
      <c r="V211" s="367">
        <f>IF($J$198*$C$188&gt;$J$198-SUM($C211:U211),$J$198-SUM($C211:U211),$J$198*$C$188)</f>
        <v>0</v>
      </c>
      <c r="W211" s="367">
        <f>IF($J$198*$C$188&gt;$J$198-SUM($C211:V211),$J$198-SUM($C211:V211),$J$198*$C$188)</f>
        <v>0</v>
      </c>
      <c r="X211" s="367">
        <f>IF($J$198*$C$188&gt;$J$198-SUM($C211:W211),$J$198-SUM($C211:W211),$J$198*$C$188)</f>
        <v>0</v>
      </c>
      <c r="Y211" s="367">
        <f>IF($J$198*$C$188&gt;$J$198-SUM($C211:X211),$J$198-SUM($C211:X211),$J$198*$C$188)</f>
        <v>0</v>
      </c>
      <c r="Z211" s="367">
        <f>IF($J$198*$C$188&gt;$J$198-SUM($C211:Y211),$J$198-SUM($C211:Y211),$J$198*$C$188)</f>
        <v>0</v>
      </c>
      <c r="AA211" s="367">
        <f>IF($J$198*$C$188&gt;$J$198-SUM($C211:Z211),$J$198-SUM($C211:Z211),$J$198*$C$188)</f>
        <v>0</v>
      </c>
      <c r="AB211" s="367">
        <f>IF($J$198*$C$188&gt;$J$198-SUM($C211:AA211),$J$198-SUM($C211:AA211),$J$198*$C$188)</f>
        <v>0</v>
      </c>
      <c r="AC211" s="367">
        <f>IF($J$198*$C$188&gt;$J$198-SUM($C211:AB211),$J$198-SUM($C211:AB211),$J$198*$C$188)</f>
        <v>0</v>
      </c>
      <c r="AD211" s="367">
        <f>IF($J$198*$C$188&gt;$J$198-SUM($C211:AC211),$J$198-SUM($C211:AC211),$J$198*$C$188)</f>
        <v>0</v>
      </c>
      <c r="AE211" s="367">
        <f>IF($J$198*$C$188&gt;$J$198-SUM($C211:AD211),$J$198-SUM($C211:AD211),$J$198*$C$188)</f>
        <v>0</v>
      </c>
      <c r="AF211" s="367">
        <f>IF($J$198*$C$188&gt;$J$198-SUM($C211:AE211),$J$198-SUM($C211:AE211),$J$198*$C$188)</f>
        <v>0</v>
      </c>
      <c r="AG211" s="367">
        <f>IF($J$198*$C$188&gt;$J$198-SUM($C211:AF211),$J$198-SUM($C211:AF211),$J$198*$C$188)</f>
        <v>0</v>
      </c>
      <c r="AH211" s="367">
        <f>IF($J$198*$C$188&gt;$J$198-SUM($C211:AG211),$J$198-SUM($C211:AG211),$J$198*$C$188)</f>
        <v>0</v>
      </c>
      <c r="AI211" s="367">
        <f>IF($J$198*$C$188&gt;$J$198-SUM($C211:AH211),$J$198-SUM($C211:AH211),$J$198*$C$188)</f>
        <v>0</v>
      </c>
      <c r="AJ211" s="367">
        <f>IF($J$198*$C$188&gt;$J$198-SUM($C211:AI211),$J$198-SUM($C211:AI211),$J$198*$C$188)</f>
        <v>0</v>
      </c>
      <c r="AK211" s="367">
        <f>IF($J$198*$C$188&gt;$J$198-SUM($C211:AJ211),$J$198-SUM($C211:AJ211),$J$198*$C$188)</f>
        <v>0</v>
      </c>
      <c r="AL211" s="367">
        <f>IF($J$198*$C$188&gt;$J$198-SUM($C211:AK211),$J$198-SUM($C211:AK211),$J$198*$C$188)</f>
        <v>0</v>
      </c>
      <c r="AM211" s="367">
        <f>IF($J$198*$C$188&gt;$J$198-SUM($C211:AL211),$J$198-SUM($C211:AL211),$J$198*$C$188)</f>
        <v>0</v>
      </c>
      <c r="AN211" s="367">
        <f>IF($J$198*$C$188&gt;$J$198-SUM($C211:AM211),$J$198-SUM($C211:AM211),$J$198*$C$188)</f>
        <v>0</v>
      </c>
      <c r="AO211" s="367">
        <f>IF($J$198*$C$188&gt;$J$198-SUM($C211:AN211),$J$198-SUM($C211:AN211),$J$198*$C$188)</f>
        <v>0</v>
      </c>
      <c r="AP211" s="367">
        <f>IF($J$198*$C$188&gt;$J$198-SUM($C211:AO211),$J$198-SUM($C211:AO211),$J$198*$C$188)</f>
        <v>0</v>
      </c>
      <c r="AQ211" s="367">
        <f>IF($J$198*$C$188&gt;$J$198-SUM($C211:AP211),$J$198-SUM($C211:AP211),$J$198*$C$188)</f>
        <v>0</v>
      </c>
      <c r="AR211" s="367">
        <f>IF($J$198*$C$188&gt;$J$198-SUM($C211:AQ211),$J$198-SUM($C211:AQ211),$J$198*$C$188)</f>
        <v>0</v>
      </c>
      <c r="AS211" s="367">
        <f>IF($J$198*$C$188&gt;$J$198-SUM($C211:AR211),$J$198-SUM($C211:AR211),$J$198*$C$188)</f>
        <v>0</v>
      </c>
      <c r="AT211" s="367">
        <f>IF($J$198*$C$188&gt;$J$198-SUM($C211:AS211),$J$198-SUM($C211:AS211),$J$198*$C$188)</f>
        <v>0</v>
      </c>
      <c r="AU211" s="367">
        <f>IF($J$198*$C$188&gt;$J$198-SUM($C211:AT211),$J$198-SUM($C211:AT211),$J$198*$C$188)</f>
        <v>0</v>
      </c>
      <c r="AV211" s="367">
        <f>IF($J$198*$C$188&gt;$J$198-SUM($C211:AU211),$J$198-SUM($C211:AU211),$J$198*$C$188)</f>
        <v>0</v>
      </c>
      <c r="AW211" s="367">
        <f>IF($J$198*$C$188&gt;$J$198-SUM($C211:AV211),$J$198-SUM($C211:AV211),$J$198*$C$188)</f>
        <v>0</v>
      </c>
      <c r="AX211" s="367">
        <f>IF($J$198*$C$188&gt;$J$198-SUM($C211:AW211),$J$198-SUM($C211:AW211),$J$198*$C$188)</f>
        <v>0</v>
      </c>
      <c r="AY211" s="367">
        <f>IF($J$198*$C$188&gt;$J$198-SUM($C211:AX211),$J$198-SUM($C211:AX211),$J$198*$C$188)</f>
        <v>0</v>
      </c>
      <c r="AZ211" s="367">
        <f>IF($J$198*$C$188&gt;$J$198-SUM($C211:AY211),$J$198-SUM($C211:AY211),$J$198*$C$188)</f>
        <v>0</v>
      </c>
      <c r="BA211" s="367">
        <f>IF($J$198*$C$188&gt;$J$198-SUM($C211:AZ211),$J$198-SUM($C211:AZ211),$J$198*$C$188)</f>
        <v>0</v>
      </c>
      <c r="BB211" s="367">
        <f>IF($J$198*$C$188&gt;$J$198-SUM($C211:BA211),$J$198-SUM($C211:BA211),$J$198*$C$188)</f>
        <v>0</v>
      </c>
      <c r="BC211" s="367">
        <f>IF($J$198*$C$188&gt;$J$198-SUM($C211:BB211),$J$198-SUM($C211:BB211),$J$198*$C$188)</f>
        <v>0</v>
      </c>
      <c r="BD211" s="367">
        <f>IF($J$198*$C$188&gt;$J$198-SUM($C211:BC211),$J$198-SUM($C211:BC211),$J$198*$C$188)</f>
        <v>0</v>
      </c>
      <c r="BE211" s="367">
        <f>IF($J$198*$C$188&gt;$J$198-SUM($C211:BD211),$J$198-SUM($C211:BD211),$J$198*$C$188)</f>
        <v>0</v>
      </c>
    </row>
    <row r="212" spans="1:57" s="347" customFormat="1" hidden="1" outlineLevel="1">
      <c r="C212" s="389"/>
      <c r="D212" s="389"/>
      <c r="E212" s="389"/>
      <c r="F212" s="389"/>
      <c r="G212" s="389"/>
      <c r="H212" s="389"/>
      <c r="I212" s="389"/>
      <c r="J212" s="389"/>
      <c r="K212" s="372">
        <f>$K$198*$C$188</f>
        <v>0</v>
      </c>
      <c r="L212" s="367">
        <f>IF($K$198*$C$188&gt;$K$198-SUM($C212:K212),$K$198-SUM($C212:K212),$K$198*$C$188)</f>
        <v>0</v>
      </c>
      <c r="M212" s="367">
        <f>IF($K$198*$C$188&gt;$K$198-SUM($C212:L212),$K$198-SUM($C212:L212),$K$198*$C$188)</f>
        <v>0</v>
      </c>
      <c r="N212" s="367">
        <f>IF($K$198*$C$188&gt;$K$198-SUM($C212:M212),$K$198-SUM($C212:M212),$K$198*$C$188)</f>
        <v>0</v>
      </c>
      <c r="O212" s="367">
        <f>IF($K$198*$C$188&gt;$K$198-SUM($C212:N212),$K$198-SUM($C212:N212),$K$198*$C$188)</f>
        <v>0</v>
      </c>
      <c r="P212" s="367">
        <f>IF($K$198*$C$188&gt;$K$198-SUM($C212:O212),$K$198-SUM($C212:O212),$K$198*$C$188)</f>
        <v>0</v>
      </c>
      <c r="Q212" s="367">
        <f>IF($K$198*$C$188&gt;$K$198-SUM($C212:P212),$K$198-SUM($C212:P212),$K$198*$C$188)</f>
        <v>0</v>
      </c>
      <c r="R212" s="367">
        <f>IF($K$198*$C$188&gt;$K$198-SUM($C212:Q212),$K$198-SUM($C212:Q212),$K$198*$C$188)</f>
        <v>0</v>
      </c>
      <c r="S212" s="367">
        <f>IF($K$198*$C$188&gt;$K$198-SUM($C212:R212),$K$198-SUM($C212:R212),$K$198*$C$188)</f>
        <v>0</v>
      </c>
      <c r="T212" s="367">
        <f>IF($K$198*$C$188&gt;$K$198-SUM($C212:S212),$K$198-SUM($C212:S212),$K$198*$C$188)</f>
        <v>0</v>
      </c>
      <c r="U212" s="367">
        <f>IF($K$198*$C$188&gt;$K$198-SUM($C212:T212),$K$198-SUM($C212:T212),$K$198*$C$188)</f>
        <v>0</v>
      </c>
      <c r="V212" s="367">
        <f>IF($K$198*$C$188&gt;$K$198-SUM($C212:U212),$K$198-SUM($C212:U212),$K$198*$C$188)</f>
        <v>0</v>
      </c>
      <c r="W212" s="367">
        <f>IF($K$198*$C$188&gt;$K$198-SUM($C212:V212),$K$198-SUM($C212:V212),$K$198*$C$188)</f>
        <v>0</v>
      </c>
      <c r="X212" s="367">
        <f>IF($K$198*$C$188&gt;$K$198-SUM($C212:W212),$K$198-SUM($C212:W212),$K$198*$C$188)</f>
        <v>0</v>
      </c>
      <c r="Y212" s="367">
        <f>IF($K$198*$C$188&gt;$K$198-SUM($C212:X212),$K$198-SUM($C212:X212),$K$198*$C$188)</f>
        <v>0</v>
      </c>
      <c r="Z212" s="367">
        <f>IF($K$198*$C$188&gt;$K$198-SUM($C212:Y212),$K$198-SUM($C212:Y212),$K$198*$C$188)</f>
        <v>0</v>
      </c>
      <c r="AA212" s="367">
        <f>IF($K$198*$C$188&gt;$K$198-SUM($C212:Z212),$K$198-SUM($C212:Z212),$K$198*$C$188)</f>
        <v>0</v>
      </c>
      <c r="AB212" s="367">
        <f>IF($K$198*$C$188&gt;$K$198-SUM($C212:AA212),$K$198-SUM($C212:AA212),$K$198*$C$188)</f>
        <v>0</v>
      </c>
      <c r="AC212" s="367">
        <f>IF($K$198*$C$188&gt;$K$198-SUM($C212:AB212),$K$198-SUM($C212:AB212),$K$198*$C$188)</f>
        <v>0</v>
      </c>
      <c r="AD212" s="367">
        <f>IF($K$198*$C$188&gt;$K$198-SUM($C212:AC212),$K$198-SUM($C212:AC212),$K$198*$C$188)</f>
        <v>0</v>
      </c>
      <c r="AE212" s="367">
        <f>IF($K$198*$C$188&gt;$K$198-SUM($C212:AD212),$K$198-SUM($C212:AD212),$K$198*$C$188)</f>
        <v>0</v>
      </c>
      <c r="AF212" s="367">
        <f>IF($K$198*$C$188&gt;$K$198-SUM($C212:AE212),$K$198-SUM($C212:AE212),$K$198*$C$188)</f>
        <v>0</v>
      </c>
      <c r="AG212" s="367">
        <f>IF($K$198*$C$188&gt;$K$198-SUM($C212:AF212),$K$198-SUM($C212:AF212),$K$198*$C$188)</f>
        <v>0</v>
      </c>
      <c r="AH212" s="367">
        <f>IF($K$198*$C$188&gt;$K$198-SUM($C212:AG212),$K$198-SUM($C212:AG212),$K$198*$C$188)</f>
        <v>0</v>
      </c>
      <c r="AI212" s="367">
        <f>IF($K$198*$C$188&gt;$K$198-SUM($C212:AH212),$K$198-SUM($C212:AH212),$K$198*$C$188)</f>
        <v>0</v>
      </c>
      <c r="AJ212" s="367">
        <f>IF($K$198*$C$188&gt;$K$198-SUM($C212:AI212),$K$198-SUM($C212:AI212),$K$198*$C$188)</f>
        <v>0</v>
      </c>
      <c r="AK212" s="367">
        <f>IF($K$198*$C$188&gt;$K$198-SUM($C212:AJ212),$K$198-SUM($C212:AJ212),$K$198*$C$188)</f>
        <v>0</v>
      </c>
      <c r="AL212" s="367">
        <f>IF($K$198*$C$188&gt;$K$198-SUM($C212:AK212),$K$198-SUM($C212:AK212),$K$198*$C$188)</f>
        <v>0</v>
      </c>
      <c r="AM212" s="367">
        <f>IF($K$198*$C$188&gt;$K$198-SUM($C212:AL212),$K$198-SUM($C212:AL212),$K$198*$C$188)</f>
        <v>0</v>
      </c>
      <c r="AN212" s="367">
        <f>IF($K$198*$C$188&gt;$K$198-SUM($C212:AM212),$K$198-SUM($C212:AM212),$K$198*$C$188)</f>
        <v>0</v>
      </c>
      <c r="AO212" s="367">
        <f>IF($K$198*$C$188&gt;$K$198-SUM($C212:AN212),$K$198-SUM($C212:AN212),$K$198*$C$188)</f>
        <v>0</v>
      </c>
      <c r="AP212" s="367">
        <f>IF($K$198*$C$188&gt;$K$198-SUM($C212:AO212),$K$198-SUM($C212:AO212),$K$198*$C$188)</f>
        <v>0</v>
      </c>
      <c r="AQ212" s="367">
        <f>IF($K$198*$C$188&gt;$K$198-SUM($C212:AP212),$K$198-SUM($C212:AP212),$K$198*$C$188)</f>
        <v>0</v>
      </c>
      <c r="AR212" s="367">
        <f>IF($K$198*$C$188&gt;$K$198-SUM($C212:AQ212),$K$198-SUM($C212:AQ212),$K$198*$C$188)</f>
        <v>0</v>
      </c>
      <c r="AS212" s="367">
        <f>IF($K$198*$C$188&gt;$K$198-SUM($C212:AR212),$K$198-SUM($C212:AR212),$K$198*$C$188)</f>
        <v>0</v>
      </c>
      <c r="AT212" s="367">
        <f>IF($K$198*$C$188&gt;$K$198-SUM($C212:AS212),$K$198-SUM($C212:AS212),$K$198*$C$188)</f>
        <v>0</v>
      </c>
      <c r="AU212" s="367">
        <f>IF($K$198*$C$188&gt;$K$198-SUM($C212:AT212),$K$198-SUM($C212:AT212),$K$198*$C$188)</f>
        <v>0</v>
      </c>
      <c r="AV212" s="367">
        <f>IF($K$198*$C$188&gt;$K$198-SUM($C212:AU212),$K$198-SUM($C212:AU212),$K$198*$C$188)</f>
        <v>0</v>
      </c>
      <c r="AW212" s="367">
        <f>IF($K$198*$C$188&gt;$K$198-SUM($C212:AV212),$K$198-SUM($C212:AV212),$K$198*$C$188)</f>
        <v>0</v>
      </c>
      <c r="AX212" s="367">
        <f>IF($K$198*$C$188&gt;$K$198-SUM($C212:AW212),$K$198-SUM($C212:AW212),$K$198*$C$188)</f>
        <v>0</v>
      </c>
      <c r="AY212" s="367">
        <f>IF($K$198*$C$188&gt;$K$198-SUM($C212:AX212),$K$198-SUM($C212:AX212),$K$198*$C$188)</f>
        <v>0</v>
      </c>
      <c r="AZ212" s="367">
        <f>IF($K$198*$C$188&gt;$K$198-SUM($C212:AY212),$K$198-SUM($C212:AY212),$K$198*$C$188)</f>
        <v>0</v>
      </c>
      <c r="BA212" s="367">
        <f>IF($K$198*$C$188&gt;$K$198-SUM($C212:AZ212),$K$198-SUM($C212:AZ212),$K$198*$C$188)</f>
        <v>0</v>
      </c>
      <c r="BB212" s="367">
        <f>IF($K$198*$C$188&gt;$K$198-SUM($C212:BA212),$K$198-SUM($C212:BA212),$K$198*$C$188)</f>
        <v>0</v>
      </c>
      <c r="BC212" s="367">
        <f>IF($K$198*$C$188&gt;$K$198-SUM($C212:BB212),$K$198-SUM($C212:BB212),$K$198*$C$188)</f>
        <v>0</v>
      </c>
      <c r="BD212" s="367">
        <f>IF($K$198*$C$188&gt;$K$198-SUM($C212:BC212),$K$198-SUM($C212:BC212),$K$198*$C$188)</f>
        <v>0</v>
      </c>
      <c r="BE212" s="367">
        <f>IF($K$198*$C$188&gt;$K$198-SUM($C212:BD212),$K$198-SUM($C212:BD212),$K$198*$C$188)</f>
        <v>0</v>
      </c>
    </row>
    <row r="213" spans="1:57" s="347" customFormat="1" hidden="1" outlineLevel="1">
      <c r="C213" s="389"/>
      <c r="D213" s="389"/>
      <c r="E213" s="389"/>
      <c r="F213" s="389"/>
      <c r="G213" s="389"/>
      <c r="H213" s="389"/>
      <c r="I213" s="389"/>
      <c r="J213" s="389"/>
      <c r="K213" s="389"/>
      <c r="L213" s="372">
        <f>$L$198*$C$188</f>
        <v>0</v>
      </c>
      <c r="M213" s="367">
        <f>IF($L$198*$C$188&gt;$L$198-SUM($C213:L213),$L$198-SUM($C213:L213),$L$198*$C$188)</f>
        <v>0</v>
      </c>
      <c r="N213" s="367">
        <f>IF($L$198*$C$188&gt;$L$198-SUM($C213:M213),$L$198-SUM($C213:M213),$L$198*$C$188)</f>
        <v>0</v>
      </c>
      <c r="O213" s="367">
        <f>IF($L$198*$C$188&gt;$L$198-SUM($C213:N213),$L$198-SUM($C213:N213),$L$198*$C$188)</f>
        <v>0</v>
      </c>
      <c r="P213" s="367">
        <f>IF($L$198*$C$188&gt;$L$198-SUM($C213:O213),$L$198-SUM($C213:O213),$L$198*$C$188)</f>
        <v>0</v>
      </c>
      <c r="Q213" s="367">
        <f>IF($L$198*$C$188&gt;$L$198-SUM($C213:P213),$L$198-SUM($C213:P213),$L$198*$C$188)</f>
        <v>0</v>
      </c>
      <c r="R213" s="367">
        <f>IF($L$198*$C$188&gt;$L$198-SUM($C213:Q213),$L$198-SUM($C213:Q213),$L$198*$C$188)</f>
        <v>0</v>
      </c>
      <c r="S213" s="367">
        <f>IF($L$198*$C$188&gt;$L$198-SUM($C213:R213),$L$198-SUM($C213:R213),$L$198*$C$188)</f>
        <v>0</v>
      </c>
      <c r="T213" s="367">
        <f>IF($L$198*$C$188&gt;$L$198-SUM($C213:S213),$L$198-SUM($C213:S213),$L$198*$C$188)</f>
        <v>0</v>
      </c>
      <c r="U213" s="367">
        <f>IF($L$198*$C$188&gt;$L$198-SUM($C213:T213),$L$198-SUM($C213:T213),$L$198*$C$188)</f>
        <v>0</v>
      </c>
      <c r="V213" s="367">
        <f>IF($L$198*$C$188&gt;$L$198-SUM($C213:U213),$L$198-SUM($C213:U213),$L$198*$C$188)</f>
        <v>0</v>
      </c>
      <c r="W213" s="367">
        <f>IF($L$198*$C$188&gt;$L$198-SUM($C213:V213),$L$198-SUM($C213:V213),$L$198*$C$188)</f>
        <v>0</v>
      </c>
      <c r="X213" s="367">
        <f>IF($L$198*$C$188&gt;$L$198-SUM($C213:W213),$L$198-SUM($C213:W213),$L$198*$C$188)</f>
        <v>0</v>
      </c>
      <c r="Y213" s="367">
        <f>IF($L$198*$C$188&gt;$L$198-SUM($C213:X213),$L$198-SUM($C213:X213),$L$198*$C$188)</f>
        <v>0</v>
      </c>
      <c r="Z213" s="367">
        <f>IF($L$198*$C$188&gt;$L$198-SUM($C213:Y213),$L$198-SUM($C213:Y213),$L$198*$C$188)</f>
        <v>0</v>
      </c>
      <c r="AA213" s="367">
        <f>IF($L$198*$C$188&gt;$L$198-SUM($C213:Z213),$L$198-SUM($C213:Z213),$L$198*$C$188)</f>
        <v>0</v>
      </c>
      <c r="AB213" s="367">
        <f>IF($L$198*$C$188&gt;$L$198-SUM($C213:AA213),$L$198-SUM($C213:AA213),$L$198*$C$188)</f>
        <v>0</v>
      </c>
      <c r="AC213" s="367">
        <f>IF($L$198*$C$188&gt;$L$198-SUM($C213:AB213),$L$198-SUM($C213:AB213),$L$198*$C$188)</f>
        <v>0</v>
      </c>
      <c r="AD213" s="367">
        <f>IF($L$198*$C$188&gt;$L$198-SUM($C213:AC213),$L$198-SUM($C213:AC213),$L$198*$C$188)</f>
        <v>0</v>
      </c>
      <c r="AE213" s="367">
        <f>IF($L$198*$C$188&gt;$L$198-SUM($C213:AD213),$L$198-SUM($C213:AD213),$L$198*$C$188)</f>
        <v>0</v>
      </c>
      <c r="AF213" s="367">
        <f>IF($L$198*$C$188&gt;$L$198-SUM($C213:AE213),$L$198-SUM($C213:AE213),$L$198*$C$188)</f>
        <v>0</v>
      </c>
      <c r="AG213" s="367">
        <f>IF($L$198*$C$188&gt;$L$198-SUM($C213:AF213),$L$198-SUM($C213:AF213),$L$198*$C$188)</f>
        <v>0</v>
      </c>
      <c r="AH213" s="367">
        <f>IF($L$198*$C$188&gt;$L$198-SUM($C213:AG213),$L$198-SUM($C213:AG213),$L$198*$C$188)</f>
        <v>0</v>
      </c>
      <c r="AI213" s="367">
        <f>IF($L$198*$C$188&gt;$L$198-SUM($C213:AH213),$L$198-SUM($C213:AH213),$L$198*$C$188)</f>
        <v>0</v>
      </c>
      <c r="AJ213" s="367">
        <f>IF($L$198*$C$188&gt;$L$198-SUM($C213:AI213),$L$198-SUM($C213:AI213),$L$198*$C$188)</f>
        <v>0</v>
      </c>
      <c r="AK213" s="367">
        <f>IF($L$198*$C$188&gt;$L$198-SUM($C213:AJ213),$L$198-SUM($C213:AJ213),$L$198*$C$188)</f>
        <v>0</v>
      </c>
      <c r="AL213" s="367">
        <f>IF($L$198*$C$188&gt;$L$198-SUM($C213:AK213),$L$198-SUM($C213:AK213),$L$198*$C$188)</f>
        <v>0</v>
      </c>
      <c r="AM213" s="367">
        <f>IF($L$198*$C$188&gt;$L$198-SUM($C213:AL213),$L$198-SUM($C213:AL213),$L$198*$C$188)</f>
        <v>0</v>
      </c>
      <c r="AN213" s="367">
        <f>IF($L$198*$C$188&gt;$L$198-SUM($C213:AM213),$L$198-SUM($C213:AM213),$L$198*$C$188)</f>
        <v>0</v>
      </c>
      <c r="AO213" s="367">
        <f>IF($L$198*$C$188&gt;$L$198-SUM($C213:AN213),$L$198-SUM($C213:AN213),$L$198*$C$188)</f>
        <v>0</v>
      </c>
      <c r="AP213" s="367">
        <f>IF($L$198*$C$188&gt;$L$198-SUM($C213:AO213),$L$198-SUM($C213:AO213),$L$198*$C$188)</f>
        <v>0</v>
      </c>
      <c r="AQ213" s="367">
        <f>IF($L$198*$C$188&gt;$L$198-SUM($C213:AP213),$L$198-SUM($C213:AP213),$L$198*$C$188)</f>
        <v>0</v>
      </c>
      <c r="AR213" s="367">
        <f>IF($L$198*$C$188&gt;$L$198-SUM($C213:AQ213),$L$198-SUM($C213:AQ213),$L$198*$C$188)</f>
        <v>0</v>
      </c>
      <c r="AS213" s="367">
        <f>IF($L$198*$C$188&gt;$L$198-SUM($C213:AR213),$L$198-SUM($C213:AR213),$L$198*$C$188)</f>
        <v>0</v>
      </c>
      <c r="AT213" s="367">
        <f>IF($L$198*$C$188&gt;$L$198-SUM($C213:AS213),$L$198-SUM($C213:AS213),$L$198*$C$188)</f>
        <v>0</v>
      </c>
      <c r="AU213" s="367">
        <f>IF($L$198*$C$188&gt;$L$198-SUM($C213:AT213),$L$198-SUM($C213:AT213),$L$198*$C$188)</f>
        <v>0</v>
      </c>
      <c r="AV213" s="367">
        <f>IF($L$198*$C$188&gt;$L$198-SUM($C213:AU213),$L$198-SUM($C213:AU213),$L$198*$C$188)</f>
        <v>0</v>
      </c>
      <c r="AW213" s="367">
        <f>IF($L$198*$C$188&gt;$L$198-SUM($C213:AV213),$L$198-SUM($C213:AV213),$L$198*$C$188)</f>
        <v>0</v>
      </c>
      <c r="AX213" s="367">
        <f>IF($L$198*$C$188&gt;$L$198-SUM($C213:AW213),$L$198-SUM($C213:AW213),$L$198*$C$188)</f>
        <v>0</v>
      </c>
      <c r="AY213" s="367">
        <f>IF($L$198*$C$188&gt;$L$198-SUM($C213:AX213),$L$198-SUM($C213:AX213),$L$198*$C$188)</f>
        <v>0</v>
      </c>
      <c r="AZ213" s="367">
        <f>IF($L$198*$C$188&gt;$L$198-SUM($C213:AY213),$L$198-SUM($C213:AY213),$L$198*$C$188)</f>
        <v>0</v>
      </c>
      <c r="BA213" s="367">
        <f>IF($L$198*$C$188&gt;$L$198-SUM($C213:AZ213),$L$198-SUM($C213:AZ213),$L$198*$C$188)</f>
        <v>0</v>
      </c>
      <c r="BB213" s="367">
        <f>IF($L$198*$C$188&gt;$L$198-SUM($C213:BA213),$L$198-SUM($C213:BA213),$L$198*$C$188)</f>
        <v>0</v>
      </c>
      <c r="BC213" s="367">
        <f>IF($L$198*$C$188&gt;$L$198-SUM($C213:BB213),$L$198-SUM($C213:BB213),$L$198*$C$188)</f>
        <v>0</v>
      </c>
      <c r="BD213" s="367">
        <f>IF($L$198*$C$188&gt;$L$198-SUM($C213:BC213),$L$198-SUM($C213:BC213),$L$198*$C$188)</f>
        <v>0</v>
      </c>
      <c r="BE213" s="367">
        <f>IF($L$198*$C$188&gt;$L$198-SUM($C213:BD213),$L$198-SUM($C213:BD213),$L$198*$C$188)</f>
        <v>0</v>
      </c>
    </row>
    <row r="214" spans="1:57" s="347" customFormat="1" hidden="1" outlineLevel="1">
      <c r="C214" s="381">
        <f>SUM(C204:C213)</f>
        <v>0</v>
      </c>
      <c r="D214" s="381">
        <f t="shared" ref="D214:BE214" si="95">SUM(D204:D213)</f>
        <v>0.2966229836638844</v>
      </c>
      <c r="E214" s="381">
        <f t="shared" si="95"/>
        <v>0.2966229836638844</v>
      </c>
      <c r="F214" s="381">
        <f t="shared" si="95"/>
        <v>0.2966229836638844</v>
      </c>
      <c r="G214" s="381">
        <f t="shared" si="95"/>
        <v>0.2966229836638844</v>
      </c>
      <c r="H214" s="381">
        <f t="shared" si="95"/>
        <v>0.2966229836638844</v>
      </c>
      <c r="I214" s="381">
        <f t="shared" si="95"/>
        <v>0</v>
      </c>
      <c r="J214" s="381">
        <f t="shared" si="95"/>
        <v>0</v>
      </c>
      <c r="K214" s="381">
        <f t="shared" si="95"/>
        <v>0</v>
      </c>
      <c r="L214" s="381">
        <f t="shared" si="95"/>
        <v>0</v>
      </c>
      <c r="M214" s="381">
        <f t="shared" si="95"/>
        <v>0</v>
      </c>
      <c r="N214" s="381">
        <f t="shared" si="95"/>
        <v>0</v>
      </c>
      <c r="O214" s="381">
        <f t="shared" si="95"/>
        <v>0</v>
      </c>
      <c r="P214" s="381">
        <f t="shared" si="95"/>
        <v>0</v>
      </c>
      <c r="Q214" s="381">
        <f t="shared" si="95"/>
        <v>0</v>
      </c>
      <c r="R214" s="381">
        <f t="shared" si="95"/>
        <v>0</v>
      </c>
      <c r="S214" s="381">
        <f t="shared" si="95"/>
        <v>0</v>
      </c>
      <c r="T214" s="381">
        <f t="shared" si="95"/>
        <v>0</v>
      </c>
      <c r="U214" s="381">
        <f t="shared" si="95"/>
        <v>0</v>
      </c>
      <c r="V214" s="381">
        <f t="shared" si="95"/>
        <v>0</v>
      </c>
      <c r="W214" s="381">
        <f t="shared" si="95"/>
        <v>0</v>
      </c>
      <c r="X214" s="381">
        <f t="shared" si="95"/>
        <v>0</v>
      </c>
      <c r="Y214" s="381">
        <f t="shared" si="95"/>
        <v>0</v>
      </c>
      <c r="Z214" s="381">
        <f t="shared" si="95"/>
        <v>0</v>
      </c>
      <c r="AA214" s="381">
        <f t="shared" si="95"/>
        <v>0</v>
      </c>
      <c r="AB214" s="381">
        <f t="shared" si="95"/>
        <v>0</v>
      </c>
      <c r="AC214" s="381">
        <f t="shared" si="95"/>
        <v>0</v>
      </c>
      <c r="AD214" s="381">
        <f t="shared" si="95"/>
        <v>0</v>
      </c>
      <c r="AE214" s="381">
        <f t="shared" si="95"/>
        <v>0</v>
      </c>
      <c r="AF214" s="381">
        <f t="shared" si="95"/>
        <v>0</v>
      </c>
      <c r="AG214" s="381">
        <f t="shared" si="95"/>
        <v>0</v>
      </c>
      <c r="AH214" s="381">
        <f t="shared" si="95"/>
        <v>0</v>
      </c>
      <c r="AI214" s="381">
        <f t="shared" si="95"/>
        <v>0</v>
      </c>
      <c r="AJ214" s="381">
        <f t="shared" si="95"/>
        <v>0</v>
      </c>
      <c r="AK214" s="381">
        <f t="shared" si="95"/>
        <v>0</v>
      </c>
      <c r="AL214" s="381">
        <f t="shared" si="95"/>
        <v>0</v>
      </c>
      <c r="AM214" s="381">
        <f t="shared" si="95"/>
        <v>0</v>
      </c>
      <c r="AN214" s="381">
        <f t="shared" si="95"/>
        <v>0</v>
      </c>
      <c r="AO214" s="381">
        <f t="shared" si="95"/>
        <v>0</v>
      </c>
      <c r="AP214" s="381">
        <f t="shared" si="95"/>
        <v>0</v>
      </c>
      <c r="AQ214" s="381">
        <f t="shared" si="95"/>
        <v>0</v>
      </c>
      <c r="AR214" s="381">
        <f t="shared" si="95"/>
        <v>0</v>
      </c>
      <c r="AS214" s="381">
        <f t="shared" si="95"/>
        <v>0</v>
      </c>
      <c r="AT214" s="381">
        <f t="shared" si="95"/>
        <v>0</v>
      </c>
      <c r="AU214" s="381">
        <f t="shared" si="95"/>
        <v>0</v>
      </c>
      <c r="AV214" s="381">
        <f t="shared" si="95"/>
        <v>0</v>
      </c>
      <c r="AW214" s="381">
        <f t="shared" si="95"/>
        <v>0</v>
      </c>
      <c r="AX214" s="381">
        <f t="shared" si="95"/>
        <v>0</v>
      </c>
      <c r="AY214" s="381">
        <f t="shared" si="95"/>
        <v>0</v>
      </c>
      <c r="AZ214" s="381">
        <f t="shared" si="95"/>
        <v>0</v>
      </c>
      <c r="BA214" s="381">
        <f t="shared" si="95"/>
        <v>0</v>
      </c>
      <c r="BB214" s="381">
        <f t="shared" si="95"/>
        <v>0</v>
      </c>
      <c r="BC214" s="381">
        <f t="shared" si="95"/>
        <v>0</v>
      </c>
      <c r="BD214" s="381">
        <f t="shared" si="95"/>
        <v>0</v>
      </c>
      <c r="BE214" s="381">
        <f t="shared" si="95"/>
        <v>0</v>
      </c>
    </row>
    <row r="215" spans="1:57" s="347" customFormat="1" hidden="1" outlineLevel="1">
      <c r="C215" s="346"/>
    </row>
    <row r="216" spans="1:57" s="347" customFormat="1" collapsed="1">
      <c r="A216" s="369" t="s">
        <v>156</v>
      </c>
      <c r="B216" s="390"/>
      <c r="C216" s="391"/>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c r="Z216" s="390"/>
      <c r="AA216" s="390"/>
      <c r="AB216" s="390"/>
      <c r="AC216" s="390"/>
      <c r="AD216" s="390"/>
      <c r="AE216" s="390"/>
      <c r="AF216" s="390"/>
      <c r="AG216" s="390"/>
      <c r="AH216" s="390"/>
      <c r="AI216" s="390"/>
      <c r="AJ216" s="390"/>
      <c r="AK216" s="390"/>
      <c r="AL216" s="390"/>
      <c r="AM216" s="390"/>
      <c r="AN216" s="390"/>
      <c r="AO216" s="390"/>
      <c r="AP216" s="390"/>
      <c r="AQ216" s="390"/>
      <c r="AR216" s="390"/>
      <c r="AS216" s="390"/>
      <c r="AT216" s="390"/>
      <c r="AU216" s="390"/>
      <c r="AV216" s="390"/>
      <c r="AW216" s="390"/>
      <c r="AX216" s="390"/>
      <c r="AY216" s="390"/>
      <c r="AZ216" s="390"/>
      <c r="BA216" s="390"/>
      <c r="BB216" s="390"/>
      <c r="BC216" s="390"/>
      <c r="BD216" s="390"/>
      <c r="BE216" s="390"/>
    </row>
    <row r="217" spans="1:57" s="347" customFormat="1">
      <c r="A217" s="347" t="s">
        <v>133</v>
      </c>
      <c r="C217" s="392">
        <f>B188</f>
        <v>0</v>
      </c>
      <c r="D217" s="374">
        <f>C220</f>
        <v>0</v>
      </c>
      <c r="E217" s="374">
        <f t="shared" ref="E217:BE217" si="96">D220</f>
        <v>1.1864919346555376</v>
      </c>
      <c r="F217" s="374">
        <f t="shared" si="96"/>
        <v>0.8898689509916532</v>
      </c>
      <c r="G217" s="374">
        <f t="shared" si="96"/>
        <v>0.5932459673277688</v>
      </c>
      <c r="H217" s="374">
        <f t="shared" si="96"/>
        <v>0.2966229836638844</v>
      </c>
      <c r="I217" s="374">
        <f t="shared" si="96"/>
        <v>0</v>
      </c>
      <c r="J217" s="374">
        <f t="shared" si="96"/>
        <v>0</v>
      </c>
      <c r="K217" s="374">
        <f t="shared" si="96"/>
        <v>0</v>
      </c>
      <c r="L217" s="374">
        <f t="shared" si="96"/>
        <v>0</v>
      </c>
      <c r="M217" s="374">
        <f t="shared" si="96"/>
        <v>0</v>
      </c>
      <c r="N217" s="374">
        <f t="shared" si="96"/>
        <v>0</v>
      </c>
      <c r="O217" s="374">
        <f t="shared" si="96"/>
        <v>0</v>
      </c>
      <c r="P217" s="374">
        <f t="shared" si="96"/>
        <v>0</v>
      </c>
      <c r="Q217" s="374">
        <f t="shared" si="96"/>
        <v>0</v>
      </c>
      <c r="R217" s="374">
        <f t="shared" si="96"/>
        <v>0</v>
      </c>
      <c r="S217" s="374">
        <f t="shared" si="96"/>
        <v>0</v>
      </c>
      <c r="T217" s="374">
        <f t="shared" si="96"/>
        <v>0</v>
      </c>
      <c r="U217" s="374">
        <f t="shared" si="96"/>
        <v>0</v>
      </c>
      <c r="V217" s="374">
        <f t="shared" si="96"/>
        <v>0</v>
      </c>
      <c r="W217" s="374">
        <f t="shared" si="96"/>
        <v>0</v>
      </c>
      <c r="X217" s="374">
        <f t="shared" si="96"/>
        <v>0</v>
      </c>
      <c r="Y217" s="374">
        <f t="shared" si="96"/>
        <v>0</v>
      </c>
      <c r="Z217" s="374">
        <f t="shared" si="96"/>
        <v>0</v>
      </c>
      <c r="AA217" s="374">
        <f t="shared" si="96"/>
        <v>0</v>
      </c>
      <c r="AB217" s="374">
        <f t="shared" si="96"/>
        <v>0</v>
      </c>
      <c r="AC217" s="374">
        <f t="shared" si="96"/>
        <v>0</v>
      </c>
      <c r="AD217" s="374">
        <f t="shared" si="96"/>
        <v>0</v>
      </c>
      <c r="AE217" s="374">
        <f t="shared" si="96"/>
        <v>0</v>
      </c>
      <c r="AF217" s="374">
        <f t="shared" si="96"/>
        <v>0</v>
      </c>
      <c r="AG217" s="374">
        <f t="shared" si="96"/>
        <v>0</v>
      </c>
      <c r="AH217" s="374">
        <f t="shared" si="96"/>
        <v>0</v>
      </c>
      <c r="AI217" s="374">
        <f t="shared" si="96"/>
        <v>0</v>
      </c>
      <c r="AJ217" s="374">
        <f t="shared" si="96"/>
        <v>0</v>
      </c>
      <c r="AK217" s="374">
        <f t="shared" si="96"/>
        <v>0</v>
      </c>
      <c r="AL217" s="374">
        <f t="shared" si="96"/>
        <v>0</v>
      </c>
      <c r="AM217" s="374">
        <f t="shared" si="96"/>
        <v>0</v>
      </c>
      <c r="AN217" s="374">
        <f t="shared" si="96"/>
        <v>0</v>
      </c>
      <c r="AO217" s="374">
        <f t="shared" si="96"/>
        <v>0</v>
      </c>
      <c r="AP217" s="374">
        <f t="shared" si="96"/>
        <v>0</v>
      </c>
      <c r="AQ217" s="374">
        <f t="shared" si="96"/>
        <v>0</v>
      </c>
      <c r="AR217" s="374">
        <f t="shared" si="96"/>
        <v>0</v>
      </c>
      <c r="AS217" s="374">
        <f t="shared" si="96"/>
        <v>0</v>
      </c>
      <c r="AT217" s="374">
        <f t="shared" si="96"/>
        <v>0</v>
      </c>
      <c r="AU217" s="374">
        <f t="shared" si="96"/>
        <v>0</v>
      </c>
      <c r="AV217" s="374">
        <f t="shared" si="96"/>
        <v>0</v>
      </c>
      <c r="AW217" s="374">
        <f t="shared" si="96"/>
        <v>0</v>
      </c>
      <c r="AX217" s="374">
        <f t="shared" si="96"/>
        <v>0</v>
      </c>
      <c r="AY217" s="374">
        <f t="shared" si="96"/>
        <v>0</v>
      </c>
      <c r="AZ217" s="374">
        <f t="shared" si="96"/>
        <v>0</v>
      </c>
      <c r="BA217" s="374">
        <f t="shared" si="96"/>
        <v>0</v>
      </c>
      <c r="BB217" s="374">
        <f t="shared" si="96"/>
        <v>0</v>
      </c>
      <c r="BC217" s="374">
        <f t="shared" si="96"/>
        <v>0</v>
      </c>
      <c r="BD217" s="374">
        <f t="shared" si="96"/>
        <v>0</v>
      </c>
      <c r="BE217" s="374">
        <f t="shared" si="96"/>
        <v>0</v>
      </c>
    </row>
    <row r="218" spans="1:57" s="347" customFormat="1">
      <c r="A218" s="347" t="s">
        <v>134</v>
      </c>
      <c r="C218" s="393">
        <f>SUM(C202,C214)</f>
        <v>0</v>
      </c>
      <c r="D218" s="393">
        <f>SUM(D202,D214)</f>
        <v>0.2966229836638844</v>
      </c>
      <c r="E218" s="393">
        <f t="shared" ref="E218:BE218" si="97">SUM(E202,E214)</f>
        <v>0.2966229836638844</v>
      </c>
      <c r="F218" s="393">
        <f t="shared" si="97"/>
        <v>0.2966229836638844</v>
      </c>
      <c r="G218" s="393">
        <f t="shared" si="97"/>
        <v>0.2966229836638844</v>
      </c>
      <c r="H218" s="393">
        <f t="shared" si="97"/>
        <v>0.2966229836638844</v>
      </c>
      <c r="I218" s="393">
        <f t="shared" si="97"/>
        <v>0</v>
      </c>
      <c r="J218" s="393">
        <f t="shared" si="97"/>
        <v>0</v>
      </c>
      <c r="K218" s="393">
        <f t="shared" si="97"/>
        <v>0</v>
      </c>
      <c r="L218" s="393">
        <f t="shared" si="97"/>
        <v>0</v>
      </c>
      <c r="M218" s="393">
        <f t="shared" si="97"/>
        <v>0</v>
      </c>
      <c r="N218" s="393">
        <f t="shared" si="97"/>
        <v>0</v>
      </c>
      <c r="O218" s="393">
        <f t="shared" si="97"/>
        <v>0</v>
      </c>
      <c r="P218" s="393">
        <f t="shared" si="97"/>
        <v>0</v>
      </c>
      <c r="Q218" s="393">
        <f t="shared" si="97"/>
        <v>0</v>
      </c>
      <c r="R218" s="393">
        <f t="shared" si="97"/>
        <v>0</v>
      </c>
      <c r="S218" s="393">
        <f t="shared" si="97"/>
        <v>0</v>
      </c>
      <c r="T218" s="393">
        <f t="shared" si="97"/>
        <v>0</v>
      </c>
      <c r="U218" s="393">
        <f t="shared" si="97"/>
        <v>0</v>
      </c>
      <c r="V218" s="393">
        <f t="shared" si="97"/>
        <v>0</v>
      </c>
      <c r="W218" s="393">
        <f t="shared" si="97"/>
        <v>0</v>
      </c>
      <c r="X218" s="393">
        <f t="shared" si="97"/>
        <v>0</v>
      </c>
      <c r="Y218" s="393">
        <f t="shared" si="97"/>
        <v>0</v>
      </c>
      <c r="Z218" s="393">
        <f t="shared" si="97"/>
        <v>0</v>
      </c>
      <c r="AA218" s="393">
        <f t="shared" si="97"/>
        <v>0</v>
      </c>
      <c r="AB218" s="393">
        <f t="shared" si="97"/>
        <v>0</v>
      </c>
      <c r="AC218" s="393">
        <f t="shared" si="97"/>
        <v>0</v>
      </c>
      <c r="AD218" s="393">
        <f t="shared" si="97"/>
        <v>0</v>
      </c>
      <c r="AE218" s="393">
        <f t="shared" si="97"/>
        <v>0</v>
      </c>
      <c r="AF218" s="393">
        <f t="shared" si="97"/>
        <v>0</v>
      </c>
      <c r="AG218" s="393">
        <f t="shared" si="97"/>
        <v>0</v>
      </c>
      <c r="AH218" s="393">
        <f t="shared" si="97"/>
        <v>0</v>
      </c>
      <c r="AI218" s="393">
        <f t="shared" si="97"/>
        <v>0</v>
      </c>
      <c r="AJ218" s="393">
        <f t="shared" si="97"/>
        <v>0</v>
      </c>
      <c r="AK218" s="393">
        <f t="shared" si="97"/>
        <v>0</v>
      </c>
      <c r="AL218" s="393">
        <f t="shared" si="97"/>
        <v>0</v>
      </c>
      <c r="AM218" s="393">
        <f t="shared" si="97"/>
        <v>0</v>
      </c>
      <c r="AN218" s="393">
        <f t="shared" si="97"/>
        <v>0</v>
      </c>
      <c r="AO218" s="393">
        <f t="shared" si="97"/>
        <v>0</v>
      </c>
      <c r="AP218" s="393">
        <f t="shared" si="97"/>
        <v>0</v>
      </c>
      <c r="AQ218" s="393">
        <f t="shared" si="97"/>
        <v>0</v>
      </c>
      <c r="AR218" s="393">
        <f t="shared" si="97"/>
        <v>0</v>
      </c>
      <c r="AS218" s="393">
        <f t="shared" si="97"/>
        <v>0</v>
      </c>
      <c r="AT218" s="393">
        <f t="shared" si="97"/>
        <v>0</v>
      </c>
      <c r="AU218" s="393">
        <f t="shared" si="97"/>
        <v>0</v>
      </c>
      <c r="AV218" s="393">
        <f t="shared" si="97"/>
        <v>0</v>
      </c>
      <c r="AW218" s="393">
        <f t="shared" si="97"/>
        <v>0</v>
      </c>
      <c r="AX218" s="393">
        <f t="shared" si="97"/>
        <v>0</v>
      </c>
      <c r="AY218" s="393">
        <f t="shared" si="97"/>
        <v>0</v>
      </c>
      <c r="AZ218" s="393">
        <f t="shared" si="97"/>
        <v>0</v>
      </c>
      <c r="BA218" s="393">
        <f t="shared" si="97"/>
        <v>0</v>
      </c>
      <c r="BB218" s="393">
        <f t="shared" si="97"/>
        <v>0</v>
      </c>
      <c r="BC218" s="393">
        <f t="shared" si="97"/>
        <v>0</v>
      </c>
      <c r="BD218" s="393">
        <f t="shared" si="97"/>
        <v>0</v>
      </c>
      <c r="BE218" s="393">
        <f t="shared" si="97"/>
        <v>0</v>
      </c>
    </row>
    <row r="219" spans="1:57" s="347" customFormat="1">
      <c r="A219" s="347" t="s">
        <v>151</v>
      </c>
      <c r="C219" s="393">
        <f>C198</f>
        <v>0</v>
      </c>
      <c r="D219" s="393">
        <f>D198</f>
        <v>1.4831149183194219</v>
      </c>
      <c r="E219" s="393">
        <f t="shared" ref="E219:BE219" si="98">E198</f>
        <v>0</v>
      </c>
      <c r="F219" s="393">
        <f t="shared" si="98"/>
        <v>0</v>
      </c>
      <c r="G219" s="393">
        <f t="shared" si="98"/>
        <v>0</v>
      </c>
      <c r="H219" s="393">
        <f t="shared" si="98"/>
        <v>0</v>
      </c>
      <c r="I219" s="393">
        <f t="shared" si="98"/>
        <v>0</v>
      </c>
      <c r="J219" s="393">
        <f t="shared" si="98"/>
        <v>0</v>
      </c>
      <c r="K219" s="393">
        <f t="shared" si="98"/>
        <v>0</v>
      </c>
      <c r="L219" s="393">
        <f t="shared" si="98"/>
        <v>0</v>
      </c>
      <c r="M219" s="393">
        <f t="shared" si="98"/>
        <v>0</v>
      </c>
      <c r="N219" s="393">
        <f t="shared" si="98"/>
        <v>0</v>
      </c>
      <c r="O219" s="393">
        <f t="shared" si="98"/>
        <v>0</v>
      </c>
      <c r="P219" s="393">
        <f t="shared" si="98"/>
        <v>0</v>
      </c>
      <c r="Q219" s="393">
        <f t="shared" si="98"/>
        <v>0</v>
      </c>
      <c r="R219" s="393">
        <f t="shared" si="98"/>
        <v>0</v>
      </c>
      <c r="S219" s="393">
        <f t="shared" si="98"/>
        <v>0</v>
      </c>
      <c r="T219" s="393">
        <f t="shared" si="98"/>
        <v>0</v>
      </c>
      <c r="U219" s="393">
        <f t="shared" si="98"/>
        <v>0</v>
      </c>
      <c r="V219" s="393">
        <f t="shared" si="98"/>
        <v>0</v>
      </c>
      <c r="W219" s="393">
        <f t="shared" si="98"/>
        <v>0</v>
      </c>
      <c r="X219" s="393">
        <f t="shared" si="98"/>
        <v>0</v>
      </c>
      <c r="Y219" s="393">
        <f t="shared" si="98"/>
        <v>0</v>
      </c>
      <c r="Z219" s="393">
        <f t="shared" si="98"/>
        <v>0</v>
      </c>
      <c r="AA219" s="393">
        <f t="shared" si="98"/>
        <v>0</v>
      </c>
      <c r="AB219" s="393">
        <f t="shared" si="98"/>
        <v>0</v>
      </c>
      <c r="AC219" s="393">
        <f t="shared" si="98"/>
        <v>0</v>
      </c>
      <c r="AD219" s="393">
        <f t="shared" si="98"/>
        <v>0</v>
      </c>
      <c r="AE219" s="393">
        <f t="shared" si="98"/>
        <v>0</v>
      </c>
      <c r="AF219" s="393">
        <f t="shared" si="98"/>
        <v>0</v>
      </c>
      <c r="AG219" s="393">
        <f t="shared" si="98"/>
        <v>0</v>
      </c>
      <c r="AH219" s="393">
        <f t="shared" si="98"/>
        <v>0</v>
      </c>
      <c r="AI219" s="393">
        <f t="shared" si="98"/>
        <v>0</v>
      </c>
      <c r="AJ219" s="393">
        <f t="shared" si="98"/>
        <v>0</v>
      </c>
      <c r="AK219" s="393">
        <f t="shared" si="98"/>
        <v>0</v>
      </c>
      <c r="AL219" s="393">
        <f t="shared" si="98"/>
        <v>0</v>
      </c>
      <c r="AM219" s="393">
        <f t="shared" si="98"/>
        <v>0</v>
      </c>
      <c r="AN219" s="393">
        <f t="shared" si="98"/>
        <v>0</v>
      </c>
      <c r="AO219" s="393">
        <f t="shared" si="98"/>
        <v>0</v>
      </c>
      <c r="AP219" s="393">
        <f t="shared" si="98"/>
        <v>0</v>
      </c>
      <c r="AQ219" s="393">
        <f t="shared" si="98"/>
        <v>0</v>
      </c>
      <c r="AR219" s="393">
        <f t="shared" si="98"/>
        <v>0</v>
      </c>
      <c r="AS219" s="393">
        <f t="shared" si="98"/>
        <v>0</v>
      </c>
      <c r="AT219" s="393">
        <f t="shared" si="98"/>
        <v>0</v>
      </c>
      <c r="AU219" s="393">
        <f t="shared" si="98"/>
        <v>0</v>
      </c>
      <c r="AV219" s="393">
        <f t="shared" si="98"/>
        <v>0</v>
      </c>
      <c r="AW219" s="393">
        <f t="shared" si="98"/>
        <v>0</v>
      </c>
      <c r="AX219" s="393">
        <f t="shared" si="98"/>
        <v>0</v>
      </c>
      <c r="AY219" s="393">
        <f t="shared" si="98"/>
        <v>0</v>
      </c>
      <c r="AZ219" s="393">
        <f t="shared" si="98"/>
        <v>0</v>
      </c>
      <c r="BA219" s="393">
        <f t="shared" si="98"/>
        <v>0</v>
      </c>
      <c r="BB219" s="393">
        <f t="shared" si="98"/>
        <v>0</v>
      </c>
      <c r="BC219" s="393">
        <f t="shared" si="98"/>
        <v>0</v>
      </c>
      <c r="BD219" s="393">
        <f t="shared" si="98"/>
        <v>0</v>
      </c>
      <c r="BE219" s="393">
        <f t="shared" si="98"/>
        <v>0</v>
      </c>
    </row>
    <row r="220" spans="1:57" s="347" customFormat="1">
      <c r="A220" s="347" t="s">
        <v>135</v>
      </c>
      <c r="B220" s="368">
        <f>C217</f>
        <v>0</v>
      </c>
      <c r="C220" s="394">
        <f>C217-C218+C219</f>
        <v>0</v>
      </c>
      <c r="D220" s="394">
        <f>D217-D218+D219</f>
        <v>1.1864919346555376</v>
      </c>
      <c r="E220" s="394">
        <f t="shared" ref="E220:BE220" si="99">E217-E218+E219</f>
        <v>0.8898689509916532</v>
      </c>
      <c r="F220" s="394">
        <f t="shared" si="99"/>
        <v>0.5932459673277688</v>
      </c>
      <c r="G220" s="394">
        <f t="shared" si="99"/>
        <v>0.2966229836638844</v>
      </c>
      <c r="H220" s="394">
        <f t="shared" si="99"/>
        <v>0</v>
      </c>
      <c r="I220" s="394">
        <f t="shared" si="99"/>
        <v>0</v>
      </c>
      <c r="J220" s="394">
        <f t="shared" si="99"/>
        <v>0</v>
      </c>
      <c r="K220" s="394">
        <f t="shared" si="99"/>
        <v>0</v>
      </c>
      <c r="L220" s="394">
        <f t="shared" si="99"/>
        <v>0</v>
      </c>
      <c r="M220" s="394">
        <f t="shared" si="99"/>
        <v>0</v>
      </c>
      <c r="N220" s="394">
        <f t="shared" si="99"/>
        <v>0</v>
      </c>
      <c r="O220" s="394">
        <f t="shared" si="99"/>
        <v>0</v>
      </c>
      <c r="P220" s="394">
        <f t="shared" si="99"/>
        <v>0</v>
      </c>
      <c r="Q220" s="394">
        <f t="shared" si="99"/>
        <v>0</v>
      </c>
      <c r="R220" s="394">
        <f t="shared" si="99"/>
        <v>0</v>
      </c>
      <c r="S220" s="394">
        <f t="shared" si="99"/>
        <v>0</v>
      </c>
      <c r="T220" s="394">
        <f t="shared" si="99"/>
        <v>0</v>
      </c>
      <c r="U220" s="394">
        <f t="shared" si="99"/>
        <v>0</v>
      </c>
      <c r="V220" s="394">
        <f t="shared" si="99"/>
        <v>0</v>
      </c>
      <c r="W220" s="394">
        <f t="shared" si="99"/>
        <v>0</v>
      </c>
      <c r="X220" s="394">
        <f t="shared" si="99"/>
        <v>0</v>
      </c>
      <c r="Y220" s="394">
        <f t="shared" si="99"/>
        <v>0</v>
      </c>
      <c r="Z220" s="394">
        <f t="shared" si="99"/>
        <v>0</v>
      </c>
      <c r="AA220" s="394">
        <f t="shared" si="99"/>
        <v>0</v>
      </c>
      <c r="AB220" s="394">
        <f t="shared" si="99"/>
        <v>0</v>
      </c>
      <c r="AC220" s="394">
        <f t="shared" si="99"/>
        <v>0</v>
      </c>
      <c r="AD220" s="394">
        <f t="shared" si="99"/>
        <v>0</v>
      </c>
      <c r="AE220" s="394">
        <f t="shared" si="99"/>
        <v>0</v>
      </c>
      <c r="AF220" s="394">
        <f t="shared" si="99"/>
        <v>0</v>
      </c>
      <c r="AG220" s="394">
        <f t="shared" si="99"/>
        <v>0</v>
      </c>
      <c r="AH220" s="394">
        <f t="shared" si="99"/>
        <v>0</v>
      </c>
      <c r="AI220" s="394">
        <f t="shared" si="99"/>
        <v>0</v>
      </c>
      <c r="AJ220" s="394">
        <f t="shared" si="99"/>
        <v>0</v>
      </c>
      <c r="AK220" s="394">
        <f t="shared" si="99"/>
        <v>0</v>
      </c>
      <c r="AL220" s="394">
        <f t="shared" si="99"/>
        <v>0</v>
      </c>
      <c r="AM220" s="394">
        <f t="shared" si="99"/>
        <v>0</v>
      </c>
      <c r="AN220" s="394">
        <f t="shared" si="99"/>
        <v>0</v>
      </c>
      <c r="AO220" s="394">
        <f t="shared" si="99"/>
        <v>0</v>
      </c>
      <c r="AP220" s="394">
        <f t="shared" si="99"/>
        <v>0</v>
      </c>
      <c r="AQ220" s="394">
        <f t="shared" si="99"/>
        <v>0</v>
      </c>
      <c r="AR220" s="394">
        <f t="shared" si="99"/>
        <v>0</v>
      </c>
      <c r="AS220" s="394">
        <f t="shared" si="99"/>
        <v>0</v>
      </c>
      <c r="AT220" s="394">
        <f t="shared" si="99"/>
        <v>0</v>
      </c>
      <c r="AU220" s="394">
        <f t="shared" si="99"/>
        <v>0</v>
      </c>
      <c r="AV220" s="394">
        <f t="shared" si="99"/>
        <v>0</v>
      </c>
      <c r="AW220" s="394">
        <f t="shared" si="99"/>
        <v>0</v>
      </c>
      <c r="AX220" s="394">
        <f t="shared" si="99"/>
        <v>0</v>
      </c>
      <c r="AY220" s="394">
        <f t="shared" si="99"/>
        <v>0</v>
      </c>
      <c r="AZ220" s="394">
        <f t="shared" si="99"/>
        <v>0</v>
      </c>
      <c r="BA220" s="394">
        <f t="shared" si="99"/>
        <v>0</v>
      </c>
      <c r="BB220" s="394">
        <f t="shared" si="99"/>
        <v>0</v>
      </c>
      <c r="BC220" s="394">
        <f t="shared" si="99"/>
        <v>0</v>
      </c>
      <c r="BD220" s="394">
        <f t="shared" si="99"/>
        <v>0</v>
      </c>
      <c r="BE220" s="394">
        <f t="shared" si="99"/>
        <v>0</v>
      </c>
    </row>
    <row r="221" spans="1:57" s="347" customFormat="1">
      <c r="C221" s="346"/>
    </row>
    <row r="222" spans="1:57" s="347" customFormat="1">
      <c r="C222" s="346"/>
    </row>
    <row r="223" spans="1:57" s="347" customFormat="1">
      <c r="A223" s="369" t="s">
        <v>157</v>
      </c>
      <c r="B223" s="364">
        <f>B$2</f>
        <v>2009</v>
      </c>
      <c r="C223" s="364">
        <f>C$2</f>
        <v>2010</v>
      </c>
      <c r="D223" s="364">
        <f t="shared" ref="D223:BE223" si="100">D$2</f>
        <v>2011</v>
      </c>
      <c r="E223" s="364">
        <f t="shared" si="100"/>
        <v>2012</v>
      </c>
      <c r="F223" s="364">
        <f t="shared" si="100"/>
        <v>2013</v>
      </c>
      <c r="G223" s="364">
        <f t="shared" si="100"/>
        <v>2014</v>
      </c>
      <c r="H223" s="364">
        <f t="shared" si="100"/>
        <v>2015</v>
      </c>
      <c r="I223" s="364">
        <f t="shared" si="100"/>
        <v>2016</v>
      </c>
      <c r="J223" s="364">
        <f t="shared" si="100"/>
        <v>2017</v>
      </c>
      <c r="K223" s="364">
        <f t="shared" si="100"/>
        <v>2018</v>
      </c>
      <c r="L223" s="364">
        <f t="shared" si="100"/>
        <v>2019</v>
      </c>
      <c r="M223" s="364">
        <f t="shared" si="100"/>
        <v>2020</v>
      </c>
      <c r="N223" s="364">
        <f t="shared" si="100"/>
        <v>2021</v>
      </c>
      <c r="O223" s="364">
        <f t="shared" si="100"/>
        <v>2022</v>
      </c>
      <c r="P223" s="364">
        <f t="shared" si="100"/>
        <v>2023</v>
      </c>
      <c r="Q223" s="364">
        <f t="shared" si="100"/>
        <v>2024</v>
      </c>
      <c r="R223" s="364">
        <f t="shared" si="100"/>
        <v>2025</v>
      </c>
      <c r="S223" s="364">
        <f t="shared" si="100"/>
        <v>2026</v>
      </c>
      <c r="T223" s="364">
        <f t="shared" si="100"/>
        <v>2027</v>
      </c>
      <c r="U223" s="364">
        <f t="shared" si="100"/>
        <v>2028</v>
      </c>
      <c r="V223" s="364">
        <f t="shared" si="100"/>
        <v>2029</v>
      </c>
      <c r="W223" s="364">
        <f t="shared" si="100"/>
        <v>2030</v>
      </c>
      <c r="X223" s="364">
        <f t="shared" si="100"/>
        <v>2031</v>
      </c>
      <c r="Y223" s="364">
        <f t="shared" si="100"/>
        <v>2032</v>
      </c>
      <c r="Z223" s="364">
        <f t="shared" si="100"/>
        <v>2033</v>
      </c>
      <c r="AA223" s="364">
        <f t="shared" si="100"/>
        <v>2034</v>
      </c>
      <c r="AB223" s="364">
        <f t="shared" si="100"/>
        <v>2035</v>
      </c>
      <c r="AC223" s="364">
        <f t="shared" si="100"/>
        <v>2036</v>
      </c>
      <c r="AD223" s="364">
        <f t="shared" si="100"/>
        <v>2037</v>
      </c>
      <c r="AE223" s="364">
        <f t="shared" si="100"/>
        <v>2038</v>
      </c>
      <c r="AF223" s="364">
        <f t="shared" si="100"/>
        <v>2039</v>
      </c>
      <c r="AG223" s="364">
        <f t="shared" si="100"/>
        <v>2040</v>
      </c>
      <c r="AH223" s="364">
        <f t="shared" si="100"/>
        <v>2041</v>
      </c>
      <c r="AI223" s="364">
        <f t="shared" si="100"/>
        <v>2042</v>
      </c>
      <c r="AJ223" s="364">
        <f t="shared" si="100"/>
        <v>2043</v>
      </c>
      <c r="AK223" s="364">
        <f t="shared" si="100"/>
        <v>2044</v>
      </c>
      <c r="AL223" s="364">
        <f t="shared" si="100"/>
        <v>2045</v>
      </c>
      <c r="AM223" s="364">
        <f t="shared" si="100"/>
        <v>2046</v>
      </c>
      <c r="AN223" s="364">
        <f t="shared" si="100"/>
        <v>2047</v>
      </c>
      <c r="AO223" s="364">
        <f t="shared" si="100"/>
        <v>2048</v>
      </c>
      <c r="AP223" s="364">
        <f t="shared" si="100"/>
        <v>2049</v>
      </c>
      <c r="AQ223" s="364">
        <f t="shared" si="100"/>
        <v>2050</v>
      </c>
      <c r="AR223" s="364">
        <f t="shared" si="100"/>
        <v>2051</v>
      </c>
      <c r="AS223" s="364">
        <f t="shared" si="100"/>
        <v>2052</v>
      </c>
      <c r="AT223" s="364">
        <f t="shared" si="100"/>
        <v>2053</v>
      </c>
      <c r="AU223" s="364">
        <f t="shared" si="100"/>
        <v>2054</v>
      </c>
      <c r="AV223" s="364">
        <f t="shared" si="100"/>
        <v>2055</v>
      </c>
      <c r="AW223" s="364">
        <f t="shared" si="100"/>
        <v>2056</v>
      </c>
      <c r="AX223" s="364">
        <f t="shared" si="100"/>
        <v>2057</v>
      </c>
      <c r="AY223" s="364">
        <f t="shared" si="100"/>
        <v>2058</v>
      </c>
      <c r="AZ223" s="364">
        <f t="shared" si="100"/>
        <v>2059</v>
      </c>
      <c r="BA223" s="364">
        <f t="shared" si="100"/>
        <v>2060</v>
      </c>
      <c r="BB223" s="364">
        <f t="shared" si="100"/>
        <v>2061</v>
      </c>
      <c r="BC223" s="364">
        <f t="shared" si="100"/>
        <v>2062</v>
      </c>
      <c r="BD223" s="364">
        <f t="shared" si="100"/>
        <v>2063</v>
      </c>
      <c r="BE223" s="364">
        <f t="shared" si="100"/>
        <v>2064</v>
      </c>
    </row>
    <row r="224" spans="1:57" s="347" customFormat="1">
      <c r="A224" s="347" t="s">
        <v>133</v>
      </c>
      <c r="C224" s="393">
        <f>SUM(C42,C103,C180,C217)</f>
        <v>1132.7962881575281</v>
      </c>
      <c r="D224" s="393">
        <f t="shared" ref="D224:BE225" si="101">SUM(D42,D103,D180,D217)</f>
        <v>1278.7103842036904</v>
      </c>
      <c r="E224" s="393">
        <f t="shared" si="101"/>
        <v>1444.7533807656316</v>
      </c>
      <c r="F224" s="393">
        <f t="shared" si="101"/>
        <v>1624.3197550116522</v>
      </c>
      <c r="G224" s="393">
        <f t="shared" si="101"/>
        <v>1832.8311842355104</v>
      </c>
      <c r="H224" s="393">
        <f t="shared" si="101"/>
        <v>2041.0272385953665</v>
      </c>
      <c r="I224" s="393">
        <f t="shared" si="101"/>
        <v>2218.185974798515</v>
      </c>
      <c r="J224" s="393">
        <f t="shared" si="101"/>
        <v>2065.3924035058344</v>
      </c>
      <c r="K224" s="393">
        <f t="shared" si="101"/>
        <v>1932.3655564631147</v>
      </c>
      <c r="L224" s="393">
        <f t="shared" si="101"/>
        <v>1814.1992791361699</v>
      </c>
      <c r="M224" s="393">
        <f t="shared" si="101"/>
        <v>1707.6824345746104</v>
      </c>
      <c r="N224" s="393">
        <f t="shared" si="101"/>
        <v>1610.6483490710057</v>
      </c>
      <c r="O224" s="393">
        <f t="shared" si="101"/>
        <v>1521.5813402225431</v>
      </c>
      <c r="P224" s="393">
        <f t="shared" si="101"/>
        <v>1439.3778945922954</v>
      </c>
      <c r="Q224" s="393">
        <f t="shared" si="101"/>
        <v>1363.2009772910592</v>
      </c>
      <c r="R224" s="393">
        <f t="shared" si="101"/>
        <v>1292.3905147038481</v>
      </c>
      <c r="S224" s="393">
        <f t="shared" si="101"/>
        <v>1226.4078347581562</v>
      </c>
      <c r="T224" s="393">
        <f t="shared" si="101"/>
        <v>1164.8007013581487</v>
      </c>
      <c r="U224" s="393">
        <f t="shared" si="101"/>
        <v>1107.1808961090621</v>
      </c>
      <c r="V224" s="393">
        <f t="shared" si="101"/>
        <v>1053.2094946139791</v>
      </c>
      <c r="W224" s="393">
        <f t="shared" si="101"/>
        <v>1002.586904659015</v>
      </c>
      <c r="X224" s="393">
        <f t="shared" si="101"/>
        <v>955.04588858516945</v>
      </c>
      <c r="Y224" s="393">
        <f t="shared" si="101"/>
        <v>910.34648762763641</v>
      </c>
      <c r="Z224" s="393">
        <f t="shared" si="101"/>
        <v>868.27218540193815</v>
      </c>
      <c r="AA224" s="393">
        <f t="shared" si="101"/>
        <v>828.62690114730208</v>
      </c>
      <c r="AB224" s="393">
        <f t="shared" si="101"/>
        <v>791.23255692449652</v>
      </c>
      <c r="AC224" s="393">
        <f t="shared" si="101"/>
        <v>755.92705642521014</v>
      </c>
      <c r="AD224" s="393">
        <f t="shared" si="101"/>
        <v>722.56257024858371</v>
      </c>
      <c r="AE224" s="393">
        <f t="shared" si="101"/>
        <v>691.0040577860666</v>
      </c>
      <c r="AF224" s="393">
        <f t="shared" si="101"/>
        <v>661.12797786131648</v>
      </c>
      <c r="AG224" s="393">
        <f t="shared" si="101"/>
        <v>632.8211541970561</v>
      </c>
      <c r="AH224" s="393">
        <f t="shared" si="101"/>
        <v>605.97977076206496</v>
      </c>
      <c r="AI224" s="393">
        <f t="shared" si="101"/>
        <v>580.5084779845555</v>
      </c>
      <c r="AJ224" s="393">
        <f t="shared" si="101"/>
        <v>556.31959485225059</v>
      </c>
      <c r="AK224" s="393">
        <f t="shared" si="101"/>
        <v>533.3323947538762</v>
      </c>
      <c r="AL224" s="393">
        <f t="shared" si="101"/>
        <v>511.47246497953267</v>
      </c>
      <c r="AM224" s="393">
        <f t="shared" si="101"/>
        <v>490.67113135234672</v>
      </c>
      <c r="AN224" s="393">
        <f t="shared" si="101"/>
        <v>470.86494067532897</v>
      </c>
      <c r="AO224" s="393">
        <f t="shared" si="101"/>
        <v>451.99519464921696</v>
      </c>
      <c r="AP224" s="393">
        <f t="shared" si="101"/>
        <v>434.00752971594079</v>
      </c>
      <c r="AQ224" s="393">
        <f t="shared" si="101"/>
        <v>416.85153795196584</v>
      </c>
      <c r="AR224" s="393">
        <f t="shared" si="101"/>
        <v>400.48042470567361</v>
      </c>
      <c r="AS224" s="393">
        <f t="shared" si="101"/>
        <v>384.85069916360288</v>
      </c>
      <c r="AT224" s="393">
        <f t="shared" si="101"/>
        <v>369.92189445651286</v>
      </c>
      <c r="AU224" s="393">
        <f t="shared" si="101"/>
        <v>355.65631428876145</v>
      </c>
      <c r="AV224" s="393">
        <f t="shared" si="101"/>
        <v>342.01880340174301</v>
      </c>
      <c r="AW224" s="393">
        <f t="shared" si="101"/>
        <v>328.97653947070813</v>
      </c>
      <c r="AX224" s="393">
        <f t="shared" si="101"/>
        <v>316.49884428948519</v>
      </c>
      <c r="AY224" s="393">
        <f t="shared" si="101"/>
        <v>304.55701232383035</v>
      </c>
      <c r="AZ224" s="393">
        <f t="shared" si="101"/>
        <v>293.12415491501071</v>
      </c>
      <c r="BA224" s="393">
        <f t="shared" si="101"/>
        <v>282.17505859389132</v>
      </c>
      <c r="BB224" s="393">
        <f t="shared" si="101"/>
        <v>271.68605612490211</v>
      </c>
      <c r="BC224" s="393">
        <f t="shared" si="101"/>
        <v>261.63490904112706</v>
      </c>
      <c r="BD224" s="393">
        <f t="shared" si="101"/>
        <v>252.00070055835701</v>
      </c>
      <c r="BE224" s="393">
        <f t="shared" si="101"/>
        <v>242.76373786904031</v>
      </c>
    </row>
    <row r="225" spans="1:57" s="347" customFormat="1">
      <c r="A225" s="347" t="s">
        <v>134</v>
      </c>
      <c r="C225" s="393">
        <f>SUM(C43,C104,C181,C218)</f>
        <v>125.5716568351736</v>
      </c>
      <c r="D225" s="393">
        <f t="shared" si="101"/>
        <v>124.79519380583521</v>
      </c>
      <c r="E225" s="393">
        <f t="shared" si="101"/>
        <v>151.54237371850314</v>
      </c>
      <c r="F225" s="393">
        <f t="shared" si="101"/>
        <v>177.7918022278941</v>
      </c>
      <c r="G225" s="393">
        <f t="shared" si="101"/>
        <v>220.03674170931043</v>
      </c>
      <c r="H225" s="393">
        <f t="shared" si="101"/>
        <v>210.22748552335196</v>
      </c>
      <c r="I225" s="393">
        <f t="shared" si="101"/>
        <v>152.79357129268047</v>
      </c>
      <c r="J225" s="393">
        <f t="shared" si="101"/>
        <v>133.02684704271977</v>
      </c>
      <c r="K225" s="393">
        <f t="shared" si="101"/>
        <v>118.16627732694479</v>
      </c>
      <c r="L225" s="393">
        <f t="shared" si="101"/>
        <v>106.51684456155931</v>
      </c>
      <c r="M225" s="393">
        <f t="shared" si="101"/>
        <v>97.034085503604885</v>
      </c>
      <c r="N225" s="393">
        <f t="shared" si="101"/>
        <v>89.067008848462351</v>
      </c>
      <c r="O225" s="393">
        <f t="shared" si="101"/>
        <v>82.203445630247828</v>
      </c>
      <c r="P225" s="393">
        <f t="shared" si="101"/>
        <v>76.176917301236429</v>
      </c>
      <c r="Q225" s="393">
        <f t="shared" si="101"/>
        <v>70.810462587211134</v>
      </c>
      <c r="R225" s="393">
        <f t="shared" si="101"/>
        <v>65.982679945691629</v>
      </c>
      <c r="S225" s="393">
        <f t="shared" si="101"/>
        <v>61.607133400007555</v>
      </c>
      <c r="T225" s="393">
        <f t="shared" si="101"/>
        <v>57.619805249086845</v>
      </c>
      <c r="U225" s="393">
        <f t="shared" si="101"/>
        <v>53.971401495082652</v>
      </c>
      <c r="V225" s="393">
        <f t="shared" si="101"/>
        <v>50.622589954964155</v>
      </c>
      <c r="W225" s="393">
        <f t="shared" si="101"/>
        <v>47.541016073845455</v>
      </c>
      <c r="X225" s="393">
        <f t="shared" si="101"/>
        <v>44.699400957533186</v>
      </c>
      <c r="Y225" s="393">
        <f t="shared" si="101"/>
        <v>42.074302225698091</v>
      </c>
      <c r="Z225" s="393">
        <f t="shared" si="101"/>
        <v>39.64528425463606</v>
      </c>
      <c r="AA225" s="393">
        <f t="shared" si="101"/>
        <v>37.394344222805607</v>
      </c>
      <c r="AB225" s="393">
        <f t="shared" si="101"/>
        <v>35.305500499286453</v>
      </c>
      <c r="AC225" s="393">
        <f t="shared" si="101"/>
        <v>33.364486176626528</v>
      </c>
      <c r="AD225" s="393">
        <f t="shared" si="101"/>
        <v>31.558512462517051</v>
      </c>
      <c r="AE225" s="393">
        <f t="shared" si="101"/>
        <v>29.87607992475013</v>
      </c>
      <c r="AF225" s="393">
        <f t="shared" si="101"/>
        <v>28.306823664260293</v>
      </c>
      <c r="AG225" s="393">
        <f t="shared" si="101"/>
        <v>26.841383434991286</v>
      </c>
      <c r="AH225" s="393">
        <f t="shared" si="101"/>
        <v>25.471292777509362</v>
      </c>
      <c r="AI225" s="393">
        <f t="shared" si="101"/>
        <v>24.188883132304976</v>
      </c>
      <c r="AJ225" s="393">
        <f t="shared" si="101"/>
        <v>22.987200098374409</v>
      </c>
      <c r="AK225" s="393">
        <f t="shared" si="101"/>
        <v>21.859929774343478</v>
      </c>
      <c r="AL225" s="393">
        <f t="shared" si="101"/>
        <v>20.801333627185926</v>
      </c>
      <c r="AM225" s="393">
        <f t="shared" si="101"/>
        <v>19.806190677017867</v>
      </c>
      <c r="AN225" s="393">
        <f t="shared" si="101"/>
        <v>18.869746026111873</v>
      </c>
      <c r="AO225" s="393">
        <f t="shared" si="101"/>
        <v>17.987664933276218</v>
      </c>
      <c r="AP225" s="393">
        <f t="shared" si="101"/>
        <v>17.155991763975113</v>
      </c>
      <c r="AQ225" s="393">
        <f t="shared" si="101"/>
        <v>16.371113246292158</v>
      </c>
      <c r="AR225" s="393">
        <f t="shared" si="101"/>
        <v>15.629725542070757</v>
      </c>
      <c r="AS225" s="393">
        <f t="shared" si="101"/>
        <v>14.928804707089963</v>
      </c>
      <c r="AT225" s="393">
        <f t="shared" si="101"/>
        <v>14.265580167751406</v>
      </c>
      <c r="AU225" s="393">
        <f t="shared" si="101"/>
        <v>13.63751088701845</v>
      </c>
      <c r="AV225" s="393">
        <f t="shared" si="101"/>
        <v>13.042263931034881</v>
      </c>
      <c r="AW225" s="393">
        <f t="shared" si="101"/>
        <v>12.477695181222938</v>
      </c>
      <c r="AX225" s="393">
        <f t="shared" si="101"/>
        <v>11.941831965654963</v>
      </c>
      <c r="AY225" s="393">
        <f t="shared" si="101"/>
        <v>11.432857408819549</v>
      </c>
      <c r="AZ225" s="393">
        <f t="shared" si="101"/>
        <v>10.949096321119335</v>
      </c>
      <c r="BA225" s="393">
        <f t="shared" si="101"/>
        <v>10.489002468989177</v>
      </c>
      <c r="BB225" s="393">
        <f t="shared" si="101"/>
        <v>10.05114708377511</v>
      </c>
      <c r="BC225" s="393">
        <f t="shared" si="101"/>
        <v>9.6342084827700809</v>
      </c>
      <c r="BD225" s="393">
        <f t="shared" si="101"/>
        <v>9.2369626893166767</v>
      </c>
      <c r="BE225" s="393">
        <f t="shared" si="101"/>
        <v>8.8582749508775791</v>
      </c>
    </row>
    <row r="226" spans="1:57" s="347" customFormat="1">
      <c r="A226" s="347" t="s">
        <v>151</v>
      </c>
      <c r="C226" s="393">
        <f>SUM(C182,C219)</f>
        <v>271.485752881336</v>
      </c>
      <c r="D226" s="393">
        <f t="shared" ref="D226:BE226" si="102">SUM(D182,D219)</f>
        <v>290.83819036777624</v>
      </c>
      <c r="E226" s="393">
        <f t="shared" si="102"/>
        <v>331.1087479645239</v>
      </c>
      <c r="F226" s="393">
        <f t="shared" si="102"/>
        <v>386.30323145175248</v>
      </c>
      <c r="G226" s="393">
        <f t="shared" si="102"/>
        <v>428.2327960691668</v>
      </c>
      <c r="H226" s="393">
        <f t="shared" si="102"/>
        <v>387.38622172650003</v>
      </c>
      <c r="I226" s="393">
        <f t="shared" si="102"/>
        <v>0</v>
      </c>
      <c r="J226" s="393">
        <f t="shared" si="102"/>
        <v>0</v>
      </c>
      <c r="K226" s="393">
        <f t="shared" si="102"/>
        <v>0</v>
      </c>
      <c r="L226" s="393">
        <f t="shared" si="102"/>
        <v>0</v>
      </c>
      <c r="M226" s="393">
        <f t="shared" si="102"/>
        <v>0</v>
      </c>
      <c r="N226" s="393">
        <f t="shared" si="102"/>
        <v>0</v>
      </c>
      <c r="O226" s="393">
        <f t="shared" si="102"/>
        <v>0</v>
      </c>
      <c r="P226" s="393">
        <f t="shared" si="102"/>
        <v>0</v>
      </c>
      <c r="Q226" s="393">
        <f t="shared" si="102"/>
        <v>0</v>
      </c>
      <c r="R226" s="393">
        <f t="shared" si="102"/>
        <v>0</v>
      </c>
      <c r="S226" s="393">
        <f t="shared" si="102"/>
        <v>0</v>
      </c>
      <c r="T226" s="393">
        <f t="shared" si="102"/>
        <v>0</v>
      </c>
      <c r="U226" s="393">
        <f t="shared" si="102"/>
        <v>0</v>
      </c>
      <c r="V226" s="393">
        <f t="shared" si="102"/>
        <v>0</v>
      </c>
      <c r="W226" s="393">
        <f t="shared" si="102"/>
        <v>0</v>
      </c>
      <c r="X226" s="393">
        <f t="shared" si="102"/>
        <v>0</v>
      </c>
      <c r="Y226" s="393">
        <f t="shared" si="102"/>
        <v>0</v>
      </c>
      <c r="Z226" s="393">
        <f t="shared" si="102"/>
        <v>0</v>
      </c>
      <c r="AA226" s="393">
        <f t="shared" si="102"/>
        <v>0</v>
      </c>
      <c r="AB226" s="393">
        <f t="shared" si="102"/>
        <v>0</v>
      </c>
      <c r="AC226" s="393">
        <f t="shared" si="102"/>
        <v>0</v>
      </c>
      <c r="AD226" s="393">
        <f t="shared" si="102"/>
        <v>0</v>
      </c>
      <c r="AE226" s="393">
        <f t="shared" si="102"/>
        <v>0</v>
      </c>
      <c r="AF226" s="393">
        <f t="shared" si="102"/>
        <v>0</v>
      </c>
      <c r="AG226" s="393">
        <f t="shared" si="102"/>
        <v>0</v>
      </c>
      <c r="AH226" s="393">
        <f t="shared" si="102"/>
        <v>0</v>
      </c>
      <c r="AI226" s="393">
        <f t="shared" si="102"/>
        <v>0</v>
      </c>
      <c r="AJ226" s="393">
        <f t="shared" si="102"/>
        <v>0</v>
      </c>
      <c r="AK226" s="393">
        <f t="shared" si="102"/>
        <v>0</v>
      </c>
      <c r="AL226" s="393">
        <f t="shared" si="102"/>
        <v>0</v>
      </c>
      <c r="AM226" s="393">
        <f t="shared" si="102"/>
        <v>0</v>
      </c>
      <c r="AN226" s="393">
        <f t="shared" si="102"/>
        <v>0</v>
      </c>
      <c r="AO226" s="393">
        <f t="shared" si="102"/>
        <v>0</v>
      </c>
      <c r="AP226" s="393">
        <f t="shared" si="102"/>
        <v>0</v>
      </c>
      <c r="AQ226" s="393">
        <f t="shared" si="102"/>
        <v>0</v>
      </c>
      <c r="AR226" s="393">
        <f t="shared" si="102"/>
        <v>0</v>
      </c>
      <c r="AS226" s="393">
        <f t="shared" si="102"/>
        <v>0</v>
      </c>
      <c r="AT226" s="393">
        <f t="shared" si="102"/>
        <v>0</v>
      </c>
      <c r="AU226" s="393">
        <f t="shared" si="102"/>
        <v>0</v>
      </c>
      <c r="AV226" s="393">
        <f t="shared" si="102"/>
        <v>0</v>
      </c>
      <c r="AW226" s="393">
        <f t="shared" si="102"/>
        <v>0</v>
      </c>
      <c r="AX226" s="393">
        <f t="shared" si="102"/>
        <v>0</v>
      </c>
      <c r="AY226" s="393">
        <f t="shared" si="102"/>
        <v>0</v>
      </c>
      <c r="AZ226" s="393">
        <f t="shared" si="102"/>
        <v>0</v>
      </c>
      <c r="BA226" s="393">
        <f t="shared" si="102"/>
        <v>0</v>
      </c>
      <c r="BB226" s="393">
        <f t="shared" si="102"/>
        <v>0</v>
      </c>
      <c r="BC226" s="393">
        <f t="shared" si="102"/>
        <v>0</v>
      </c>
      <c r="BD226" s="393">
        <f t="shared" si="102"/>
        <v>0</v>
      </c>
      <c r="BE226" s="393">
        <f t="shared" si="102"/>
        <v>0</v>
      </c>
    </row>
    <row r="227" spans="1:57" s="347" customFormat="1">
      <c r="A227" s="347" t="s">
        <v>135</v>
      </c>
      <c r="B227" s="394">
        <f>SUM(B44,B105,B183,B220)</f>
        <v>1132.7962881575281</v>
      </c>
      <c r="C227" s="394">
        <f>SUM(C44,C105,C183,C220)</f>
        <v>1278.7103842036904</v>
      </c>
      <c r="D227" s="394">
        <f t="shared" ref="D227:BE227" si="103">SUM(D44,D105,D183,D220)</f>
        <v>1444.7533807656316</v>
      </c>
      <c r="E227" s="394">
        <f t="shared" si="103"/>
        <v>1624.3197550116522</v>
      </c>
      <c r="F227" s="394">
        <f t="shared" si="103"/>
        <v>1832.8311842355104</v>
      </c>
      <c r="G227" s="394">
        <f t="shared" si="103"/>
        <v>2041.0272385953665</v>
      </c>
      <c r="H227" s="394">
        <f t="shared" si="103"/>
        <v>2218.185974798515</v>
      </c>
      <c r="I227" s="394">
        <f t="shared" si="103"/>
        <v>2065.3924035058344</v>
      </c>
      <c r="J227" s="394">
        <f t="shared" si="103"/>
        <v>1932.3655564631147</v>
      </c>
      <c r="K227" s="394">
        <f t="shared" si="103"/>
        <v>1814.1992791361699</v>
      </c>
      <c r="L227" s="394">
        <f t="shared" si="103"/>
        <v>1707.6824345746104</v>
      </c>
      <c r="M227" s="394">
        <f t="shared" si="103"/>
        <v>1610.6483490710057</v>
      </c>
      <c r="N227" s="394">
        <f t="shared" si="103"/>
        <v>1521.5813402225431</v>
      </c>
      <c r="O227" s="394">
        <f t="shared" si="103"/>
        <v>1439.3778945922954</v>
      </c>
      <c r="P227" s="394">
        <f t="shared" si="103"/>
        <v>1363.2009772910592</v>
      </c>
      <c r="Q227" s="394">
        <f t="shared" si="103"/>
        <v>1292.3905147038481</v>
      </c>
      <c r="R227" s="394">
        <f t="shared" si="103"/>
        <v>1226.4078347581562</v>
      </c>
      <c r="S227" s="394">
        <f t="shared" si="103"/>
        <v>1164.8007013581487</v>
      </c>
      <c r="T227" s="394">
        <f t="shared" si="103"/>
        <v>1107.1808961090621</v>
      </c>
      <c r="U227" s="394">
        <f t="shared" si="103"/>
        <v>1053.2094946139791</v>
      </c>
      <c r="V227" s="394">
        <f t="shared" si="103"/>
        <v>1002.586904659015</v>
      </c>
      <c r="W227" s="394">
        <f t="shared" si="103"/>
        <v>955.04588858516945</v>
      </c>
      <c r="X227" s="394">
        <f t="shared" si="103"/>
        <v>910.34648762763641</v>
      </c>
      <c r="Y227" s="394">
        <f t="shared" si="103"/>
        <v>868.27218540193815</v>
      </c>
      <c r="Z227" s="394">
        <f t="shared" si="103"/>
        <v>828.62690114730208</v>
      </c>
      <c r="AA227" s="394">
        <f t="shared" si="103"/>
        <v>791.23255692449652</v>
      </c>
      <c r="AB227" s="394">
        <f t="shared" si="103"/>
        <v>755.92705642521014</v>
      </c>
      <c r="AC227" s="394">
        <f t="shared" si="103"/>
        <v>722.56257024858371</v>
      </c>
      <c r="AD227" s="394">
        <f t="shared" si="103"/>
        <v>691.0040577860666</v>
      </c>
      <c r="AE227" s="394">
        <f t="shared" si="103"/>
        <v>661.12797786131648</v>
      </c>
      <c r="AF227" s="394">
        <f t="shared" si="103"/>
        <v>632.8211541970561</v>
      </c>
      <c r="AG227" s="394">
        <f t="shared" si="103"/>
        <v>605.97977076206496</v>
      </c>
      <c r="AH227" s="394">
        <f t="shared" si="103"/>
        <v>580.5084779845555</v>
      </c>
      <c r="AI227" s="394">
        <f t="shared" si="103"/>
        <v>556.31959485225059</v>
      </c>
      <c r="AJ227" s="394">
        <f t="shared" si="103"/>
        <v>533.3323947538762</v>
      </c>
      <c r="AK227" s="394">
        <f t="shared" si="103"/>
        <v>511.47246497953267</v>
      </c>
      <c r="AL227" s="394">
        <f t="shared" si="103"/>
        <v>490.67113135234672</v>
      </c>
      <c r="AM227" s="394">
        <f t="shared" si="103"/>
        <v>470.86494067532897</v>
      </c>
      <c r="AN227" s="394">
        <f t="shared" si="103"/>
        <v>451.99519464921696</v>
      </c>
      <c r="AO227" s="394">
        <f t="shared" si="103"/>
        <v>434.00752971594079</v>
      </c>
      <c r="AP227" s="394">
        <f t="shared" si="103"/>
        <v>416.85153795196584</v>
      </c>
      <c r="AQ227" s="394">
        <f t="shared" si="103"/>
        <v>400.48042470567361</v>
      </c>
      <c r="AR227" s="394">
        <f t="shared" si="103"/>
        <v>384.85069916360288</v>
      </c>
      <c r="AS227" s="394">
        <f t="shared" si="103"/>
        <v>369.92189445651286</v>
      </c>
      <c r="AT227" s="394">
        <f t="shared" si="103"/>
        <v>355.65631428876145</v>
      </c>
      <c r="AU227" s="394">
        <f t="shared" si="103"/>
        <v>342.01880340174301</v>
      </c>
      <c r="AV227" s="394">
        <f t="shared" si="103"/>
        <v>328.97653947070813</v>
      </c>
      <c r="AW227" s="394">
        <f t="shared" si="103"/>
        <v>316.49884428948519</v>
      </c>
      <c r="AX227" s="394">
        <f t="shared" si="103"/>
        <v>304.55701232383035</v>
      </c>
      <c r="AY227" s="394">
        <f t="shared" si="103"/>
        <v>293.12415491501071</v>
      </c>
      <c r="AZ227" s="394">
        <f t="shared" si="103"/>
        <v>282.17505859389132</v>
      </c>
      <c r="BA227" s="394">
        <f t="shared" si="103"/>
        <v>271.68605612490211</v>
      </c>
      <c r="BB227" s="394">
        <f t="shared" si="103"/>
        <v>261.63490904112706</v>
      </c>
      <c r="BC227" s="394">
        <f t="shared" si="103"/>
        <v>252.00070055835701</v>
      </c>
      <c r="BD227" s="394">
        <f t="shared" si="103"/>
        <v>242.76373786904031</v>
      </c>
      <c r="BE227" s="394">
        <f t="shared" si="103"/>
        <v>233.90546291816275</v>
      </c>
    </row>
    <row r="228" spans="1:57" s="347" customFormat="1">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row>
    <row r="229" spans="1:57" s="425" customFormat="1" ht="18.75">
      <c r="A229" s="423" t="s">
        <v>168</v>
      </c>
      <c r="B229" s="424"/>
      <c r="C229" s="424"/>
      <c r="D229" s="424"/>
      <c r="E229" s="424"/>
      <c r="F229" s="424"/>
      <c r="G229" s="424"/>
      <c r="H229" s="424"/>
      <c r="I229" s="424"/>
      <c r="J229" s="424"/>
      <c r="K229" s="424"/>
      <c r="L229" s="424"/>
      <c r="M229" s="424"/>
      <c r="N229" s="424"/>
      <c r="O229" s="424"/>
      <c r="P229" s="424"/>
      <c r="Q229" s="424"/>
      <c r="R229" s="424"/>
      <c r="S229" s="424"/>
      <c r="T229" s="424"/>
      <c r="U229" s="424"/>
    </row>
    <row r="231" spans="1:57">
      <c r="A231" s="399" t="s">
        <v>158</v>
      </c>
      <c r="B231" s="410"/>
      <c r="C231" s="411"/>
    </row>
    <row r="232" spans="1:57">
      <c r="A232" s="400" t="s">
        <v>159</v>
      </c>
      <c r="B232" s="323"/>
      <c r="C232" s="412">
        <f>H184+H106+H45</f>
        <v>2098.3903012745614</v>
      </c>
      <c r="D232" s="514" t="b">
        <f>ROUND(H227-C232,2)=ROUND(H178+H173+H168+H101+H97+H93+H89+H85+H24,2)</f>
        <v>1</v>
      </c>
    </row>
    <row r="233" spans="1:57">
      <c r="A233" s="401"/>
      <c r="D233" s="449"/>
    </row>
    <row r="234" spans="1:57">
      <c r="A234" s="402" t="s">
        <v>160</v>
      </c>
      <c r="B234" s="407" t="s">
        <v>165</v>
      </c>
      <c r="C234" s="409" t="s">
        <v>167</v>
      </c>
      <c r="D234" s="449">
        <f>H178+H173+H168+H101+H97+H93+H89+H85</f>
        <v>108.48045020908768</v>
      </c>
      <c r="E234" s="449">
        <f>C232+D234</f>
        <v>2206.8707514836492</v>
      </c>
    </row>
    <row r="235" spans="1:57">
      <c r="A235" s="403" t="s">
        <v>108</v>
      </c>
      <c r="B235" s="413">
        <f>'Total actual RAB roll forward'!L458/('Total actual RAB roll forward'!L458+'Total actual RAB roll forward'!L459)</f>
        <v>0.13675897873270698</v>
      </c>
      <c r="C235" s="414">
        <f>C232*B235</f>
        <v>286.97371458492631</v>
      </c>
    </row>
    <row r="236" spans="1:57">
      <c r="A236" s="404" t="s">
        <v>161</v>
      </c>
      <c r="B236" s="413">
        <f>'Total actual RAB roll forward'!L459/('Total actual RAB roll forward'!L458+'Total actual RAB roll forward'!L459)</f>
        <v>0.86324102126729296</v>
      </c>
      <c r="C236" s="414">
        <f>C232*B236</f>
        <v>1811.4165866896349</v>
      </c>
    </row>
    <row r="237" spans="1:57">
      <c r="A237" s="404" t="s">
        <v>162</v>
      </c>
      <c r="B237" s="415"/>
      <c r="C237" s="416"/>
    </row>
    <row r="238" spans="1:57">
      <c r="A238" s="404" t="s">
        <v>163</v>
      </c>
      <c r="B238" s="415"/>
      <c r="C238" s="417">
        <f>H85</f>
        <v>0.1965288262767127</v>
      </c>
    </row>
    <row r="239" spans="1:57">
      <c r="A239" s="404" t="s">
        <v>112</v>
      </c>
      <c r="B239" s="415"/>
      <c r="C239" s="417">
        <f>H168+H93</f>
        <v>21.298228619995591</v>
      </c>
    </row>
    <row r="240" spans="1:57">
      <c r="A240" s="404" t="s">
        <v>113</v>
      </c>
      <c r="B240" s="415"/>
      <c r="C240" s="417">
        <f>H173+H97</f>
        <v>62.262012508836882</v>
      </c>
    </row>
    <row r="241" spans="1:21">
      <c r="A241" s="405" t="s">
        <v>114</v>
      </c>
      <c r="B241" s="415"/>
      <c r="C241" s="417">
        <f>H178+H101</f>
        <v>24.723680253978475</v>
      </c>
    </row>
    <row r="242" spans="1:21">
      <c r="A242" s="517" t="s">
        <v>127</v>
      </c>
      <c r="B242" s="415"/>
      <c r="C242" s="518">
        <f>H24</f>
        <v>11.315223314865596</v>
      </c>
    </row>
    <row r="243" spans="1:21">
      <c r="A243" s="406" t="s">
        <v>164</v>
      </c>
      <c r="B243" s="418"/>
      <c r="C243" s="419">
        <f>SUM(C235:C242)</f>
        <v>2218.1859747985145</v>
      </c>
    </row>
    <row r="244" spans="1:21">
      <c r="C244" t="b">
        <f>C243=H227</f>
        <v>1</v>
      </c>
    </row>
    <row r="246" spans="1:21" s="425" customFormat="1" ht="18.75">
      <c r="A246" s="423" t="s">
        <v>169</v>
      </c>
      <c r="B246" s="424"/>
      <c r="C246" s="424"/>
      <c r="D246" s="424"/>
      <c r="E246" s="424"/>
      <c r="F246" s="424"/>
      <c r="G246" s="424"/>
      <c r="H246" s="424"/>
      <c r="I246" s="424"/>
      <c r="J246" s="424"/>
      <c r="K246" s="424"/>
      <c r="L246" s="424"/>
      <c r="M246" s="424"/>
      <c r="N246" s="424"/>
      <c r="O246" s="424"/>
      <c r="P246" s="424"/>
      <c r="Q246" s="424"/>
      <c r="R246" s="424"/>
      <c r="S246" s="424"/>
      <c r="T246" s="424"/>
      <c r="U246" s="424"/>
    </row>
    <row r="248" spans="1:21" ht="25.5">
      <c r="A248" s="426" t="s">
        <v>170</v>
      </c>
      <c r="B248" s="427" t="s">
        <v>171</v>
      </c>
    </row>
    <row r="249" spans="1:21">
      <c r="A249" s="428" t="s">
        <v>108</v>
      </c>
      <c r="B249" s="509">
        <v>43</v>
      </c>
    </row>
    <row r="250" spans="1:21">
      <c r="A250" s="429" t="s">
        <v>161</v>
      </c>
      <c r="B250" s="509">
        <v>46</v>
      </c>
    </row>
    <row r="251" spans="1:21">
      <c r="A251" s="429" t="s">
        <v>112</v>
      </c>
      <c r="B251" s="486">
        <v>10</v>
      </c>
    </row>
    <row r="252" spans="1:21">
      <c r="A252" s="429"/>
      <c r="B252" s="486"/>
    </row>
    <row r="253" spans="1:21">
      <c r="A253" s="433" t="s">
        <v>113</v>
      </c>
      <c r="B253" s="490">
        <v>4</v>
      </c>
    </row>
    <row r="254" spans="1:21">
      <c r="A254" s="434" t="s">
        <v>114</v>
      </c>
      <c r="B254" s="491">
        <v>12</v>
      </c>
    </row>
    <row r="256" spans="1:21" s="425" customFormat="1" ht="18.75">
      <c r="A256" s="423" t="s">
        <v>172</v>
      </c>
      <c r="B256" s="424"/>
      <c r="C256" s="424"/>
      <c r="D256" s="424"/>
      <c r="E256" s="424"/>
      <c r="F256" s="424"/>
      <c r="G256" s="424"/>
      <c r="H256" s="424"/>
      <c r="I256" s="424"/>
      <c r="J256" s="424"/>
      <c r="K256" s="424"/>
      <c r="L256" s="424"/>
      <c r="M256" s="424"/>
      <c r="N256" s="424"/>
      <c r="O256" s="424"/>
      <c r="P256" s="424"/>
      <c r="Q256" s="424"/>
      <c r="R256" s="424"/>
      <c r="S256" s="424"/>
      <c r="T256" s="424"/>
      <c r="U256" s="424"/>
    </row>
    <row r="257" spans="1:21">
      <c r="I257" s="347" t="s">
        <v>183</v>
      </c>
    </row>
    <row r="258" spans="1:21" ht="51">
      <c r="A258" s="430" t="s">
        <v>160</v>
      </c>
      <c r="B258" s="431" t="s">
        <v>173</v>
      </c>
      <c r="C258" s="432" t="s">
        <v>174</v>
      </c>
      <c r="D258" s="432" t="s">
        <v>175</v>
      </c>
      <c r="E258" s="432" t="s">
        <v>176</v>
      </c>
      <c r="G258" s="431" t="s">
        <v>173</v>
      </c>
      <c r="H258" s="432" t="s">
        <v>174</v>
      </c>
      <c r="I258" s="432" t="s">
        <v>175</v>
      </c>
      <c r="J258" s="432" t="s">
        <v>176</v>
      </c>
    </row>
    <row r="259" spans="1:21">
      <c r="A259" s="436" t="s">
        <v>108</v>
      </c>
      <c r="B259" s="489">
        <f>IF(ISERROR(VLOOKUP($A259,Input!$G$7:$L$14,6,0)),"n/a",VLOOKUP($A259,Input!$G$7:$L$14,6,0))</f>
        <v>45</v>
      </c>
      <c r="C259" s="489">
        <f ca="1">IF(ISERROR(VLOOKUP($A259,'Output summary'!$G$7:$L$14,6,0)),"n/a",VLOOKUP($A259,'Output summary'!$G$7:$L$14,6,0))</f>
        <v>35.539697656262469</v>
      </c>
      <c r="D259" s="489">
        <f>IF(ISERROR(VLOOKUP($A259,$A$249:$B$254,2,0)),"n/a",VLOOKUP($A259,$A$249:$B$254,2,0))</f>
        <v>43</v>
      </c>
      <c r="E259" s="489">
        <f ca="1">IF(ISERROR(D259*C259/B259),"n/a",D259*C259/B259)</f>
        <v>33.960155538206358</v>
      </c>
      <c r="G259" s="489">
        <f>IF(ISERROR(VLOOKUP($A259,Input!$G$7:$L$14,6,0)),"n/a",VLOOKUP($A259,Input!$G$7:$L$14,6,0))</f>
        <v>45</v>
      </c>
      <c r="H259" s="489">
        <f ca="1">IF(ISERROR(VLOOKUP($A259,'Output summary'!$G$7:$L$14,6,0)),"n/a",VLOOKUP($A259,'Output summary'!$G$7:$L$14,6,0))</f>
        <v>35.539697656262469</v>
      </c>
      <c r="I259" s="489">
        <f>G259</f>
        <v>45</v>
      </c>
      <c r="J259" s="489">
        <f ca="1">IF(ISERROR(I259*H259/G259),"n/a",I259*H259/G259)</f>
        <v>35.539697656262469</v>
      </c>
    </row>
    <row r="260" spans="1:21">
      <c r="A260" s="437" t="s">
        <v>161</v>
      </c>
      <c r="B260" s="489">
        <f>IF(ISERROR(VLOOKUP($A260,Input!$G$7:$L$14,6,0)),"n/a",VLOOKUP($A260,Input!$G$7:$L$14,6,0))</f>
        <v>50</v>
      </c>
      <c r="C260" s="489">
        <f ca="1">IF(ISERROR(VLOOKUP($A260,'Output summary'!$G$7:$L$14,6,0)),"n/a",VLOOKUP($A260,'Output summary'!$G$7:$L$14,6,0))</f>
        <v>34.416284164904404</v>
      </c>
      <c r="D260" s="489">
        <f t="shared" ref="D260:D265" si="104">IF(ISERROR(VLOOKUP($A260,$A$249:$B$254,2,0)),"n/a",VLOOKUP($A260,$A$249:$B$254,2,0))</f>
        <v>46</v>
      </c>
      <c r="E260" s="489">
        <f t="shared" ref="E260:E265" ca="1" si="105">IF(ISERROR(D260*C260/B260),"n/a",D260*C260/B260)</f>
        <v>31.662981431712051</v>
      </c>
      <c r="G260" s="489">
        <f>IF(ISERROR(VLOOKUP($A260,Input!$G$7:$L$14,6,0)),"n/a",VLOOKUP($A260,Input!$G$7:$L$14,6,0))</f>
        <v>50</v>
      </c>
      <c r="H260" s="489">
        <f ca="1">IF(ISERROR(VLOOKUP($A260,'Output summary'!$G$7:$L$14,6,0)),"n/a",VLOOKUP($A260,'Output summary'!$G$7:$L$14,6,0))</f>
        <v>34.416284164904404</v>
      </c>
      <c r="I260" s="489">
        <f t="shared" ref="I260:I265" si="106">G260</f>
        <v>50</v>
      </c>
      <c r="J260" s="489">
        <f t="shared" ref="J260:J265" ca="1" si="107">IF(ISERROR(I260*H260/G260),"n/a",I260*H260/G260)</f>
        <v>34.416284164904404</v>
      </c>
    </row>
    <row r="261" spans="1:21">
      <c r="A261" s="433" t="s">
        <v>177</v>
      </c>
      <c r="B261" s="489" t="str">
        <f>IF(ISERROR(VLOOKUP($A261,Input!$G$7:$L$14,6,0)),"n/a",VLOOKUP($A261,Input!$G$7:$L$14,6,0))</f>
        <v>n/a</v>
      </c>
      <c r="C261" s="489" t="str">
        <f>IF(ISERROR(VLOOKUP($A261,'Output summary'!$G$7:$L$14,6,0)),"n/a",VLOOKUP($A261,'Output summary'!$G$7:$L$14,6,0))</f>
        <v>n/a</v>
      </c>
      <c r="D261" s="489" t="str">
        <f t="shared" si="104"/>
        <v>n/a</v>
      </c>
      <c r="E261" s="489" t="str">
        <f t="shared" si="105"/>
        <v>n/a</v>
      </c>
      <c r="G261" s="489" t="str">
        <f>IF(ISERROR(VLOOKUP($A261,Input!$G$7:$L$14,6,0)),"n/a",VLOOKUP($A261,Input!$G$7:$L$14,6,0))</f>
        <v>n/a</v>
      </c>
      <c r="H261" s="489" t="str">
        <f>IF(ISERROR(VLOOKUP($A261,'Output summary'!$G$7:$L$14,6,0)),"n/a",VLOOKUP($A261,'Output summary'!$G$7:$L$14,6,0))</f>
        <v>n/a</v>
      </c>
      <c r="I261" s="489" t="str">
        <f t="shared" si="106"/>
        <v>n/a</v>
      </c>
      <c r="J261" s="489" t="str">
        <f t="shared" si="107"/>
        <v>n/a</v>
      </c>
    </row>
    <row r="262" spans="1:21">
      <c r="A262" s="435" t="s">
        <v>111</v>
      </c>
      <c r="B262" s="489" t="str">
        <f>IF(ISERROR(VLOOKUP($A262,Input!$G$7:$L$14,6,0)),"n/a",VLOOKUP($A262,Input!$G$7:$L$14,6,0))</f>
        <v>n/a</v>
      </c>
      <c r="C262" s="489" t="str">
        <f ca="1">IF(ISERROR(VLOOKUP($A262,'Output summary'!$G$7:$L$14,6,0)),"n/a",VLOOKUP($A262,'Output summary'!$G$7:$L$14,6,0))</f>
        <v>n/a</v>
      </c>
      <c r="D262" s="489" t="str">
        <f t="shared" si="104"/>
        <v>n/a</v>
      </c>
      <c r="E262" s="489" t="str">
        <f t="shared" ca="1" si="105"/>
        <v>n/a</v>
      </c>
      <c r="G262" s="489" t="str">
        <f>IF(ISERROR(VLOOKUP($A262,Input!$G$7:$L$14,6,0)),"n/a",VLOOKUP($A262,Input!$G$7:$L$14,6,0))</f>
        <v>n/a</v>
      </c>
      <c r="H262" s="489" t="str">
        <f ca="1">IF(ISERROR(VLOOKUP($A262,'Output summary'!$G$7:$L$14,6,0)),"n/a",VLOOKUP($A262,'Output summary'!$G$7:$L$14,6,0))</f>
        <v>n/a</v>
      </c>
      <c r="I262" s="489" t="str">
        <f t="shared" si="106"/>
        <v>n/a</v>
      </c>
      <c r="J262" s="489" t="str">
        <f t="shared" ca="1" si="107"/>
        <v>n/a</v>
      </c>
    </row>
    <row r="263" spans="1:21">
      <c r="A263" s="433" t="s">
        <v>112</v>
      </c>
      <c r="B263" s="489">
        <f>IF(ISERROR(VLOOKUP($A263,Input!$G$7:$L$14,6,0)),"n/a",VLOOKUP($A263,Input!$G$7:$L$14,6,0))</f>
        <v>5</v>
      </c>
      <c r="C263" s="489">
        <f ca="1">IF(ISERROR(VLOOKUP($A263,'Output summary'!$G$7:$L$14,6,0)),"n/a",VLOOKUP($A263,'Output summary'!$G$7:$L$14,6,0))</f>
        <v>3.4418228827747797</v>
      </c>
      <c r="D263" s="489">
        <f t="shared" si="104"/>
        <v>10</v>
      </c>
      <c r="E263" s="489">
        <f t="shared" ca="1" si="105"/>
        <v>6.8836457655495593</v>
      </c>
      <c r="G263" s="489">
        <f>IF(ISERROR(VLOOKUP($A263,Input!$G$7:$L$14,6,0)),"n/a",VLOOKUP($A263,Input!$G$7:$L$14,6,0))</f>
        <v>5</v>
      </c>
      <c r="H263" s="489">
        <f ca="1">IF(ISERROR(VLOOKUP($A263,'Output summary'!$G$7:$L$14,6,0)),"n/a",VLOOKUP($A263,'Output summary'!$G$7:$L$14,6,0))</f>
        <v>3.4418228827747797</v>
      </c>
      <c r="I263" s="489">
        <f t="shared" si="106"/>
        <v>5</v>
      </c>
      <c r="J263" s="489">
        <f t="shared" ca="1" si="107"/>
        <v>3.4418228827747797</v>
      </c>
    </row>
    <row r="264" spans="1:21">
      <c r="A264" s="433" t="s">
        <v>113</v>
      </c>
      <c r="B264" s="489">
        <f>IF(ISERROR(VLOOKUP($A264,Input!$G$7:$L$14,6,0)),"n/a",VLOOKUP($A264,Input!$G$7:$L$14,6,0))</f>
        <v>5</v>
      </c>
      <c r="C264" s="489">
        <f ca="1">IF(ISERROR(VLOOKUP($A264,'Output summary'!$G$7:$L$14,6,0)),"n/a",VLOOKUP($A264,'Output summary'!$G$7:$L$14,6,0))</f>
        <v>3.2395132312629418</v>
      </c>
      <c r="D264" s="489">
        <f t="shared" si="104"/>
        <v>4</v>
      </c>
      <c r="E264" s="489">
        <f t="shared" ca="1" si="105"/>
        <v>2.5916105850103532</v>
      </c>
      <c r="G264" s="489">
        <f>IF(ISERROR(VLOOKUP($A264,Input!$G$7:$L$14,6,0)),"n/a",VLOOKUP($A264,Input!$G$7:$L$14,6,0))</f>
        <v>5</v>
      </c>
      <c r="H264" s="489">
        <f ca="1">IF(ISERROR(VLOOKUP($A264,'Output summary'!$G$7:$L$14,6,0)),"n/a",VLOOKUP($A264,'Output summary'!$G$7:$L$14,6,0))</f>
        <v>3.2395132312629418</v>
      </c>
      <c r="I264" s="489">
        <f t="shared" si="106"/>
        <v>5</v>
      </c>
      <c r="J264" s="489">
        <f t="shared" ca="1" si="107"/>
        <v>3.2395132312629413</v>
      </c>
    </row>
    <row r="265" spans="1:21">
      <c r="A265" s="434" t="s">
        <v>114</v>
      </c>
      <c r="B265" s="489">
        <f>IF(ISERROR(VLOOKUP($A265,Input!$G$7:$L$14,6,0)),"n/a",VLOOKUP($A265,Input!$G$7:$L$14,6,0))</f>
        <v>5</v>
      </c>
      <c r="C265" s="489">
        <f ca="1">IF(ISERROR(VLOOKUP($A265,'Output summary'!$G$7:$L$14,6,0)),"n/a",VLOOKUP($A265,'Output summary'!$G$7:$L$14,6,0))</f>
        <v>3.3856549338026585</v>
      </c>
      <c r="D265" s="489">
        <f t="shared" si="104"/>
        <v>12</v>
      </c>
      <c r="E265" s="489">
        <f t="shared" ca="1" si="105"/>
        <v>8.12557184112638</v>
      </c>
      <c r="G265" s="489">
        <f>IF(ISERROR(VLOOKUP($A265,Input!$G$7:$L$14,6,0)),"n/a",VLOOKUP($A265,Input!$G$7:$L$14,6,0))</f>
        <v>5</v>
      </c>
      <c r="H265" s="489">
        <f ca="1">IF(ISERROR(VLOOKUP($A265,'Output summary'!$G$7:$L$14,6,0)),"n/a",VLOOKUP($A265,'Output summary'!$G$7:$L$14,6,0))</f>
        <v>3.3856549338026585</v>
      </c>
      <c r="I265" s="489">
        <f t="shared" si="106"/>
        <v>5</v>
      </c>
      <c r="J265" s="489">
        <f t="shared" ca="1" si="107"/>
        <v>3.385654933802658</v>
      </c>
    </row>
    <row r="266" spans="1:21">
      <c r="A266" s="401"/>
    </row>
    <row r="267" spans="1:21" s="425" customFormat="1" ht="18.75">
      <c r="A267" s="423" t="s">
        <v>178</v>
      </c>
      <c r="B267" s="424"/>
      <c r="C267" s="424"/>
      <c r="D267" s="424"/>
      <c r="E267" s="424"/>
      <c r="F267" s="424"/>
      <c r="G267" s="424"/>
      <c r="H267" s="424"/>
      <c r="I267" s="424"/>
      <c r="J267" s="424"/>
      <c r="K267" s="424"/>
      <c r="L267" s="424"/>
      <c r="M267" s="424"/>
      <c r="N267" s="424"/>
      <c r="O267" s="424"/>
      <c r="P267" s="424"/>
      <c r="Q267" s="424"/>
      <c r="R267" s="424"/>
      <c r="S267" s="424"/>
      <c r="T267" s="424"/>
      <c r="U267" s="424"/>
    </row>
    <row r="268" spans="1:21">
      <c r="D268" s="363" t="s">
        <v>219</v>
      </c>
    </row>
    <row r="269" spans="1:21" ht="36">
      <c r="A269" s="438" t="s">
        <v>60</v>
      </c>
      <c r="B269" s="439"/>
      <c r="C269" s="439"/>
      <c r="D269" s="440" t="s">
        <v>180</v>
      </c>
      <c r="E269" s="440" t="s">
        <v>181</v>
      </c>
      <c r="F269" s="441" t="s">
        <v>182</v>
      </c>
    </row>
    <row r="270" spans="1:21">
      <c r="A270" s="545" t="s">
        <v>108</v>
      </c>
      <c r="B270" s="546"/>
      <c r="C270" s="546"/>
      <c r="D270" s="493">
        <f>IF(ISERROR(VLOOKUP($A270,$A$235:$C$241,3,0)),"n/a",VLOOKUP($A270,$A$235:$C$241,3,0))</f>
        <v>286.97371458492631</v>
      </c>
      <c r="E270" s="511">
        <f ca="1">IF(ISERROR(VLOOKUP($A270,$A$259:$E$265,5,0)),"n/a",VLOOKUP($A270,$A$259:$E$265,5,0))</f>
        <v>33.960155538206358</v>
      </c>
      <c r="F270" s="510">
        <f>IF(ISERROR(VLOOKUP($A270,$A$259:$E$265,4,0)),"n/a",VLOOKUP($A270,$A$259:$E$265,4,0))</f>
        <v>43</v>
      </c>
    </row>
    <row r="271" spans="1:21">
      <c r="A271" s="545" t="s">
        <v>109</v>
      </c>
      <c r="B271" s="546"/>
      <c r="C271" s="546"/>
      <c r="D271" s="493">
        <f t="shared" ref="D271:D278" si="108">IF(ISERROR(VLOOKUP($A271,$A$235:$C$241,3,0)),"n/a",VLOOKUP($A271,$A$235:$C$241,3,0))</f>
        <v>1811.4165866896349</v>
      </c>
      <c r="E271" s="511">
        <f t="shared" ref="E271:E278" ca="1" si="109">IF(ISERROR(VLOOKUP($A271,$A$259:$E$265,5,0)),"n/a",VLOOKUP($A271,$A$259:$E$265,5,0))</f>
        <v>31.662981431712051</v>
      </c>
      <c r="F271" s="510">
        <f t="shared" ref="F271:F277" si="110">IF(ISERROR(VLOOKUP($A271,$A$259:$E$265,4,0)),"n/a",VLOOKUP($A271,$A$259:$E$265,4,0))</f>
        <v>46</v>
      </c>
    </row>
    <row r="272" spans="1:21">
      <c r="A272" s="545" t="s">
        <v>110</v>
      </c>
      <c r="B272" s="546"/>
      <c r="C272" s="546"/>
      <c r="D272" s="493">
        <f t="shared" si="108"/>
        <v>0.1965288262767127</v>
      </c>
      <c r="E272" s="485" t="str">
        <f t="shared" si="109"/>
        <v>n/a</v>
      </c>
      <c r="F272" s="486" t="str">
        <f t="shared" si="110"/>
        <v>n/a</v>
      </c>
    </row>
    <row r="273" spans="1:6">
      <c r="A273" s="545" t="s">
        <v>111</v>
      </c>
      <c r="B273" s="546"/>
      <c r="C273" s="546"/>
      <c r="D273" s="494" t="str">
        <f t="shared" si="108"/>
        <v>n/a</v>
      </c>
      <c r="E273" s="485" t="str">
        <f t="shared" ca="1" si="109"/>
        <v>n/a</v>
      </c>
      <c r="F273" s="486" t="str">
        <f t="shared" si="110"/>
        <v>n/a</v>
      </c>
    </row>
    <row r="274" spans="1:6">
      <c r="A274" s="545" t="s">
        <v>112</v>
      </c>
      <c r="B274" s="546"/>
      <c r="C274" s="546"/>
      <c r="D274" s="493">
        <f t="shared" si="108"/>
        <v>21.298228619995591</v>
      </c>
      <c r="E274" s="485">
        <f t="shared" ca="1" si="109"/>
        <v>6.8836457655495593</v>
      </c>
      <c r="F274" s="486">
        <f t="shared" si="110"/>
        <v>10</v>
      </c>
    </row>
    <row r="275" spans="1:6">
      <c r="A275" s="545" t="s">
        <v>113</v>
      </c>
      <c r="B275" s="546"/>
      <c r="C275" s="546"/>
      <c r="D275" s="493">
        <f t="shared" si="108"/>
        <v>62.262012508836882</v>
      </c>
      <c r="E275" s="485">
        <f t="shared" ca="1" si="109"/>
        <v>2.5916105850103532</v>
      </c>
      <c r="F275" s="486">
        <f t="shared" si="110"/>
        <v>4</v>
      </c>
    </row>
    <row r="276" spans="1:6">
      <c r="A276" s="545" t="s">
        <v>114</v>
      </c>
      <c r="B276" s="546"/>
      <c r="C276" s="546"/>
      <c r="D276" s="493">
        <f t="shared" si="108"/>
        <v>24.723680253978475</v>
      </c>
      <c r="E276" s="485">
        <f t="shared" ca="1" si="109"/>
        <v>8.12557184112638</v>
      </c>
      <c r="F276" s="486">
        <f t="shared" si="110"/>
        <v>12</v>
      </c>
    </row>
    <row r="277" spans="1:6">
      <c r="A277" s="547" t="s">
        <v>127</v>
      </c>
      <c r="B277" s="548"/>
      <c r="C277" s="548"/>
      <c r="D277" s="516">
        <f>IF(ISERROR(VLOOKUP($A277,$A$235:$C$242,3,0)),"n/a",VLOOKUP($A277,$A$235:$C$242,3,0))</f>
        <v>11.315223314865596</v>
      </c>
      <c r="E277" s="485" t="str">
        <f t="shared" si="109"/>
        <v>n/a</v>
      </c>
      <c r="F277" s="486" t="str">
        <f t="shared" si="110"/>
        <v>n/a</v>
      </c>
    </row>
    <row r="278" spans="1:6">
      <c r="A278" s="549" t="s">
        <v>179</v>
      </c>
      <c r="B278" s="550"/>
      <c r="C278" s="550"/>
      <c r="D278" s="495" t="str">
        <f t="shared" si="108"/>
        <v>n/a</v>
      </c>
      <c r="E278" s="487" t="str">
        <f t="shared" si="109"/>
        <v>n/a</v>
      </c>
      <c r="F278" s="515">
        <v>5</v>
      </c>
    </row>
    <row r="279" spans="1:6">
      <c r="D279" s="256">
        <f>SUM(D270:D278)</f>
        <v>2218.1859747985145</v>
      </c>
      <c r="E279" s="488"/>
      <c r="F279" s="488"/>
    </row>
    <row r="291" spans="4:10">
      <c r="D291" s="508"/>
      <c r="E291" s="508"/>
      <c r="F291" s="508"/>
      <c r="H291" s="508"/>
      <c r="I291" s="508"/>
      <c r="J291" s="508"/>
    </row>
    <row r="292" spans="4:10">
      <c r="D292" s="508"/>
      <c r="E292" s="508"/>
      <c r="F292" s="508"/>
      <c r="H292" s="508"/>
      <c r="I292" s="508"/>
      <c r="J292" s="508"/>
    </row>
    <row r="293" spans="4:10">
      <c r="D293" s="508"/>
      <c r="E293" s="508"/>
      <c r="F293" s="508"/>
      <c r="H293" s="508"/>
      <c r="I293" s="508"/>
      <c r="J293" s="508"/>
    </row>
    <row r="294" spans="4:10">
      <c r="D294" s="508"/>
      <c r="E294" s="508"/>
      <c r="F294" s="508"/>
      <c r="H294" s="508"/>
      <c r="I294" s="508"/>
      <c r="J294" s="508"/>
    </row>
    <row r="295" spans="4:10">
      <c r="D295" s="508"/>
      <c r="E295" s="508"/>
      <c r="F295" s="508"/>
      <c r="H295" s="508"/>
      <c r="I295" s="508"/>
      <c r="J295" s="508"/>
    </row>
    <row r="296" spans="4:10">
      <c r="D296" s="508"/>
      <c r="E296" s="508"/>
      <c r="F296" s="508"/>
      <c r="H296" s="508"/>
      <c r="I296" s="508"/>
      <c r="J296" s="508"/>
    </row>
    <row r="297" spans="4:10">
      <c r="D297" s="508"/>
      <c r="E297" s="508"/>
      <c r="F297" s="508"/>
      <c r="H297" s="508"/>
      <c r="I297" s="508"/>
      <c r="J297" s="508"/>
    </row>
    <row r="298" spans="4:10">
      <c r="D298" s="508"/>
      <c r="E298" s="508"/>
      <c r="F298" s="508"/>
      <c r="H298" s="508"/>
      <c r="I298" s="508"/>
      <c r="J298" s="508"/>
    </row>
    <row r="299" spans="4:10">
      <c r="D299" s="508"/>
      <c r="E299" s="508"/>
      <c r="F299" s="508"/>
      <c r="H299" s="508"/>
      <c r="I299" s="508"/>
      <c r="J299" s="508"/>
    </row>
    <row r="300" spans="4:10">
      <c r="D300" s="508"/>
      <c r="E300" s="508"/>
      <c r="F300" s="508"/>
    </row>
  </sheetData>
  <mergeCells count="9">
    <mergeCell ref="A276:C276"/>
    <mergeCell ref="A277:C277"/>
    <mergeCell ref="A278:C278"/>
    <mergeCell ref="A270:C270"/>
    <mergeCell ref="A271:C271"/>
    <mergeCell ref="A272:C272"/>
    <mergeCell ref="A273:C273"/>
    <mergeCell ref="A274:C274"/>
    <mergeCell ref="A275:C275"/>
  </mergeCells>
  <pageMargins left="0.70866141732283472" right="0.70866141732283472" top="0.74803149606299213" bottom="0.74803149606299213" header="0.31496062992125984" footer="0.31496062992125984"/>
  <pageSetup paperSize="8" scale="7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260"/>
  <sheetViews>
    <sheetView tabSelected="1" zoomScaleNormal="100" workbookViewId="0">
      <selection activeCell="Q17" sqref="Q17"/>
    </sheetView>
  </sheetViews>
  <sheetFormatPr defaultRowHeight="12.75"/>
  <cols>
    <col min="1" max="4" width="0.85546875" customWidth="1"/>
    <col min="5" max="5" width="29.5703125" style="256" customWidth="1"/>
    <col min="6" max="6" width="14.28515625" style="256" customWidth="1"/>
    <col min="7" max="7" width="14.28515625" style="265" customWidth="1"/>
    <col min="8" max="8" width="14.28515625" style="268" customWidth="1"/>
    <col min="9" max="9" width="14.28515625" style="266" customWidth="1"/>
    <col min="10" max="10" width="15.140625" style="266" customWidth="1"/>
    <col min="11" max="11" width="16.140625" style="268" customWidth="1"/>
    <col min="12" max="12" width="14.28515625" style="266" customWidth="1"/>
    <col min="13" max="13" width="12.28515625" style="280" customWidth="1"/>
    <col min="14" max="14" width="11.28515625" customWidth="1"/>
    <col min="15" max="15" width="14.28515625" customWidth="1"/>
    <col min="16" max="17" width="12.5703125" customWidth="1"/>
    <col min="18" max="18" width="13.710937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s="201" customFormat="1" ht="15.75">
      <c r="A2" s="254"/>
      <c r="B2" s="58"/>
      <c r="C2" s="44"/>
      <c r="D2" s="44"/>
      <c r="E2" s="297"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8"/>
      <c r="H4" s="148"/>
      <c r="I4" s="148"/>
      <c r="J4" s="148"/>
      <c r="K4" s="148"/>
      <c r="L4" s="148"/>
      <c r="M4" s="148"/>
      <c r="N4" s="148"/>
      <c r="O4" s="148"/>
      <c r="P4" s="148"/>
      <c r="Q4" s="148"/>
      <c r="R4" s="148"/>
      <c r="S4" s="44"/>
      <c r="T4" s="44"/>
      <c r="U4" s="44"/>
      <c r="V4" s="44"/>
      <c r="W4" s="44"/>
      <c r="X4" s="44"/>
      <c r="Y4" s="44"/>
      <c r="Z4" s="44"/>
    </row>
    <row r="5" spans="1:26">
      <c r="A5" s="78"/>
      <c r="B5" s="160"/>
      <c r="C5" s="160"/>
      <c r="D5" s="160"/>
      <c r="E5" s="530" t="str">
        <f>"Opening Regulatory Asset Base for "&amp;Q7&amp;" ($m Nominal)"</f>
        <v>Opening Regulatory Asset Base for 2016 ($m Nominal)</v>
      </c>
      <c r="F5" s="530"/>
      <c r="G5" s="530"/>
      <c r="H5" s="530"/>
      <c r="I5" s="276"/>
      <c r="J5" s="276"/>
      <c r="K5" s="276"/>
      <c r="L5" s="276"/>
      <c r="M5" s="78"/>
      <c r="N5" s="78"/>
      <c r="O5" s="78"/>
      <c r="P5" s="78"/>
      <c r="Q5" s="78"/>
      <c r="R5" s="78"/>
      <c r="S5" s="44"/>
      <c r="T5" s="44"/>
      <c r="U5" s="44"/>
      <c r="V5" s="44"/>
      <c r="W5" s="44"/>
      <c r="X5" s="44"/>
      <c r="Y5" s="44"/>
      <c r="Z5" s="44"/>
    </row>
    <row r="6" spans="1:26" s="286" customFormat="1" ht="51.75" customHeight="1">
      <c r="A6" s="284"/>
      <c r="B6" s="284"/>
      <c r="C6" s="284"/>
      <c r="D6" s="284"/>
      <c r="E6" s="285"/>
      <c r="F6" s="285"/>
      <c r="G6" s="555" t="s">
        <v>60</v>
      </c>
      <c r="H6" s="555"/>
      <c r="I6" s="555"/>
      <c r="J6" s="289" t="s">
        <v>87</v>
      </c>
      <c r="K6" s="289" t="s">
        <v>86</v>
      </c>
      <c r="L6" s="290" t="s">
        <v>77</v>
      </c>
      <c r="M6" s="290" t="s">
        <v>70</v>
      </c>
      <c r="N6" s="289" t="s">
        <v>42</v>
      </c>
      <c r="O6" s="289" t="s">
        <v>78</v>
      </c>
      <c r="P6" s="289" t="s">
        <v>69</v>
      </c>
      <c r="Q6" s="289" t="s">
        <v>3</v>
      </c>
      <c r="R6" s="289" t="s">
        <v>71</v>
      </c>
      <c r="S6" s="284"/>
      <c r="T6" s="284"/>
      <c r="U6" s="284"/>
      <c r="V6" s="284"/>
      <c r="W6" s="284"/>
      <c r="X6" s="284"/>
      <c r="Y6" s="284"/>
      <c r="Z6" s="284"/>
    </row>
    <row r="7" spans="1:26">
      <c r="A7" s="9"/>
      <c r="B7" s="9"/>
      <c r="C7" s="9"/>
      <c r="D7" s="9"/>
      <c r="E7" s="553" t="str">
        <f>Input!F7</f>
        <v>Asset Class 1</v>
      </c>
      <c r="F7" s="554"/>
      <c r="G7" s="556" t="str">
        <f>Asset1</f>
        <v>Subtransmission</v>
      </c>
      <c r="H7" s="557"/>
      <c r="I7" s="557"/>
      <c r="J7" s="308">
        <f>HLOOKUP(IF(Input!$Y$7="",5,Input!$Y$7),'Total actual RAB roll forward'!$L$456:$Q$487,3,FALSE)</f>
        <v>456.01257250635018</v>
      </c>
      <c r="K7" s="291">
        <f>HLOOKUP(IF(Input!$Y$7="",5,Input!$Y$7),'Total actual RAB roll forward'!$L$815:$Q$846,3,FALSE)</f>
        <v>456.01257250635018</v>
      </c>
      <c r="L7" s="291">
        <f ca="1">IF('Asset lives roll forward'!F19=0,"n/a",'Asset lives roll forward'!F19)</f>
        <v>35.539697656262469</v>
      </c>
      <c r="M7" s="292"/>
      <c r="N7" s="320">
        <f>HLOOKUP(IF(Input!$Y$7="",5,Input!$Y$7),'Tax value roll forward'!$M$2:$R$37,7,FALSE)</f>
        <v>61.575608359237798</v>
      </c>
      <c r="O7" s="291" t="str">
        <f ca="1">IF('Asset lives roll forward'!K19=0,"n/a",'Asset lives roll forward'!K19)</f>
        <v>n/a</v>
      </c>
      <c r="P7" s="292"/>
      <c r="Q7" s="295">
        <f>HLOOKUP(IF(Input!Y7="",5,Input!Y7),'Tax value roll forward'!I2:R4,3,FALSE)</f>
        <v>2016</v>
      </c>
      <c r="R7" s="293"/>
      <c r="S7" s="44"/>
      <c r="T7" s="44"/>
      <c r="U7" s="44"/>
      <c r="V7" s="44"/>
      <c r="W7" s="44"/>
      <c r="X7" s="44"/>
      <c r="Y7" s="44"/>
      <c r="Z7" s="44"/>
    </row>
    <row r="8" spans="1:26">
      <c r="A8" s="9"/>
      <c r="B8" s="9"/>
      <c r="C8" s="9"/>
      <c r="D8" s="9"/>
      <c r="E8" s="553" t="str">
        <f>Input!F8</f>
        <v>Asset Class 2</v>
      </c>
      <c r="F8" s="554"/>
      <c r="G8" s="551" t="str">
        <f>Asset2</f>
        <v>Distribution system assets</v>
      </c>
      <c r="H8" s="552"/>
      <c r="I8" s="552"/>
      <c r="J8" s="498">
        <f>HLOOKUP(IF(Input!$Y$7="",5,Input!$Y$7),'Total actual RAB roll forward'!$L$456:$Q$487,4,FALSE)</f>
        <v>2878.4125360462567</v>
      </c>
      <c r="K8" s="499">
        <f>HLOOKUP(IF(Input!$Y$7="",5,Input!$Y$7),'Total actual RAB roll forward'!$L$815:$Q$846,4,FALSE)</f>
        <v>2878.4125360462567</v>
      </c>
      <c r="L8" s="499">
        <f ca="1">IF('Asset lives roll forward'!F33=0,"n/a",'Asset lives roll forward'!F33)</f>
        <v>34.416284164904404</v>
      </c>
      <c r="M8" s="288"/>
      <c r="N8" s="315">
        <f>HLOOKUP(IF(Input!$Y$7="",5,Input!$Y$7),'Tax value roll forward'!$M$2:$R$37,8,FALSE)</f>
        <v>329.90245965378972</v>
      </c>
      <c r="O8" s="287" t="str">
        <f ca="1">IF('Asset lives roll forward'!K33=0,"n/a",'Asset lives roll forward'!K33)</f>
        <v>n/a</v>
      </c>
      <c r="P8" s="288"/>
      <c r="Q8" s="278"/>
      <c r="R8" s="12"/>
      <c r="S8" s="44"/>
      <c r="T8" s="480"/>
      <c r="U8" s="44"/>
      <c r="V8" s="44"/>
      <c r="W8" s="44"/>
      <c r="X8" s="44"/>
      <c r="Y8" s="44"/>
      <c r="Z8" s="44"/>
    </row>
    <row r="9" spans="1:26">
      <c r="A9" s="9"/>
      <c r="B9" s="9"/>
      <c r="C9" s="9"/>
      <c r="D9" s="9"/>
      <c r="E9" s="553" t="str">
        <f>Input!F9</f>
        <v>Asset Class 3</v>
      </c>
      <c r="F9" s="554"/>
      <c r="G9" s="551" t="str">
        <f>Asset3</f>
        <v>Standard metering</v>
      </c>
      <c r="H9" s="552"/>
      <c r="I9" s="552"/>
      <c r="J9" s="307">
        <f>HLOOKUP(IF(Input!$Y$7="",5,Input!$Y$7),'Total actual RAB roll forward'!$L$456:$Q$487,5,FALSE)</f>
        <v>-1.7763568394002505E-15</v>
      </c>
      <c r="K9" s="287">
        <f>HLOOKUP(IF(Input!$Y$7="",5,Input!$Y$7),'Total actual RAB roll forward'!$L$815:$Q$846,5,FALSE)</f>
        <v>0</v>
      </c>
      <c r="L9" s="287" t="str">
        <f ca="1">IF('Asset lives roll forward'!F47=0,"n/a",'Asset lives roll forward'!F47)</f>
        <v>n/a</v>
      </c>
      <c r="M9" s="288"/>
      <c r="N9" s="315">
        <f>HLOOKUP(IF(Input!$Y$7="",5,Input!$Y$7),'Tax value roll forward'!$M$2:$R$37,9,FALSE)</f>
        <v>0</v>
      </c>
      <c r="O9" s="287" t="str">
        <f ca="1">IF('Asset lives roll forward'!K47=0,"n/a",'Asset lives roll forward'!K47)</f>
        <v>n/a</v>
      </c>
      <c r="P9" s="288"/>
      <c r="Q9" s="278"/>
      <c r="R9" s="12"/>
      <c r="S9" s="44"/>
      <c r="T9" s="44"/>
      <c r="U9" s="44"/>
      <c r="V9" s="44"/>
      <c r="W9" s="44"/>
      <c r="X9" s="44"/>
      <c r="Y9" s="44"/>
      <c r="Z9" s="44"/>
    </row>
    <row r="10" spans="1:26">
      <c r="A10" s="9"/>
      <c r="B10" s="9"/>
      <c r="C10" s="9"/>
      <c r="D10" s="9"/>
      <c r="E10" s="553" t="str">
        <f>Input!F10</f>
        <v>Asset Class 4</v>
      </c>
      <c r="F10" s="554"/>
      <c r="G10" s="551" t="str">
        <f>Asset4</f>
        <v>Public lighting</v>
      </c>
      <c r="H10" s="552"/>
      <c r="I10" s="552"/>
      <c r="J10" s="307">
        <f>HLOOKUP(IF(Input!$Y$7="",5,Input!$Y$7),'Total actual RAB roll forward'!$L$456:$Q$487,6,FALSE)</f>
        <v>0</v>
      </c>
      <c r="K10" s="287">
        <f>HLOOKUP(IF(Input!$Y$7="",5,Input!$Y$7),'Total actual RAB roll forward'!$L$815:$Q$846,6,FALSE)</f>
        <v>0</v>
      </c>
      <c r="L10" s="287" t="str">
        <f ca="1">IF('Asset lives roll forward'!F61=0,"n/a",'Asset lives roll forward'!F61)</f>
        <v>n/a</v>
      </c>
      <c r="M10" s="288"/>
      <c r="N10" s="315">
        <f>HLOOKUP(IF(Input!$Y$7="",5,Input!$Y$7),'Tax value roll forward'!$M$2:$R$37,10,FALSE)</f>
        <v>0</v>
      </c>
      <c r="O10" s="287" t="str">
        <f ca="1">IF('Asset lives roll forward'!K61=0,"n/a",'Asset lives roll forward'!K61)</f>
        <v>n/a</v>
      </c>
      <c r="P10" s="288"/>
      <c r="Q10" s="278"/>
      <c r="R10" s="12"/>
      <c r="S10" s="44"/>
      <c r="T10" s="44"/>
      <c r="U10" s="44"/>
      <c r="V10" s="44"/>
      <c r="W10" s="44"/>
      <c r="X10" s="44"/>
      <c r="Y10" s="44"/>
      <c r="Z10" s="44"/>
    </row>
    <row r="11" spans="1:26">
      <c r="A11" s="9"/>
      <c r="B11" s="9"/>
      <c r="C11" s="9"/>
      <c r="D11" s="9"/>
      <c r="E11" s="553" t="str">
        <f>Input!F11</f>
        <v>Asset Class 5</v>
      </c>
      <c r="F11" s="554"/>
      <c r="G11" s="551" t="str">
        <f>Asset5</f>
        <v>SCADA/Network control</v>
      </c>
      <c r="H11" s="552"/>
      <c r="I11" s="552"/>
      <c r="J11" s="525">
        <f>HLOOKUP(IF(Input!$Y$7="",5,Input!$Y$7),'Total actual RAB roll forward'!$L$456:$Q$487,7,FALSE)</f>
        <v>9.6938470834831492</v>
      </c>
      <c r="K11" s="287">
        <f>HLOOKUP(IF(Input!$Y$7="",5,Input!$Y$7),'Total actual RAB roll forward'!$L$815:$Q$846,7,FALSE)</f>
        <v>9.6938470834831492</v>
      </c>
      <c r="L11" s="499">
        <f ca="1">IF('Asset lives roll forward'!F75=0,"n/a",'Asset lives roll forward'!F75)</f>
        <v>3.4418228827747797</v>
      </c>
      <c r="M11" s="288"/>
      <c r="N11" s="315">
        <f>HLOOKUP(IF(Input!$Y$7="",5,Input!$Y$7),'Tax value roll forward'!$M$2:$R$37,11,FALSE)</f>
        <v>4.0494033918342378</v>
      </c>
      <c r="O11" s="287" t="str">
        <f ca="1">IF('Asset lives roll forward'!K75=0,"n/a",'Asset lives roll forward'!K75)</f>
        <v>n/a</v>
      </c>
      <c r="P11" s="288"/>
      <c r="Q11" s="278"/>
      <c r="R11" s="12"/>
      <c r="S11" s="44"/>
      <c r="T11" s="44"/>
      <c r="U11" s="44"/>
      <c r="V11" s="44"/>
      <c r="W11" s="44"/>
      <c r="X11" s="44"/>
      <c r="Y11" s="44"/>
      <c r="Z11" s="44"/>
    </row>
    <row r="12" spans="1:26">
      <c r="A12" s="9"/>
      <c r="B12" s="9"/>
      <c r="C12" s="9"/>
      <c r="D12" s="9"/>
      <c r="E12" s="553" t="str">
        <f>Input!F12</f>
        <v>Asset Class 6</v>
      </c>
      <c r="F12" s="554"/>
      <c r="G12" s="551" t="str">
        <f>Asset6</f>
        <v>Non-network general assets - IT</v>
      </c>
      <c r="H12" s="552"/>
      <c r="I12" s="552"/>
      <c r="J12" s="525">
        <f>HLOOKUP(IF(Input!$Y$7="",5,Input!$Y$7),'Total actual RAB roll forward'!$L$456:$Q$487,8,FALSE)</f>
        <v>91.016553909644472</v>
      </c>
      <c r="K12" s="287">
        <f>HLOOKUP(IF(Input!$Y$7="",5,Input!$Y$7),'Total actual RAB roll forward'!$L$815:$Q$846,8,FALSE)</f>
        <v>91.016553909644472</v>
      </c>
      <c r="L12" s="499">
        <f ca="1">IF('Asset lives roll forward'!F89=0,"n/a",'Asset lives roll forward'!F89)</f>
        <v>3.2395132312629418</v>
      </c>
      <c r="M12" s="288"/>
      <c r="N12" s="315">
        <f>HLOOKUP(IF(Input!$Y$7="",5,Input!$Y$7),'Tax value roll forward'!$M$2:$R$37,12,FALSE)</f>
        <v>5.8132158360908122</v>
      </c>
      <c r="O12" s="287" t="str">
        <f ca="1">IF('Asset lives roll forward'!K89=0,"n/a",'Asset lives roll forward'!K89)</f>
        <v>n/a</v>
      </c>
      <c r="P12" s="288"/>
      <c r="Q12" s="278"/>
      <c r="R12" s="12"/>
      <c r="S12" s="44"/>
      <c r="T12" s="480"/>
      <c r="U12" s="44"/>
      <c r="V12" s="44"/>
      <c r="W12" s="44"/>
      <c r="X12" s="44"/>
      <c r="Y12" s="44"/>
      <c r="Z12" s="44"/>
    </row>
    <row r="13" spans="1:26">
      <c r="A13" s="9"/>
      <c r="B13" s="9"/>
      <c r="C13" s="9"/>
      <c r="D13" s="9"/>
      <c r="E13" s="553" t="str">
        <f>Input!F13</f>
        <v>Asset Class 7</v>
      </c>
      <c r="F13" s="554"/>
      <c r="G13" s="551" t="str">
        <f>Asset7</f>
        <v>Non-network general assets - Other</v>
      </c>
      <c r="H13" s="552"/>
      <c r="I13" s="552"/>
      <c r="J13" s="307">
        <f>HLOOKUP(IF(Input!$Y$7="",5,Input!$Y$7),'Total actual RAB roll forward'!$L$456:$Q$487,9,FALSE)</f>
        <v>7.9135647445117154</v>
      </c>
      <c r="K13" s="287">
        <f>HLOOKUP(IF(Input!$Y$7="",5,Input!$Y$7),'Total actual RAB roll forward'!$L$815:$Q$846,9,FALSE)</f>
        <v>7.9135647445117154</v>
      </c>
      <c r="L13" s="287">
        <f ca="1">IF('Asset lives roll forward'!F103=0,"n/a",'Asset lives roll forward'!F103)</f>
        <v>3.3856549338026585</v>
      </c>
      <c r="M13" s="288"/>
      <c r="N13" s="315">
        <f>HLOOKUP(IF(Input!$Y$7="",5,Input!$Y$7),'Tax value roll forward'!$M$2:$R$37,13,FALSE)</f>
        <v>-0.59165779275328312</v>
      </c>
      <c r="O13" s="287" t="str">
        <f ca="1">IF('Asset lives roll forward'!K103=0,"n/a",'Asset lives roll forward'!K103)</f>
        <v>n/a</v>
      </c>
      <c r="P13" s="288"/>
      <c r="Q13" s="278"/>
      <c r="R13" s="12"/>
      <c r="S13" s="44"/>
      <c r="T13" s="44"/>
      <c r="U13" s="44"/>
      <c r="V13" s="44"/>
      <c r="W13" s="44"/>
      <c r="X13" s="44"/>
      <c r="Y13" s="44"/>
      <c r="Z13" s="44"/>
    </row>
    <row r="14" spans="1:26">
      <c r="A14" s="9"/>
      <c r="B14" s="9"/>
      <c r="C14" s="9"/>
      <c r="D14" s="9"/>
      <c r="E14" s="553" t="str">
        <f>Input!F14</f>
        <v>Asset Class 8</v>
      </c>
      <c r="F14" s="554"/>
      <c r="G14" s="551" t="str">
        <f>Asset8</f>
        <v>Equity Raising Costs</v>
      </c>
      <c r="H14" s="552"/>
      <c r="I14" s="552"/>
      <c r="J14" s="307">
        <f>HLOOKUP(IF(Input!$Y$7="",5,Input!$Y$7),'Total actual RAB roll forward'!$L$456:$Q$487,10,FALSE)</f>
        <v>1.5688274079042255</v>
      </c>
      <c r="K14" s="287">
        <f>HLOOKUP(IF(Input!$Y$7="",5,Input!$Y$7),'Total actual RAB roll forward'!$L$815:$Q$846,10,FALSE)</f>
        <v>1.5688274079042255</v>
      </c>
      <c r="L14" s="287">
        <f ca="1">IF('Asset lives roll forward'!F117=0,"n/a",'Asset lives roll forward'!F117)</f>
        <v>42.474672142650419</v>
      </c>
      <c r="M14" s="288"/>
      <c r="N14" s="315">
        <f>HLOOKUP(IF(Input!$Y$7="",5,Input!$Y$7),'Tax value roll forward'!$M$2:$R$37,14,FALSE)</f>
        <v>0</v>
      </c>
      <c r="O14" s="287" t="str">
        <f ca="1">IF('Asset lives roll forward'!K117=0,"n/a",'Asset lives roll forward'!K117)</f>
        <v>n/a</v>
      </c>
      <c r="P14" s="288"/>
      <c r="Q14" s="278"/>
      <c r="R14" s="12"/>
      <c r="S14" s="44"/>
      <c r="T14" s="44"/>
      <c r="U14" s="44"/>
      <c r="V14" s="44"/>
      <c r="W14" s="44"/>
      <c r="X14" s="44"/>
      <c r="Y14" s="44"/>
      <c r="Z14" s="44"/>
    </row>
    <row r="15" spans="1:26">
      <c r="A15" s="9"/>
      <c r="B15" s="9"/>
      <c r="C15" s="9"/>
      <c r="D15" s="9"/>
      <c r="E15" s="553" t="str">
        <f>Input!F15</f>
        <v>Asset Class 9</v>
      </c>
      <c r="F15" s="554"/>
      <c r="G15" s="551">
        <f>Asset9</f>
        <v>0</v>
      </c>
      <c r="H15" s="552"/>
      <c r="I15" s="552"/>
      <c r="J15" s="307">
        <f>HLOOKUP(IF(Input!$Y$7="",5,Input!$Y$7),'Total actual RAB roll forward'!$L$456:$Q$487,11,FALSE)</f>
        <v>0</v>
      </c>
      <c r="K15" s="287">
        <f>HLOOKUP(IF(Input!$Y$7="",5,Input!$Y$7),'Total actual RAB roll forward'!$L$815:$Q$846,11,FALSE)</f>
        <v>0</v>
      </c>
      <c r="L15" s="287" t="str">
        <f ca="1">IF('Asset lives roll forward'!F131=0,"n/a",'Asset lives roll forward'!F131)</f>
        <v>n/a</v>
      </c>
      <c r="M15" s="288"/>
      <c r="N15" s="315">
        <f>HLOOKUP(IF(Input!$Y$7="",5,Input!$Y$7),'Tax value roll forward'!$M$2:$R$37,15,FALSE)</f>
        <v>0</v>
      </c>
      <c r="O15" s="287" t="str">
        <f ca="1">IF('Asset lives roll forward'!K131=0,"n/a",'Asset lives roll forward'!K131)</f>
        <v>n/a</v>
      </c>
      <c r="P15" s="288"/>
      <c r="Q15" s="278"/>
      <c r="R15" s="12"/>
      <c r="S15" s="44"/>
      <c r="T15" s="44"/>
      <c r="U15" s="44"/>
      <c r="V15" s="44"/>
      <c r="W15" s="44"/>
      <c r="X15" s="44"/>
      <c r="Y15" s="44"/>
      <c r="Z15" s="44"/>
    </row>
    <row r="16" spans="1:26">
      <c r="A16" s="9"/>
      <c r="B16" s="9"/>
      <c r="C16" s="9"/>
      <c r="D16" s="9"/>
      <c r="E16" s="553" t="str">
        <f>Input!F16</f>
        <v>Asset Class 10</v>
      </c>
      <c r="F16" s="554"/>
      <c r="G16" s="551">
        <f>Asset10</f>
        <v>0</v>
      </c>
      <c r="H16" s="552"/>
      <c r="I16" s="552"/>
      <c r="J16" s="307">
        <f>HLOOKUP(IF(Input!$Y$7="",5,Input!$Y$7),'Total actual RAB roll forward'!$L$456:$Q$487,12,FALSE)</f>
        <v>0</v>
      </c>
      <c r="K16" s="287">
        <f>HLOOKUP(IF(Input!$Y$7="",5,Input!$Y$7),'Total actual RAB roll forward'!$L$815:$Q$846,12,FALSE)</f>
        <v>0</v>
      </c>
      <c r="L16" s="287" t="str">
        <f ca="1">IF('Asset lives roll forward'!F145=0,"n/a",'Asset lives roll forward'!F145)</f>
        <v>n/a</v>
      </c>
      <c r="M16" s="288"/>
      <c r="N16" s="315">
        <f>HLOOKUP(IF(Input!$Y$7="",5,Input!$Y$7),'Tax value roll forward'!$M$2:$R$37,16,FALSE)</f>
        <v>0</v>
      </c>
      <c r="O16" s="287" t="str">
        <f ca="1">IF('Asset lives roll forward'!K145=0,"n/a",'Asset lives roll forward'!K145)</f>
        <v>n/a</v>
      </c>
      <c r="P16" s="288"/>
      <c r="Q16" s="278"/>
      <c r="R16" s="12"/>
      <c r="S16" s="44"/>
      <c r="T16" s="44"/>
      <c r="U16" s="44"/>
      <c r="V16" s="44"/>
      <c r="W16" s="44"/>
      <c r="X16" s="44"/>
      <c r="Y16" s="44"/>
      <c r="Z16" s="44"/>
    </row>
    <row r="17" spans="1:26">
      <c r="A17" s="9"/>
      <c r="B17" s="9"/>
      <c r="C17" s="9"/>
      <c r="D17" s="9"/>
      <c r="E17" s="553" t="str">
        <f>Input!F17</f>
        <v>Asset Class 11</v>
      </c>
      <c r="F17" s="554"/>
      <c r="G17" s="551">
        <f>Asset11</f>
        <v>0</v>
      </c>
      <c r="H17" s="552"/>
      <c r="I17" s="552"/>
      <c r="J17" s="307">
        <f>HLOOKUP(IF(Input!$Y$7="",5,Input!$Y$7),'Total actual RAB roll forward'!$L$456:$Q$487,13,FALSE)</f>
        <v>0</v>
      </c>
      <c r="K17" s="287">
        <f>HLOOKUP(IF(Input!$Y$7="",5,Input!$Y$7),'Total actual RAB roll forward'!$L$815:$Q$846,13,FALSE)</f>
        <v>0</v>
      </c>
      <c r="L17" s="287" t="str">
        <f ca="1">IF('Asset lives roll forward'!F159=0,"n/a",'Asset lives roll forward'!F159)</f>
        <v>n/a</v>
      </c>
      <c r="M17" s="288"/>
      <c r="N17" s="315">
        <f>HLOOKUP(IF(Input!$Y$7="",5,Input!$Y$7),'Tax value roll forward'!$M$2:$R$37,17,FALSE)</f>
        <v>0</v>
      </c>
      <c r="O17" s="287" t="str">
        <f ca="1">IF('Asset lives roll forward'!K159=0,"n/a",'Asset lives roll forward'!K159)</f>
        <v>n/a</v>
      </c>
      <c r="P17" s="288"/>
      <c r="Q17" s="278"/>
      <c r="R17" s="12"/>
      <c r="S17" s="44"/>
      <c r="T17" s="44"/>
      <c r="U17" s="44"/>
      <c r="V17" s="44"/>
      <c r="W17" s="44"/>
      <c r="X17" s="44"/>
      <c r="Y17" s="44"/>
      <c r="Z17" s="44"/>
    </row>
    <row r="18" spans="1:26">
      <c r="A18" s="9"/>
      <c r="B18" s="9"/>
      <c r="C18" s="9"/>
      <c r="D18" s="9"/>
      <c r="E18" s="553" t="str">
        <f>Input!F18</f>
        <v>Asset Class 12</v>
      </c>
      <c r="F18" s="554"/>
      <c r="G18" s="551">
        <f>Asset12</f>
        <v>0</v>
      </c>
      <c r="H18" s="552"/>
      <c r="I18" s="552"/>
      <c r="J18" s="307">
        <f>HLOOKUP(IF(Input!$Y$7="",5,Input!$Y$7),'Total actual RAB roll forward'!$L$456:$Q$487,14,FALSE)</f>
        <v>0</v>
      </c>
      <c r="K18" s="287">
        <f>HLOOKUP(IF(Input!$Y$7="",5,Input!$Y$7),'Total actual RAB roll forward'!$L$815:$Q$846,14,FALSE)</f>
        <v>0</v>
      </c>
      <c r="L18" s="287" t="str">
        <f ca="1">IF('Asset lives roll forward'!F173=0,"n/a",'Asset lives roll forward'!F173)</f>
        <v>n/a</v>
      </c>
      <c r="M18" s="288"/>
      <c r="N18" s="315">
        <f>HLOOKUP(IF(Input!$Y$7="",5,Input!$Y$7),'Tax value roll forward'!$M$2:$R$37,18,FALSE)</f>
        <v>0</v>
      </c>
      <c r="O18" s="287" t="str">
        <f ca="1">IF('Asset lives roll forward'!K173=0,"n/a",'Asset lives roll forward'!K173)</f>
        <v>n/a</v>
      </c>
      <c r="P18" s="288"/>
      <c r="Q18" s="278"/>
      <c r="R18" s="12"/>
      <c r="S18" s="44"/>
      <c r="T18" s="44"/>
      <c r="U18" s="44"/>
      <c r="V18" s="44"/>
      <c r="W18" s="44"/>
      <c r="X18" s="44"/>
      <c r="Y18" s="44"/>
      <c r="Z18" s="44"/>
    </row>
    <row r="19" spans="1:26">
      <c r="A19" s="9"/>
      <c r="B19" s="9"/>
      <c r="C19" s="9"/>
      <c r="D19" s="9"/>
      <c r="E19" s="553" t="str">
        <f>Input!F19</f>
        <v>Asset Class 13</v>
      </c>
      <c r="F19" s="554"/>
      <c r="G19" s="551">
        <f>Asset13</f>
        <v>0</v>
      </c>
      <c r="H19" s="552"/>
      <c r="I19" s="552"/>
      <c r="J19" s="307">
        <f>HLOOKUP(IF(Input!$Y$7="",5,Input!$Y$7),'Total actual RAB roll forward'!$L$456:$Q$487,15,FALSE)</f>
        <v>0</v>
      </c>
      <c r="K19" s="287">
        <f>HLOOKUP(IF(Input!$Y$7="",5,Input!$Y$7),'Total actual RAB roll forward'!$L$815:$Q$846,15,FALSE)</f>
        <v>0</v>
      </c>
      <c r="L19" s="287" t="str">
        <f ca="1">IF('Asset lives roll forward'!F187=0,"n/a",'Asset lives roll forward'!F187)</f>
        <v>n/a</v>
      </c>
      <c r="M19" s="288"/>
      <c r="N19" s="315">
        <f>HLOOKUP(IF(Input!$Y$7="",5,Input!$Y$7),'Tax value roll forward'!$M$2:$R$37,19,FALSE)</f>
        <v>0</v>
      </c>
      <c r="O19" s="287" t="str">
        <f ca="1">IF('Asset lives roll forward'!K187=0,"n/a",'Asset lives roll forward'!K187)</f>
        <v>n/a</v>
      </c>
      <c r="P19" s="288"/>
      <c r="Q19" s="278"/>
      <c r="R19" s="12"/>
      <c r="S19" s="44"/>
      <c r="T19" s="44"/>
      <c r="U19" s="44"/>
      <c r="V19" s="44"/>
      <c r="W19" s="44"/>
      <c r="X19" s="44"/>
      <c r="Y19" s="44"/>
      <c r="Z19" s="44"/>
    </row>
    <row r="20" spans="1:26">
      <c r="A20" s="9"/>
      <c r="B20" s="9"/>
      <c r="C20" s="9"/>
      <c r="D20" s="9"/>
      <c r="E20" s="553" t="str">
        <f>Input!F20</f>
        <v>Asset Class 14</v>
      </c>
      <c r="F20" s="554"/>
      <c r="G20" s="551">
        <f>Asset14</f>
        <v>0</v>
      </c>
      <c r="H20" s="552"/>
      <c r="I20" s="552"/>
      <c r="J20" s="307">
        <f>HLOOKUP(IF(Input!$Y$7="",5,Input!$Y$7),'Total actual RAB roll forward'!$L$456:$Q$487,16,FALSE)</f>
        <v>0</v>
      </c>
      <c r="K20" s="287">
        <f>HLOOKUP(IF(Input!$Y$7="",5,Input!$Y$7),'Total actual RAB roll forward'!$L$815:$Q$846,16,FALSE)</f>
        <v>0</v>
      </c>
      <c r="L20" s="287" t="str">
        <f ca="1">IF('Asset lives roll forward'!F201=0,"n/a",'Asset lives roll forward'!F201)</f>
        <v>n/a</v>
      </c>
      <c r="M20" s="288"/>
      <c r="N20" s="315">
        <f>HLOOKUP(IF(Input!$Y$7="",5,Input!$Y$7),'Tax value roll forward'!$M$2:$R$37,20,FALSE)</f>
        <v>0</v>
      </c>
      <c r="O20" s="287" t="str">
        <f ca="1">IF('Asset lives roll forward'!K201=0,"n/a",'Asset lives roll forward'!K201)</f>
        <v>n/a</v>
      </c>
      <c r="P20" s="288"/>
      <c r="Q20" s="278"/>
      <c r="R20" s="12"/>
      <c r="S20" s="44"/>
      <c r="T20" s="44"/>
      <c r="U20" s="44"/>
      <c r="V20" s="44"/>
      <c r="W20" s="44"/>
      <c r="X20" s="44"/>
      <c r="Y20" s="44"/>
      <c r="Z20" s="44"/>
    </row>
    <row r="21" spans="1:26">
      <c r="A21" s="9"/>
      <c r="B21" s="9"/>
      <c r="C21" s="9"/>
      <c r="D21" s="9"/>
      <c r="E21" s="553" t="str">
        <f>Input!F21</f>
        <v>Asset Class 15</v>
      </c>
      <c r="F21" s="554"/>
      <c r="G21" s="551">
        <f>Asset15</f>
        <v>0</v>
      </c>
      <c r="H21" s="552"/>
      <c r="I21" s="552"/>
      <c r="J21" s="307">
        <f>HLOOKUP(IF(Input!$Y$7="",5,Input!$Y$7),'Total actual RAB roll forward'!$L$456:$Q$487,17,FALSE)</f>
        <v>0</v>
      </c>
      <c r="K21" s="287">
        <f>HLOOKUP(IF(Input!$Y$7="",5,Input!$Y$7),'Total actual RAB roll forward'!$L$815:$Q$846,17,FALSE)</f>
        <v>0</v>
      </c>
      <c r="L21" s="287" t="str">
        <f ca="1">IF('Asset lives roll forward'!F215=0,"n/a",'Asset lives roll forward'!F215)</f>
        <v>n/a</v>
      </c>
      <c r="M21" s="288"/>
      <c r="N21" s="315">
        <f>HLOOKUP(IF(Input!$Y$7="",5,Input!$Y$7),'Tax value roll forward'!$M$2:$R$37,21,FALSE)</f>
        <v>0</v>
      </c>
      <c r="O21" s="287" t="str">
        <f ca="1">IF('Asset lives roll forward'!K215=0,"n/a",'Asset lives roll forward'!K215)</f>
        <v>n/a</v>
      </c>
      <c r="P21" s="288"/>
      <c r="Q21" s="278"/>
      <c r="R21" s="12"/>
      <c r="S21" s="44"/>
      <c r="T21" s="44"/>
      <c r="U21" s="44"/>
      <c r="V21" s="44"/>
      <c r="W21" s="44"/>
      <c r="X21" s="44"/>
      <c r="Y21" s="44"/>
      <c r="Z21" s="44"/>
    </row>
    <row r="22" spans="1:26">
      <c r="A22" s="9"/>
      <c r="B22" s="9"/>
      <c r="C22" s="9"/>
      <c r="D22" s="9"/>
      <c r="E22" s="553" t="str">
        <f>Input!F22</f>
        <v>Asset Class 16</v>
      </c>
      <c r="F22" s="554"/>
      <c r="G22" s="551">
        <f>Asset16</f>
        <v>0</v>
      </c>
      <c r="H22" s="552"/>
      <c r="I22" s="552"/>
      <c r="J22" s="307">
        <f>HLOOKUP(IF(Input!$Y$7="",5,Input!$Y$7),'Total actual RAB roll forward'!$L$456:$Q$487,18,FALSE)</f>
        <v>0</v>
      </c>
      <c r="K22" s="287">
        <f>HLOOKUP(IF(Input!$Y$7="",5,Input!$Y$7),'Total actual RAB roll forward'!$L$815:$Q$846,17,FALSE)</f>
        <v>0</v>
      </c>
      <c r="L22" s="287" t="str">
        <f ca="1">IF('Asset lives roll forward'!F229=0,"n/a",'Asset lives roll forward'!F229)</f>
        <v>n/a</v>
      </c>
      <c r="M22" s="288"/>
      <c r="N22" s="315">
        <f>HLOOKUP(IF(Input!$Y$7="",5,Input!$Y$7),'Tax value roll forward'!$M$2:$R$37,22,FALSE)</f>
        <v>0</v>
      </c>
      <c r="O22" s="287" t="str">
        <f ca="1">IF('Asset lives roll forward'!K229=0,"n/a",'Asset lives roll forward'!K229)</f>
        <v>n/a</v>
      </c>
      <c r="P22" s="288"/>
      <c r="Q22" s="278"/>
      <c r="R22" s="12"/>
      <c r="S22" s="44"/>
      <c r="T22" s="44"/>
      <c r="U22" s="44"/>
      <c r="V22" s="44"/>
      <c r="W22" s="44"/>
      <c r="X22" s="44"/>
      <c r="Y22" s="44"/>
      <c r="Z22" s="44"/>
    </row>
    <row r="23" spans="1:26">
      <c r="A23" s="9"/>
      <c r="B23" s="9"/>
      <c r="C23" s="9"/>
      <c r="D23" s="9"/>
      <c r="E23" s="553" t="str">
        <f>Input!F23</f>
        <v>Asset Class 17</v>
      </c>
      <c r="F23" s="554"/>
      <c r="G23" s="551">
        <f>Asset17</f>
        <v>0</v>
      </c>
      <c r="H23" s="552"/>
      <c r="I23" s="552"/>
      <c r="J23" s="307">
        <f>HLOOKUP(IF(Input!$Y$7="",5,Input!$Y$7),'Total actual RAB roll forward'!$L$456:$Q$487,19,FALSE)</f>
        <v>0</v>
      </c>
      <c r="K23" s="287">
        <f>HLOOKUP(IF(Input!$Y$7="",5,Input!$Y$7),'Total actual RAB roll forward'!$L$815:$Q$846,17,FALSE)</f>
        <v>0</v>
      </c>
      <c r="L23" s="287" t="str">
        <f ca="1">IF('Asset lives roll forward'!F243=0,"n/a",'Asset lives roll forward'!F243)</f>
        <v>n/a</v>
      </c>
      <c r="M23" s="288"/>
      <c r="N23" s="315">
        <f>HLOOKUP(IF(Input!$Y$7="",5,Input!$Y$7),'Tax value roll forward'!$M$2:$R$37,23,FALSE)</f>
        <v>0</v>
      </c>
      <c r="O23" s="287" t="str">
        <f ca="1">IF('Asset lives roll forward'!K243=0,"n/a",'Asset lives roll forward'!K243)</f>
        <v>n/a</v>
      </c>
      <c r="P23" s="288"/>
      <c r="Q23" s="278"/>
      <c r="R23" s="12"/>
      <c r="S23" s="44"/>
      <c r="T23" s="44"/>
      <c r="U23" s="44"/>
      <c r="V23" s="44"/>
      <c r="W23" s="44"/>
      <c r="X23" s="44"/>
      <c r="Y23" s="44"/>
      <c r="Z23" s="44"/>
    </row>
    <row r="24" spans="1:26">
      <c r="A24" s="9"/>
      <c r="B24" s="9"/>
      <c r="C24" s="9"/>
      <c r="D24" s="9"/>
      <c r="E24" s="553" t="str">
        <f>Input!F24</f>
        <v>Asset Class 18</v>
      </c>
      <c r="F24" s="554"/>
      <c r="G24" s="551">
        <f>Asset18</f>
        <v>0</v>
      </c>
      <c r="H24" s="552"/>
      <c r="I24" s="552"/>
      <c r="J24" s="307">
        <f>HLOOKUP(IF(Input!$Y$7="",5,Input!$Y$7),'Total actual RAB roll forward'!$L$456:$Q$487,20,FALSE)</f>
        <v>0</v>
      </c>
      <c r="K24" s="287">
        <f>HLOOKUP(IF(Input!$Y$7="",5,Input!$Y$7),'Total actual RAB roll forward'!$L$815:$Q$846,17,FALSE)</f>
        <v>0</v>
      </c>
      <c r="L24" s="287" t="str">
        <f ca="1">IF('Asset lives roll forward'!F257=0,"n/a",'Asset lives roll forward'!F257)</f>
        <v>n/a</v>
      </c>
      <c r="M24" s="288"/>
      <c r="N24" s="315">
        <f>HLOOKUP(IF(Input!$Y$7="",5,Input!$Y$7),'Tax value roll forward'!$M$2:$R$37,24,FALSE)</f>
        <v>0</v>
      </c>
      <c r="O24" s="287" t="str">
        <f ca="1">IF('Asset lives roll forward'!K257=0,"n/a",'Asset lives roll forward'!K257)</f>
        <v>n/a</v>
      </c>
      <c r="P24" s="288"/>
      <c r="Q24" s="278"/>
      <c r="R24" s="12"/>
      <c r="S24" s="44"/>
      <c r="T24" s="44"/>
      <c r="U24" s="44"/>
      <c r="V24" s="44"/>
      <c r="W24" s="44"/>
      <c r="X24" s="44"/>
      <c r="Y24" s="44"/>
      <c r="Z24" s="44"/>
    </row>
    <row r="25" spans="1:26">
      <c r="A25" s="9"/>
      <c r="B25" s="9"/>
      <c r="C25" s="9"/>
      <c r="D25" s="9"/>
      <c r="E25" s="553" t="str">
        <f>Input!F25</f>
        <v>Asset Class 19</v>
      </c>
      <c r="F25" s="554"/>
      <c r="G25" s="551">
        <f>Asset19</f>
        <v>0</v>
      </c>
      <c r="H25" s="552"/>
      <c r="I25" s="552"/>
      <c r="J25" s="307">
        <f>HLOOKUP(IF(Input!$Y$7="",5,Input!$Y$7),'Total actual RAB roll forward'!$L$456:$Q$487,21,FALSE)</f>
        <v>0</v>
      </c>
      <c r="K25" s="287">
        <f>HLOOKUP(IF(Input!$Y$7="",5,Input!$Y$7),'Total actual RAB roll forward'!$L$815:$Q$846,17,FALSE)</f>
        <v>0</v>
      </c>
      <c r="L25" s="287" t="str">
        <f ca="1">IF('Asset lives roll forward'!F271=0,"n/a",'Asset lives roll forward'!F271)</f>
        <v>n/a</v>
      </c>
      <c r="M25" s="288"/>
      <c r="N25" s="315">
        <f>HLOOKUP(IF(Input!$Y$7="",5,Input!$Y$7),'Tax value roll forward'!$M$2:$R$37,25,FALSE)</f>
        <v>0</v>
      </c>
      <c r="O25" s="287" t="str">
        <f ca="1">IF('Asset lives roll forward'!K271=0,"n/a",'Asset lives roll forward'!K271)</f>
        <v>n/a</v>
      </c>
      <c r="P25" s="288"/>
      <c r="Q25" s="278"/>
      <c r="R25" s="12"/>
      <c r="S25" s="44"/>
      <c r="T25" s="44"/>
      <c r="U25" s="44"/>
      <c r="V25" s="44"/>
      <c r="W25" s="44"/>
      <c r="X25" s="44"/>
      <c r="Y25" s="44"/>
      <c r="Z25" s="44"/>
    </row>
    <row r="26" spans="1:26">
      <c r="A26" s="9"/>
      <c r="B26" s="9"/>
      <c r="C26" s="9"/>
      <c r="D26" s="9"/>
      <c r="E26" s="553" t="str">
        <f>Input!F26</f>
        <v>Asset Class 20</v>
      </c>
      <c r="F26" s="554"/>
      <c r="G26" s="551">
        <f>Asset20</f>
        <v>0</v>
      </c>
      <c r="H26" s="552"/>
      <c r="I26" s="552"/>
      <c r="J26" s="307">
        <f>HLOOKUP(IF(Input!$Y$7="",5,Input!$Y$7),'Total actual RAB roll forward'!$L$456:$Q$487,22,FALSE)</f>
        <v>0</v>
      </c>
      <c r="K26" s="287">
        <f>HLOOKUP(IF(Input!$Y$7="",5,Input!$Y$7),'Total actual RAB roll forward'!$L$815:$Q$846,17,FALSE)</f>
        <v>0</v>
      </c>
      <c r="L26" s="287" t="str">
        <f ca="1">IF('Asset lives roll forward'!F285=0,"n/a",'Asset lives roll forward'!F285)</f>
        <v>n/a</v>
      </c>
      <c r="M26" s="288"/>
      <c r="N26" s="315">
        <f>HLOOKUP(IF(Input!$Y$7="",5,Input!$Y$7),'Tax value roll forward'!$M$2:$R$37,26,FALSE)</f>
        <v>0</v>
      </c>
      <c r="O26" s="287" t="str">
        <f ca="1">IF('Asset lives roll forward'!K285=0,"n/a",'Asset lives roll forward'!K285)</f>
        <v>n/a</v>
      </c>
      <c r="P26" s="288"/>
      <c r="Q26" s="278"/>
      <c r="R26" s="12"/>
      <c r="S26" s="44"/>
      <c r="T26" s="44"/>
      <c r="U26" s="44"/>
      <c r="V26" s="44"/>
      <c r="W26" s="44"/>
      <c r="X26" s="44"/>
      <c r="Y26" s="44"/>
      <c r="Z26" s="44"/>
    </row>
    <row r="27" spans="1:26">
      <c r="A27" s="9"/>
      <c r="B27" s="9"/>
      <c r="C27" s="9"/>
      <c r="D27" s="9"/>
      <c r="E27" s="553" t="str">
        <f>Input!F27</f>
        <v>Asset Class 21</v>
      </c>
      <c r="F27" s="554"/>
      <c r="G27" s="551">
        <f>Asset21</f>
        <v>0</v>
      </c>
      <c r="H27" s="552"/>
      <c r="I27" s="552"/>
      <c r="J27" s="307">
        <f>HLOOKUP(IF(Input!$Y$7="",5,Input!$Y$7),'Total actual RAB roll forward'!$L$456:$Q$487,23,FALSE)</f>
        <v>0</v>
      </c>
      <c r="K27" s="287">
        <f>HLOOKUP(IF(Input!$Y$7="",5,Input!$Y$7),'Total actual RAB roll forward'!$L$815:$Q$846,17,FALSE)</f>
        <v>0</v>
      </c>
      <c r="L27" s="287" t="str">
        <f ca="1">IF('Asset lives roll forward'!F299=0,"n/a",'Asset lives roll forward'!F299)</f>
        <v>n/a</v>
      </c>
      <c r="M27" s="288"/>
      <c r="N27" s="315">
        <f>HLOOKUP(IF(Input!$Y$7="",5,Input!$Y$7),'Tax value roll forward'!$M$2:$R$37,27,FALSE)</f>
        <v>0</v>
      </c>
      <c r="O27" s="287" t="str">
        <f ca="1">IF('Asset lives roll forward'!K299=0,"n/a",'Asset lives roll forward'!K299)</f>
        <v>n/a</v>
      </c>
      <c r="P27" s="288"/>
      <c r="Q27" s="278"/>
      <c r="R27" s="12"/>
      <c r="S27" s="44"/>
      <c r="T27" s="44"/>
      <c r="U27" s="44"/>
      <c r="V27" s="44"/>
      <c r="W27" s="44"/>
      <c r="X27" s="44"/>
      <c r="Y27" s="44"/>
      <c r="Z27" s="44"/>
    </row>
    <row r="28" spans="1:26">
      <c r="A28" s="9"/>
      <c r="B28" s="9"/>
      <c r="C28" s="9"/>
      <c r="D28" s="9"/>
      <c r="E28" s="553" t="str">
        <f>Input!F28</f>
        <v>Asset Class 22</v>
      </c>
      <c r="F28" s="554"/>
      <c r="G28" s="551">
        <f>Asset22</f>
        <v>0</v>
      </c>
      <c r="H28" s="552"/>
      <c r="I28" s="552"/>
      <c r="J28" s="307">
        <f>HLOOKUP(IF(Input!$Y$7="",5,Input!$Y$7),'Total actual RAB roll forward'!$L$456:$Q$487,24,FALSE)</f>
        <v>0</v>
      </c>
      <c r="K28" s="287">
        <f>HLOOKUP(IF(Input!$Y$7="",5,Input!$Y$7),'Total actual RAB roll forward'!$L$815:$Q$846,17,FALSE)</f>
        <v>0</v>
      </c>
      <c r="L28" s="287" t="str">
        <f ca="1">IF('Asset lives roll forward'!F313=0,"n/a",'Asset lives roll forward'!F313)</f>
        <v>n/a</v>
      </c>
      <c r="M28" s="288"/>
      <c r="N28" s="315">
        <f>HLOOKUP(IF(Input!$Y$7="",5,Input!$Y$7),'Tax value roll forward'!$M$2:$R$37,28,FALSE)</f>
        <v>0</v>
      </c>
      <c r="O28" s="287" t="str">
        <f ca="1">IF('Asset lives roll forward'!K313=0,"n/a",'Asset lives roll forward'!K313)</f>
        <v>n/a</v>
      </c>
      <c r="P28" s="288"/>
      <c r="Q28" s="278"/>
      <c r="R28" s="12"/>
      <c r="S28" s="44"/>
      <c r="T28" s="44"/>
      <c r="U28" s="44"/>
      <c r="V28" s="44"/>
      <c r="W28" s="44"/>
      <c r="X28" s="44"/>
      <c r="Y28" s="44"/>
      <c r="Z28" s="44"/>
    </row>
    <row r="29" spans="1:26">
      <c r="A29" s="9"/>
      <c r="B29" s="9"/>
      <c r="C29" s="9"/>
      <c r="D29" s="9"/>
      <c r="E29" s="553" t="str">
        <f>Input!F29</f>
        <v>Asset Class 23</v>
      </c>
      <c r="F29" s="554"/>
      <c r="G29" s="551">
        <f>Asset23</f>
        <v>0</v>
      </c>
      <c r="H29" s="552"/>
      <c r="I29" s="552"/>
      <c r="J29" s="307">
        <f>HLOOKUP(IF(Input!$Y$7="",5,Input!$Y$7),'Total actual RAB roll forward'!$L$456:$Q$487,25,FALSE)</f>
        <v>0</v>
      </c>
      <c r="K29" s="287">
        <f>HLOOKUP(IF(Input!$Y$7="",5,Input!$Y$7),'Total actual RAB roll forward'!$L$815:$Q$846,17,FALSE)</f>
        <v>0</v>
      </c>
      <c r="L29" s="287" t="str">
        <f ca="1">IF('Asset lives roll forward'!F327=0,"n/a",'Asset lives roll forward'!F327)</f>
        <v>n/a</v>
      </c>
      <c r="M29" s="288"/>
      <c r="N29" s="315">
        <f>HLOOKUP(IF(Input!$Y$7="",5,Input!$Y$7),'Tax value roll forward'!$M$2:$R$37,29,FALSE)</f>
        <v>0</v>
      </c>
      <c r="O29" s="287" t="str">
        <f ca="1">IF('Asset lives roll forward'!K327=0,"n/a",'Asset lives roll forward'!K327)</f>
        <v>n/a</v>
      </c>
      <c r="P29" s="288"/>
      <c r="Q29" s="278"/>
      <c r="R29" s="12"/>
      <c r="S29" s="44"/>
      <c r="T29" s="44"/>
      <c r="U29" s="44"/>
      <c r="V29" s="44"/>
      <c r="W29" s="44"/>
      <c r="X29" s="44"/>
      <c r="Y29" s="44"/>
      <c r="Z29" s="44"/>
    </row>
    <row r="30" spans="1:26">
      <c r="A30" s="9"/>
      <c r="B30" s="9"/>
      <c r="C30" s="9"/>
      <c r="D30" s="9"/>
      <c r="E30" s="553" t="str">
        <f>Input!F30</f>
        <v>Asset Class 24</v>
      </c>
      <c r="F30" s="554"/>
      <c r="G30" s="551">
        <f>Asset24</f>
        <v>0</v>
      </c>
      <c r="H30" s="552"/>
      <c r="I30" s="552"/>
      <c r="J30" s="307">
        <f>HLOOKUP(IF(Input!$Y$7="",5,Input!$Y$7),'Total actual RAB roll forward'!$L$456:$Q$487,26,FALSE)</f>
        <v>0</v>
      </c>
      <c r="K30" s="287">
        <f>HLOOKUP(IF(Input!$Y$7="",5,Input!$Y$7),'Total actual RAB roll forward'!$L$815:$Q$846,17,FALSE)</f>
        <v>0</v>
      </c>
      <c r="L30" s="287" t="str">
        <f ca="1">IF('Asset lives roll forward'!F341=0,"n/a",'Asset lives roll forward'!F341)</f>
        <v>n/a</v>
      </c>
      <c r="M30" s="288"/>
      <c r="N30" s="315">
        <f>HLOOKUP(IF(Input!$Y$7="",5,Input!$Y$7),'Tax value roll forward'!$M$2:$R$37,30,FALSE)</f>
        <v>0</v>
      </c>
      <c r="O30" s="287" t="str">
        <f ca="1">IF('Asset lives roll forward'!K341=0,"n/a",'Asset lives roll forward'!K341)</f>
        <v>n/a</v>
      </c>
      <c r="P30" s="288"/>
      <c r="Q30" s="278"/>
      <c r="R30" s="12"/>
      <c r="S30" s="44"/>
      <c r="T30" s="44"/>
      <c r="U30" s="44"/>
      <c r="V30" s="44"/>
      <c r="W30" s="44"/>
      <c r="X30" s="44"/>
      <c r="Y30" s="44"/>
      <c r="Z30" s="44"/>
    </row>
    <row r="31" spans="1:26">
      <c r="A31" s="9"/>
      <c r="B31" s="9"/>
      <c r="C31" s="9"/>
      <c r="D31" s="9"/>
      <c r="E31" s="553" t="str">
        <f>Input!F31</f>
        <v>Asset Class 25</v>
      </c>
      <c r="F31" s="554"/>
      <c r="G31" s="551">
        <f>Asset25</f>
        <v>0</v>
      </c>
      <c r="H31" s="552"/>
      <c r="I31" s="552"/>
      <c r="J31" s="307">
        <f>HLOOKUP(IF(Input!$Y$7="",5,Input!$Y$7),'Total actual RAB roll forward'!$L$456:$Q$487,27,FALSE)</f>
        <v>0</v>
      </c>
      <c r="K31" s="287">
        <f>HLOOKUP(IF(Input!$Y$7="",5,Input!$Y$7),'Total actual RAB roll forward'!$L$815:$Q$846,17,FALSE)</f>
        <v>0</v>
      </c>
      <c r="L31" s="287" t="str">
        <f ca="1">IF('Asset lives roll forward'!F355=0,"n/a",'Asset lives roll forward'!F355)</f>
        <v>n/a</v>
      </c>
      <c r="M31" s="288"/>
      <c r="N31" s="315">
        <f>HLOOKUP(IF(Input!$Y$7="",5,Input!$Y$7),'Tax value roll forward'!$M$2:$R$37,31,FALSE)</f>
        <v>0</v>
      </c>
      <c r="O31" s="287" t="str">
        <f ca="1">IF('Asset lives roll forward'!K355=0,"n/a",'Asset lives roll forward'!K355)</f>
        <v>n/a</v>
      </c>
      <c r="P31" s="288"/>
      <c r="Q31" s="278"/>
      <c r="R31" s="12"/>
      <c r="S31" s="44"/>
      <c r="T31" s="44"/>
      <c r="U31" s="44"/>
      <c r="V31" s="44"/>
      <c r="W31" s="44"/>
      <c r="X31" s="44"/>
      <c r="Y31" s="44"/>
      <c r="Z31" s="44"/>
    </row>
    <row r="32" spans="1:26">
      <c r="A32" s="9"/>
      <c r="B32" s="9"/>
      <c r="C32" s="9"/>
      <c r="D32" s="9"/>
      <c r="E32" s="553" t="str">
        <f>Input!F32</f>
        <v>Asset Class 26</v>
      </c>
      <c r="F32" s="554"/>
      <c r="G32" s="551">
        <f>Asset26</f>
        <v>0</v>
      </c>
      <c r="H32" s="552"/>
      <c r="I32" s="552"/>
      <c r="J32" s="307">
        <f>HLOOKUP(IF(Input!$Y$7="",5,Input!$Y$7),'Total actual RAB roll forward'!$L$456:$Q$487,28,FALSE)</f>
        <v>0</v>
      </c>
      <c r="K32" s="287">
        <f>HLOOKUP(IF(Input!$Y$7="",5,Input!$Y$7),'Total actual RAB roll forward'!$L$815:$Q$846,17,FALSE)</f>
        <v>0</v>
      </c>
      <c r="L32" s="287" t="str">
        <f ca="1">IF('Asset lives roll forward'!F369=0,"n/a",'Asset lives roll forward'!F369)</f>
        <v>n/a</v>
      </c>
      <c r="M32" s="288"/>
      <c r="N32" s="315">
        <f>HLOOKUP(IF(Input!$Y$7="",5,Input!$Y$7),'Tax value roll forward'!$M$2:$R$37,32,FALSE)</f>
        <v>0</v>
      </c>
      <c r="O32" s="287" t="str">
        <f ca="1">IF('Asset lives roll forward'!K369=0,"n/a",'Asset lives roll forward'!K369)</f>
        <v>n/a</v>
      </c>
      <c r="P32" s="288"/>
      <c r="Q32" s="278"/>
      <c r="R32" s="12"/>
      <c r="S32" s="44"/>
      <c r="T32" s="44"/>
      <c r="U32" s="44"/>
      <c r="V32" s="44"/>
      <c r="W32" s="44"/>
      <c r="X32" s="44"/>
      <c r="Y32" s="44"/>
      <c r="Z32" s="44"/>
    </row>
    <row r="33" spans="1:26">
      <c r="A33" s="9"/>
      <c r="B33" s="9"/>
      <c r="C33" s="9"/>
      <c r="D33" s="9"/>
      <c r="E33" s="553" t="str">
        <f>Input!F33</f>
        <v>Asset Class 27</v>
      </c>
      <c r="F33" s="554"/>
      <c r="G33" s="551">
        <f>Asset27</f>
        <v>0</v>
      </c>
      <c r="H33" s="552"/>
      <c r="I33" s="552"/>
      <c r="J33" s="307">
        <f>HLOOKUP(IF(Input!$Y$7="",5,Input!$Y$7),'Total actual RAB roll forward'!$L$456:$Q$487,29,FALSE)</f>
        <v>0</v>
      </c>
      <c r="K33" s="287">
        <f>HLOOKUP(IF(Input!$Y$7="",5,Input!$Y$7),'Total actual RAB roll forward'!$L$815:$Q$846,17,FALSE)</f>
        <v>0</v>
      </c>
      <c r="L33" s="287" t="str">
        <f ca="1">IF('Asset lives roll forward'!F383=0,"n/a",'Asset lives roll forward'!F383)</f>
        <v>n/a</v>
      </c>
      <c r="M33" s="288"/>
      <c r="N33" s="315">
        <f>HLOOKUP(IF(Input!$Y$7="",5,Input!$Y$7),'Tax value roll forward'!$M$2:$R$37,33,FALSE)</f>
        <v>0</v>
      </c>
      <c r="O33" s="287" t="str">
        <f ca="1">IF('Asset lives roll forward'!K383=0,"n/a",'Asset lives roll forward'!K383)</f>
        <v>n/a</v>
      </c>
      <c r="P33" s="288"/>
      <c r="Q33" s="278"/>
      <c r="R33" s="12"/>
      <c r="S33" s="44"/>
      <c r="T33" s="44"/>
      <c r="U33" s="44"/>
      <c r="V33" s="44"/>
      <c r="W33" s="44"/>
      <c r="X33" s="44"/>
      <c r="Y33" s="44"/>
      <c r="Z33" s="44"/>
    </row>
    <row r="34" spans="1:26">
      <c r="A34" s="9"/>
      <c r="B34" s="9"/>
      <c r="C34" s="9"/>
      <c r="D34" s="9"/>
      <c r="E34" s="553" t="str">
        <f>Input!F34</f>
        <v>Asset Class 28</v>
      </c>
      <c r="F34" s="554"/>
      <c r="G34" s="551">
        <f>Asset28</f>
        <v>0</v>
      </c>
      <c r="H34" s="552"/>
      <c r="I34" s="552"/>
      <c r="J34" s="307">
        <f>HLOOKUP(IF(Input!$Y$7="",5,Input!$Y$7),'Total actual RAB roll forward'!$L$456:$Q$487,30,FALSE)</f>
        <v>0</v>
      </c>
      <c r="K34" s="287">
        <f>HLOOKUP(IF(Input!$Y$7="",5,Input!$Y$7),'Total actual RAB roll forward'!$L$815:$Q$846,17,FALSE)</f>
        <v>0</v>
      </c>
      <c r="L34" s="287" t="str">
        <f ca="1">IF('Asset lives roll forward'!F397=0,"n/a",'Asset lives roll forward'!F397)</f>
        <v>n/a</v>
      </c>
      <c r="M34" s="288"/>
      <c r="N34" s="315">
        <f>HLOOKUP(IF(Input!$Y$7="",5,Input!$Y$7),'Tax value roll forward'!$M$2:$R$37,34,FALSE)</f>
        <v>0</v>
      </c>
      <c r="O34" s="287" t="str">
        <f ca="1">IF('Asset lives roll forward'!K397=0,"n/a",'Asset lives roll forward'!K397)</f>
        <v>n/a</v>
      </c>
      <c r="P34" s="288"/>
      <c r="Q34" s="278"/>
      <c r="R34" s="12"/>
      <c r="S34" s="44"/>
      <c r="T34" s="44"/>
      <c r="U34" s="44"/>
      <c r="V34" s="44"/>
      <c r="W34" s="44"/>
      <c r="X34" s="44"/>
      <c r="Y34" s="44"/>
      <c r="Z34" s="44"/>
    </row>
    <row r="35" spans="1:26">
      <c r="A35" s="9"/>
      <c r="B35" s="9"/>
      <c r="C35" s="9"/>
      <c r="D35" s="9"/>
      <c r="E35" s="553" t="str">
        <f>Input!F35</f>
        <v>Asset Class 29</v>
      </c>
      <c r="F35" s="554"/>
      <c r="G35" s="551">
        <f>Asset29</f>
        <v>0</v>
      </c>
      <c r="H35" s="552"/>
      <c r="I35" s="552"/>
      <c r="J35" s="307">
        <f>HLOOKUP(IF(Input!$Y$7="",5,Input!$Y$7),'Total actual RAB roll forward'!$L$456:$Q$487,31,FALSE)</f>
        <v>0</v>
      </c>
      <c r="K35" s="287">
        <f>HLOOKUP(IF(Input!$Y$7="",5,Input!$Y$7),'Total actual RAB roll forward'!$L$815:$Q$846,17,FALSE)</f>
        <v>0</v>
      </c>
      <c r="L35" s="287" t="str">
        <f ca="1">IF('Asset lives roll forward'!F411=0,"n/a",'Asset lives roll forward'!F411)</f>
        <v>n/a</v>
      </c>
      <c r="M35" s="288"/>
      <c r="N35" s="315">
        <f>HLOOKUP(IF(Input!$Y$7="",5,Input!$Y$7),'Tax value roll forward'!$M$2:$R$37,35,FALSE)</f>
        <v>0</v>
      </c>
      <c r="O35" s="287" t="str">
        <f ca="1">IF('Asset lives roll forward'!K411=0,"n/a",'Asset lives roll forward'!K411)</f>
        <v>n/a</v>
      </c>
      <c r="P35" s="288"/>
      <c r="Q35" s="278"/>
      <c r="R35" s="12"/>
      <c r="S35" s="44"/>
      <c r="T35" s="44"/>
      <c r="U35" s="44"/>
      <c r="V35" s="44"/>
      <c r="W35" s="44"/>
      <c r="X35" s="44"/>
      <c r="Y35" s="44"/>
      <c r="Z35" s="44"/>
    </row>
    <row r="36" spans="1:26">
      <c r="A36" s="9"/>
      <c r="B36" s="9"/>
      <c r="C36" s="9"/>
      <c r="D36" s="9"/>
      <c r="E36" s="553" t="str">
        <f>Input!F36</f>
        <v>Asset Class 30</v>
      </c>
      <c r="F36" s="554"/>
      <c r="G36" s="551">
        <f>Asset30</f>
        <v>0</v>
      </c>
      <c r="H36" s="552"/>
      <c r="I36" s="552"/>
      <c r="J36" s="307">
        <f>HLOOKUP(IF(Input!$Y$7="",5,Input!$Y$7),'Total actual RAB roll forward'!$L$456:$Q$487,32,FALSE)</f>
        <v>0</v>
      </c>
      <c r="K36" s="287">
        <f>HLOOKUP(IF(Input!$Y$7="",5,Input!$Y$7),'Total actual RAB roll forward'!$L$815:$Q$846,17,FALSE)</f>
        <v>0</v>
      </c>
      <c r="L36" s="287" t="str">
        <f ca="1">IF('Asset lives roll forward'!F425=0,"n/a",'Asset lives roll forward'!F425)</f>
        <v>n/a</v>
      </c>
      <c r="M36" s="288"/>
      <c r="N36" s="315">
        <f>HLOOKUP(IF(Input!$Y$7="",5,Input!$Y$7),'Tax value roll forward'!$M$2:$R$37,36,FALSE)</f>
        <v>0</v>
      </c>
      <c r="O36" s="287" t="str">
        <f ca="1">IF('Asset lives roll forward'!K425=0,"n/a",'Asset lives roll forward'!K425)</f>
        <v>n/a</v>
      </c>
      <c r="P36" s="288"/>
      <c r="Q36" s="278"/>
      <c r="R36" s="12"/>
      <c r="S36" s="44"/>
      <c r="T36" s="44"/>
      <c r="U36" s="44"/>
      <c r="V36" s="44"/>
      <c r="W36" s="44"/>
      <c r="X36" s="44"/>
      <c r="Y36" s="44"/>
      <c r="Z36" s="44"/>
    </row>
    <row r="37" spans="1:26">
      <c r="A37" s="9"/>
      <c r="B37" s="9"/>
      <c r="C37" s="9"/>
      <c r="D37" s="9"/>
      <c r="E37" s="119" t="s">
        <v>2</v>
      </c>
      <c r="F37" s="35"/>
      <c r="G37" s="258"/>
      <c r="H37" s="267"/>
      <c r="I37" s="262"/>
      <c r="J37" s="319">
        <f>SUM(J7:J36)</f>
        <v>3444.6179016981509</v>
      </c>
      <c r="K37" s="319">
        <f>SUM(K7:K36)</f>
        <v>3444.6179016981509</v>
      </c>
      <c r="L37" s="262"/>
      <c r="M37" s="115"/>
      <c r="N37" s="35">
        <f>SUM(N7:N36)</f>
        <v>400.74902944819928</v>
      </c>
      <c r="O37" s="9"/>
      <c r="P37" s="9"/>
      <c r="Q37" s="9"/>
      <c r="R37" s="9"/>
      <c r="S37" s="44"/>
      <c r="T37" s="44"/>
      <c r="U37" s="44"/>
      <c r="V37" s="44"/>
      <c r="W37" s="44"/>
      <c r="X37" s="44"/>
      <c r="Y37" s="44"/>
      <c r="Z37" s="44"/>
    </row>
    <row r="38" spans="1:26">
      <c r="A38" s="9"/>
      <c r="B38" s="9"/>
      <c r="C38" s="9"/>
      <c r="D38" s="9"/>
      <c r="E38" s="35"/>
      <c r="F38" s="35"/>
      <c r="G38" s="258"/>
      <c r="H38" s="267"/>
      <c r="I38" s="262"/>
      <c r="J38" s="262"/>
      <c r="K38" s="267"/>
      <c r="L38" s="262"/>
      <c r="M38" s="115"/>
      <c r="N38" s="9"/>
      <c r="O38" s="9"/>
      <c r="P38" s="9"/>
      <c r="Q38" s="9"/>
      <c r="R38" s="9"/>
      <c r="S38" s="44"/>
      <c r="T38" s="44"/>
      <c r="U38" s="44"/>
      <c r="V38" s="44"/>
      <c r="W38" s="44"/>
      <c r="X38" s="44"/>
      <c r="Y38" s="44"/>
      <c r="Z38" s="44"/>
    </row>
    <row r="39" spans="1:26">
      <c r="A39" s="9"/>
      <c r="B39" s="9"/>
      <c r="C39" s="9"/>
      <c r="D39" s="9"/>
      <c r="E39" s="35"/>
      <c r="F39" s="35"/>
      <c r="G39" s="258"/>
      <c r="H39" s="267"/>
      <c r="I39" s="262"/>
      <c r="J39" s="262"/>
      <c r="K39" s="267"/>
      <c r="L39" s="262"/>
      <c r="M39" s="115"/>
      <c r="N39" s="9"/>
      <c r="O39" s="9"/>
      <c r="P39" s="9"/>
      <c r="Q39" s="9"/>
      <c r="R39" s="9"/>
      <c r="S39" s="44"/>
      <c r="T39" s="44"/>
      <c r="U39" s="44"/>
      <c r="V39" s="44"/>
      <c r="W39" s="44"/>
      <c r="X39" s="44"/>
      <c r="Y39" s="44"/>
      <c r="Z39" s="44"/>
    </row>
    <row r="40" spans="1:26">
      <c r="A40" s="9"/>
      <c r="B40" s="9"/>
      <c r="C40" s="9"/>
      <c r="D40" s="9"/>
      <c r="E40" s="35"/>
      <c r="F40" s="35"/>
      <c r="G40" s="258"/>
      <c r="H40" s="267"/>
      <c r="I40" s="262"/>
      <c r="J40" s="262"/>
      <c r="K40" s="267"/>
      <c r="L40" s="262"/>
      <c r="M40" s="115"/>
      <c r="N40" s="9"/>
      <c r="O40" s="9"/>
      <c r="P40" s="9"/>
      <c r="Q40" s="9"/>
      <c r="R40" s="9"/>
      <c r="S40" s="44"/>
      <c r="T40" s="44"/>
      <c r="U40" s="44"/>
      <c r="V40" s="44"/>
      <c r="W40" s="44"/>
      <c r="X40" s="44"/>
      <c r="Y40" s="44"/>
      <c r="Z40" s="44"/>
    </row>
    <row r="41" spans="1:26">
      <c r="A41" s="9"/>
      <c r="B41" s="9"/>
      <c r="C41" s="9"/>
      <c r="D41" s="9"/>
      <c r="E41" s="35"/>
      <c r="F41" s="35"/>
      <c r="G41" s="258"/>
      <c r="H41" s="267"/>
      <c r="I41" s="262"/>
      <c r="J41" s="262"/>
      <c r="K41" s="267"/>
      <c r="L41" s="262"/>
      <c r="M41" s="115"/>
      <c r="N41" s="9"/>
      <c r="O41" s="9"/>
      <c r="P41" s="9"/>
      <c r="Q41" s="9"/>
      <c r="R41" s="9"/>
      <c r="S41" s="44"/>
      <c r="T41" s="44"/>
      <c r="U41" s="44"/>
      <c r="V41" s="44"/>
      <c r="W41" s="44"/>
      <c r="X41" s="44"/>
      <c r="Y41" s="44"/>
      <c r="Z41" s="44"/>
    </row>
    <row r="42" spans="1:26">
      <c r="A42" s="9"/>
      <c r="B42" s="9"/>
      <c r="C42" s="9"/>
      <c r="D42" s="9"/>
      <c r="E42" s="35"/>
      <c r="F42" s="35"/>
      <c r="G42" s="258"/>
      <c r="H42" s="267"/>
      <c r="I42" s="262"/>
      <c r="J42" s="262"/>
      <c r="K42" s="267"/>
      <c r="L42" s="262"/>
      <c r="M42" s="115"/>
      <c r="N42" s="9"/>
      <c r="O42" s="9"/>
      <c r="P42" s="9"/>
      <c r="Q42" s="9"/>
      <c r="R42" s="9"/>
      <c r="S42" s="44"/>
      <c r="T42" s="44"/>
      <c r="U42" s="44"/>
      <c r="V42" s="44"/>
      <c r="W42" s="44"/>
      <c r="X42" s="44"/>
      <c r="Y42" s="44"/>
      <c r="Z42" s="44"/>
    </row>
    <row r="43" spans="1:26">
      <c r="A43" s="9"/>
      <c r="B43" s="9"/>
      <c r="C43" s="9"/>
      <c r="D43" s="9"/>
      <c r="E43" s="35"/>
      <c r="F43" s="35"/>
      <c r="G43" s="258"/>
      <c r="H43" s="267"/>
      <c r="I43" s="262"/>
      <c r="J43" s="262"/>
      <c r="K43" s="267"/>
      <c r="L43" s="262"/>
      <c r="M43" s="115"/>
      <c r="N43" s="9"/>
      <c r="O43" s="9"/>
      <c r="P43" s="9"/>
      <c r="Q43" s="9"/>
      <c r="R43" s="9"/>
      <c r="S43" s="44"/>
      <c r="T43" s="44"/>
      <c r="U43" s="44"/>
      <c r="V43" s="44"/>
      <c r="W43" s="44"/>
      <c r="X43" s="44"/>
      <c r="Y43" s="44"/>
      <c r="Z43" s="44"/>
    </row>
    <row r="44" spans="1:26">
      <c r="A44" s="9"/>
      <c r="B44" s="9"/>
      <c r="C44" s="9"/>
      <c r="D44" s="9"/>
      <c r="E44" s="35"/>
      <c r="F44" s="35"/>
      <c r="G44" s="258"/>
      <c r="H44" s="267"/>
      <c r="I44" s="262"/>
      <c r="J44" s="262"/>
      <c r="K44" s="267"/>
      <c r="L44" s="262"/>
      <c r="M44" s="115"/>
      <c r="N44" s="9"/>
      <c r="O44" s="9"/>
      <c r="P44" s="9"/>
      <c r="Q44" s="9"/>
      <c r="R44" s="9"/>
      <c r="S44" s="44"/>
      <c r="T44" s="44"/>
      <c r="U44" s="44"/>
      <c r="V44" s="44"/>
      <c r="W44" s="44"/>
      <c r="X44" s="44"/>
      <c r="Y44" s="44"/>
      <c r="Z44" s="44"/>
    </row>
    <row r="45" spans="1:26">
      <c r="A45" s="9"/>
      <c r="B45" s="9"/>
      <c r="C45" s="9"/>
      <c r="D45" s="9"/>
      <c r="E45" s="35"/>
      <c r="F45" s="35"/>
      <c r="G45" s="258"/>
      <c r="H45" s="267"/>
      <c r="I45" s="262"/>
      <c r="J45" s="262"/>
      <c r="K45" s="267"/>
      <c r="L45" s="262"/>
      <c r="M45" s="115"/>
      <c r="N45" s="9"/>
      <c r="O45" s="9"/>
      <c r="P45" s="9"/>
      <c r="Q45" s="9"/>
      <c r="R45" s="9"/>
      <c r="S45" s="44"/>
      <c r="T45" s="44"/>
      <c r="U45" s="44"/>
      <c r="V45" s="44"/>
      <c r="W45" s="44"/>
      <c r="X45" s="44"/>
      <c r="Y45" s="44"/>
      <c r="Z45" s="44"/>
    </row>
    <row r="46" spans="1:26">
      <c r="A46" s="9"/>
      <c r="B46" s="9"/>
      <c r="C46" s="9"/>
      <c r="D46" s="9"/>
      <c r="E46" s="35"/>
      <c r="F46" s="35"/>
      <c r="G46" s="258"/>
      <c r="H46" s="267"/>
      <c r="I46" s="262"/>
      <c r="J46" s="262"/>
      <c r="K46" s="267"/>
      <c r="L46" s="262"/>
      <c r="M46" s="115"/>
      <c r="N46" s="9"/>
      <c r="O46" s="9"/>
      <c r="P46" s="9"/>
      <c r="Q46" s="9"/>
      <c r="R46" s="9"/>
      <c r="S46" s="44"/>
      <c r="T46" s="44"/>
      <c r="U46" s="44"/>
      <c r="V46" s="44"/>
      <c r="W46" s="44"/>
      <c r="X46" s="44"/>
      <c r="Y46" s="44"/>
      <c r="Z46" s="44"/>
    </row>
    <row r="47" spans="1:26">
      <c r="A47" s="9"/>
      <c r="B47" s="9"/>
      <c r="C47" s="9"/>
      <c r="D47" s="9"/>
      <c r="E47" s="35"/>
      <c r="F47" s="35"/>
      <c r="G47" s="258"/>
      <c r="H47" s="267"/>
      <c r="I47" s="262"/>
      <c r="J47" s="262"/>
      <c r="K47" s="267"/>
      <c r="L47" s="262"/>
      <c r="M47" s="115"/>
      <c r="N47" s="9"/>
      <c r="O47" s="9"/>
      <c r="P47" s="9"/>
      <c r="Q47" s="9"/>
      <c r="R47" s="9"/>
      <c r="S47" s="44"/>
      <c r="T47" s="44"/>
      <c r="U47" s="44"/>
      <c r="V47" s="44"/>
      <c r="W47" s="44"/>
      <c r="X47" s="44"/>
      <c r="Y47" s="44"/>
      <c r="Z47" s="44"/>
    </row>
    <row r="48" spans="1:26">
      <c r="A48" s="9"/>
      <c r="B48" s="9"/>
      <c r="C48" s="9"/>
      <c r="D48" s="9"/>
      <c r="E48" s="35"/>
      <c r="F48" s="35"/>
      <c r="G48" s="258"/>
      <c r="H48" s="267"/>
      <c r="I48" s="262"/>
      <c r="J48" s="262"/>
      <c r="K48" s="267"/>
      <c r="L48" s="262"/>
      <c r="M48" s="115"/>
      <c r="N48" s="9"/>
      <c r="O48" s="9"/>
      <c r="P48" s="9"/>
      <c r="Q48" s="9"/>
      <c r="R48" s="9"/>
      <c r="S48" s="44"/>
      <c r="T48" s="44"/>
      <c r="U48" s="44"/>
      <c r="V48" s="44"/>
      <c r="W48" s="44"/>
      <c r="X48" s="44"/>
      <c r="Y48" s="44"/>
      <c r="Z48" s="44"/>
    </row>
    <row r="49" spans="1:26">
      <c r="A49" s="9"/>
      <c r="B49" s="9"/>
      <c r="C49" s="9"/>
      <c r="D49" s="9"/>
      <c r="E49" s="35"/>
      <c r="F49" s="35"/>
      <c r="G49" s="258"/>
      <c r="H49" s="267"/>
      <c r="I49" s="262"/>
      <c r="J49" s="262"/>
      <c r="K49" s="267"/>
      <c r="L49" s="262"/>
      <c r="M49" s="115"/>
      <c r="N49" s="9"/>
      <c r="O49" s="9"/>
      <c r="P49" s="9"/>
      <c r="Q49" s="9"/>
      <c r="R49" s="9"/>
      <c r="S49" s="44"/>
      <c r="T49" s="44"/>
      <c r="U49" s="44"/>
      <c r="V49" s="44"/>
      <c r="W49" s="44"/>
      <c r="X49" s="44"/>
      <c r="Y49" s="44"/>
      <c r="Z49" s="44"/>
    </row>
    <row r="50" spans="1:26">
      <c r="A50" s="9"/>
      <c r="B50" s="9"/>
      <c r="C50" s="9"/>
      <c r="D50" s="9"/>
      <c r="E50" s="35"/>
      <c r="F50" s="35"/>
      <c r="G50" s="258"/>
      <c r="H50" s="267"/>
      <c r="I50" s="262"/>
      <c r="J50" s="262"/>
      <c r="K50" s="267"/>
      <c r="L50" s="262"/>
      <c r="M50" s="115"/>
      <c r="N50" s="9"/>
      <c r="O50" s="9"/>
      <c r="P50" s="9"/>
      <c r="Q50" s="9"/>
      <c r="R50" s="9"/>
      <c r="S50" s="44"/>
      <c r="T50" s="44"/>
      <c r="U50" s="44"/>
      <c r="V50" s="44"/>
      <c r="W50" s="44"/>
      <c r="X50" s="44"/>
      <c r="Y50" s="44"/>
      <c r="Z50" s="44"/>
    </row>
    <row r="51" spans="1:26">
      <c r="A51" s="9"/>
      <c r="B51" s="9"/>
      <c r="C51" s="9"/>
      <c r="D51" s="9"/>
      <c r="E51" s="35"/>
      <c r="F51" s="35"/>
      <c r="G51" s="258"/>
      <c r="H51" s="267"/>
      <c r="I51" s="262"/>
      <c r="J51" s="262"/>
      <c r="K51" s="267"/>
      <c r="L51" s="262"/>
      <c r="M51" s="115"/>
      <c r="N51" s="9"/>
      <c r="O51" s="9"/>
      <c r="P51" s="9"/>
      <c r="Q51" s="9"/>
      <c r="R51" s="9"/>
      <c r="S51" s="44"/>
      <c r="T51" s="44"/>
      <c r="U51" s="44"/>
      <c r="V51" s="44"/>
      <c r="W51" s="44"/>
      <c r="X51" s="44"/>
      <c r="Y51" s="44"/>
      <c r="Z51" s="44"/>
    </row>
    <row r="52" spans="1:26">
      <c r="A52" s="9"/>
      <c r="B52" s="9"/>
      <c r="C52" s="9"/>
      <c r="D52" s="9"/>
      <c r="E52" s="35"/>
      <c r="F52" s="35"/>
      <c r="G52" s="258"/>
      <c r="H52" s="267"/>
      <c r="I52" s="262"/>
      <c r="J52" s="262"/>
      <c r="K52" s="267"/>
      <c r="L52" s="262"/>
      <c r="M52" s="115"/>
      <c r="N52" s="9"/>
      <c r="O52" s="9"/>
      <c r="P52" s="9"/>
      <c r="Q52" s="9"/>
      <c r="R52" s="9"/>
      <c r="S52" s="44"/>
      <c r="T52" s="44"/>
      <c r="U52" s="44"/>
      <c r="V52" s="44"/>
      <c r="W52" s="44"/>
      <c r="X52" s="44"/>
      <c r="Y52" s="44"/>
      <c r="Z52" s="44"/>
    </row>
    <row r="53" spans="1:26">
      <c r="A53" s="9"/>
      <c r="B53" s="9"/>
      <c r="C53" s="9"/>
      <c r="D53" s="9"/>
      <c r="E53" s="35"/>
      <c r="F53" s="35"/>
      <c r="G53" s="258"/>
      <c r="H53" s="267"/>
      <c r="I53" s="262"/>
      <c r="J53" s="262"/>
      <c r="K53" s="267"/>
      <c r="L53" s="262"/>
      <c r="M53" s="115"/>
      <c r="N53" s="9"/>
      <c r="O53" s="9"/>
      <c r="P53" s="9"/>
      <c r="Q53" s="9"/>
      <c r="R53" s="9"/>
      <c r="S53" s="44"/>
      <c r="T53" s="44"/>
      <c r="U53" s="44"/>
      <c r="V53" s="44"/>
      <c r="W53" s="44"/>
      <c r="X53" s="44"/>
      <c r="Y53" s="44"/>
      <c r="Z53" s="44"/>
    </row>
    <row r="54" spans="1:26">
      <c r="A54" s="9"/>
      <c r="B54" s="9"/>
      <c r="C54" s="9"/>
      <c r="D54" s="9"/>
      <c r="E54" s="35"/>
      <c r="F54" s="35"/>
      <c r="G54" s="258"/>
      <c r="H54" s="267"/>
      <c r="I54" s="262"/>
      <c r="J54" s="262"/>
      <c r="K54" s="267"/>
      <c r="L54" s="262"/>
      <c r="M54" s="115"/>
      <c r="N54" s="9"/>
      <c r="O54" s="9"/>
      <c r="P54" s="9"/>
      <c r="Q54" s="9"/>
      <c r="R54" s="9"/>
      <c r="S54" s="44"/>
      <c r="T54" s="44"/>
      <c r="U54" s="44"/>
      <c r="V54" s="44"/>
      <c r="W54" s="44"/>
      <c r="X54" s="44"/>
      <c r="Y54" s="44"/>
      <c r="Z54" s="44"/>
    </row>
    <row r="55" spans="1:26">
      <c r="A55" s="9"/>
      <c r="B55" s="9"/>
      <c r="C55" s="9"/>
      <c r="D55" s="9"/>
      <c r="E55" s="35"/>
      <c r="F55" s="35"/>
      <c r="G55" s="258"/>
      <c r="H55" s="267"/>
      <c r="I55" s="262"/>
      <c r="J55" s="262"/>
      <c r="K55" s="267"/>
      <c r="L55" s="262"/>
      <c r="M55" s="115"/>
      <c r="N55" s="9"/>
      <c r="O55" s="9"/>
      <c r="P55" s="9"/>
      <c r="Q55" s="9"/>
      <c r="R55" s="9"/>
      <c r="S55" s="44"/>
      <c r="T55" s="44"/>
      <c r="U55" s="44"/>
      <c r="V55" s="44"/>
      <c r="W55" s="44"/>
      <c r="X55" s="44"/>
      <c r="Y55" s="44"/>
      <c r="Z55" s="44"/>
    </row>
    <row r="56" spans="1:26">
      <c r="A56" s="9"/>
      <c r="B56" s="9"/>
      <c r="C56" s="9"/>
      <c r="D56" s="9"/>
      <c r="E56" s="35"/>
      <c r="F56" s="35"/>
      <c r="G56" s="258"/>
      <c r="H56" s="267"/>
      <c r="I56" s="262"/>
      <c r="J56" s="262"/>
      <c r="K56" s="267"/>
      <c r="L56" s="262"/>
      <c r="M56" s="115"/>
      <c r="N56" s="9"/>
      <c r="O56" s="9"/>
      <c r="P56" s="9"/>
      <c r="Q56" s="9"/>
      <c r="R56" s="9"/>
      <c r="S56" s="44"/>
      <c r="T56" s="44"/>
      <c r="U56" s="44"/>
      <c r="V56" s="44"/>
      <c r="W56" s="44"/>
      <c r="X56" s="44"/>
      <c r="Y56" s="44"/>
      <c r="Z56" s="44"/>
    </row>
    <row r="57" spans="1:26">
      <c r="A57" s="9"/>
      <c r="B57" s="9"/>
      <c r="C57" s="9"/>
      <c r="D57" s="9"/>
      <c r="E57" s="35"/>
      <c r="F57" s="35"/>
      <c r="G57" s="258"/>
      <c r="H57" s="267"/>
      <c r="I57" s="262"/>
      <c r="J57" s="262"/>
      <c r="K57" s="267"/>
      <c r="L57" s="262"/>
      <c r="M57" s="115"/>
      <c r="N57" s="9"/>
      <c r="O57" s="9"/>
      <c r="P57" s="9"/>
      <c r="Q57" s="9"/>
      <c r="R57" s="9"/>
      <c r="S57" s="44"/>
      <c r="T57" s="44"/>
      <c r="U57" s="44"/>
      <c r="V57" s="44"/>
      <c r="W57" s="44"/>
      <c r="X57" s="44"/>
      <c r="Y57" s="44"/>
      <c r="Z57" s="44"/>
    </row>
    <row r="58" spans="1:26">
      <c r="A58" s="9"/>
      <c r="B58" s="9"/>
      <c r="C58" s="9"/>
      <c r="D58" s="9"/>
      <c r="E58" s="35"/>
      <c r="F58" s="35"/>
      <c r="G58" s="258"/>
      <c r="H58" s="267"/>
      <c r="I58" s="262"/>
      <c r="J58" s="262"/>
      <c r="K58" s="267"/>
      <c r="L58" s="262"/>
      <c r="M58" s="115"/>
      <c r="N58" s="9"/>
      <c r="O58" s="9"/>
      <c r="P58" s="9"/>
      <c r="Q58" s="9"/>
      <c r="R58" s="9"/>
      <c r="S58" s="44"/>
      <c r="T58" s="44"/>
      <c r="U58" s="44"/>
      <c r="V58" s="44"/>
      <c r="W58" s="44"/>
      <c r="X58" s="44"/>
      <c r="Y58" s="44"/>
      <c r="Z58" s="44"/>
    </row>
    <row r="59" spans="1:26">
      <c r="A59" s="9"/>
      <c r="B59" s="9"/>
      <c r="C59" s="9"/>
      <c r="D59" s="9"/>
      <c r="E59" s="35"/>
      <c r="F59" s="35"/>
      <c r="G59" s="258"/>
      <c r="H59" s="267"/>
      <c r="I59" s="262"/>
      <c r="J59" s="262"/>
      <c r="K59" s="267"/>
      <c r="L59" s="262"/>
      <c r="M59" s="115"/>
      <c r="N59" s="9"/>
      <c r="O59" s="9"/>
      <c r="P59" s="9"/>
      <c r="Q59" s="9"/>
      <c r="R59" s="9"/>
      <c r="S59" s="44"/>
      <c r="T59" s="44"/>
      <c r="U59" s="44"/>
      <c r="V59" s="44"/>
      <c r="W59" s="44"/>
      <c r="X59" s="44"/>
      <c r="Y59" s="44"/>
      <c r="Z59" s="44"/>
    </row>
    <row r="60" spans="1:26">
      <c r="A60" s="9"/>
      <c r="B60" s="9"/>
      <c r="C60" s="9"/>
      <c r="D60" s="9"/>
      <c r="E60" s="35"/>
      <c r="F60" s="35"/>
      <c r="G60" s="258"/>
      <c r="H60" s="267"/>
      <c r="I60" s="262"/>
      <c r="J60" s="262"/>
      <c r="K60" s="267"/>
      <c r="L60" s="262"/>
      <c r="M60" s="115"/>
      <c r="N60" s="9"/>
      <c r="O60" s="9"/>
      <c r="P60" s="9"/>
      <c r="Q60" s="9"/>
      <c r="R60" s="9"/>
      <c r="S60" s="44"/>
      <c r="T60" s="44"/>
      <c r="U60" s="44"/>
      <c r="V60" s="44"/>
      <c r="W60" s="44"/>
      <c r="X60" s="44"/>
      <c r="Y60" s="44"/>
      <c r="Z60" s="44"/>
    </row>
    <row r="61" spans="1:26">
      <c r="A61" s="9"/>
      <c r="B61" s="9"/>
      <c r="C61" s="9"/>
      <c r="D61" s="9"/>
      <c r="E61" s="35"/>
      <c r="F61" s="35"/>
      <c r="G61" s="258"/>
      <c r="H61" s="267"/>
      <c r="I61" s="262"/>
      <c r="J61" s="262"/>
      <c r="K61" s="267"/>
      <c r="L61" s="262"/>
      <c r="M61" s="115"/>
      <c r="N61" s="9"/>
      <c r="O61" s="9"/>
      <c r="P61" s="9"/>
      <c r="Q61" s="9"/>
      <c r="R61" s="9"/>
      <c r="S61" s="44"/>
      <c r="T61" s="44"/>
      <c r="U61" s="44"/>
      <c r="V61" s="44"/>
      <c r="W61" s="44"/>
      <c r="X61" s="44"/>
      <c r="Y61" s="44"/>
      <c r="Z61" s="44"/>
    </row>
    <row r="62" spans="1:26">
      <c r="A62" s="9"/>
      <c r="B62" s="9"/>
      <c r="C62" s="9"/>
      <c r="D62" s="9"/>
      <c r="E62" s="35"/>
      <c r="F62" s="35"/>
      <c r="G62" s="258"/>
      <c r="H62" s="267"/>
      <c r="I62" s="262"/>
      <c r="J62" s="262"/>
      <c r="K62" s="267"/>
      <c r="L62" s="262"/>
      <c r="M62" s="115"/>
      <c r="N62" s="9"/>
      <c r="O62" s="9"/>
      <c r="P62" s="9"/>
      <c r="Q62" s="9"/>
      <c r="R62" s="9"/>
      <c r="S62" s="44"/>
      <c r="T62" s="44"/>
      <c r="U62" s="44"/>
      <c r="V62" s="44"/>
      <c r="W62" s="44"/>
      <c r="X62" s="44"/>
      <c r="Y62" s="44"/>
      <c r="Z62" s="44"/>
    </row>
    <row r="63" spans="1:26">
      <c r="A63" s="9"/>
      <c r="B63" s="9"/>
      <c r="C63" s="9"/>
      <c r="D63" s="9"/>
      <c r="E63" s="35"/>
      <c r="F63" s="35"/>
      <c r="G63" s="258"/>
      <c r="H63" s="267"/>
      <c r="I63" s="262"/>
      <c r="J63" s="262"/>
      <c r="K63" s="267"/>
      <c r="L63" s="262"/>
      <c r="M63" s="115"/>
      <c r="N63" s="9"/>
      <c r="O63" s="9"/>
      <c r="P63" s="9"/>
      <c r="Q63" s="9"/>
      <c r="R63" s="9"/>
      <c r="S63" s="44"/>
      <c r="T63" s="44"/>
      <c r="U63" s="44"/>
      <c r="V63" s="44"/>
      <c r="W63" s="44"/>
      <c r="X63" s="44"/>
      <c r="Y63" s="44"/>
      <c r="Z63" s="44"/>
    </row>
    <row r="64" spans="1:26">
      <c r="A64" s="9"/>
      <c r="B64" s="9"/>
      <c r="C64" s="9"/>
      <c r="D64" s="9"/>
      <c r="E64" s="35"/>
      <c r="F64" s="35"/>
      <c r="G64" s="258"/>
      <c r="H64" s="267"/>
      <c r="I64" s="262"/>
      <c r="J64" s="262"/>
      <c r="K64" s="267"/>
      <c r="L64" s="262"/>
      <c r="M64" s="115"/>
      <c r="N64" s="9"/>
      <c r="O64" s="9"/>
      <c r="P64" s="9"/>
      <c r="Q64" s="9"/>
      <c r="R64" s="9"/>
      <c r="S64" s="44"/>
      <c r="T64" s="44"/>
      <c r="U64" s="44"/>
      <c r="V64" s="44"/>
      <c r="W64" s="44"/>
      <c r="X64" s="44"/>
      <c r="Y64" s="44"/>
      <c r="Z64" s="44"/>
    </row>
    <row r="65" spans="1:26">
      <c r="A65" s="9"/>
      <c r="B65" s="9"/>
      <c r="C65" s="9"/>
      <c r="D65" s="9"/>
      <c r="E65" s="35"/>
      <c r="F65" s="35"/>
      <c r="G65" s="258"/>
      <c r="H65" s="267"/>
      <c r="I65" s="262"/>
      <c r="J65" s="262"/>
      <c r="K65" s="267"/>
      <c r="L65" s="262"/>
      <c r="M65" s="115"/>
      <c r="N65" s="9"/>
      <c r="O65" s="9"/>
      <c r="P65" s="9"/>
      <c r="Q65" s="9"/>
      <c r="R65" s="9"/>
      <c r="S65" s="44"/>
      <c r="T65" s="44"/>
      <c r="U65" s="44"/>
      <c r="V65" s="44"/>
      <c r="W65" s="44"/>
      <c r="X65" s="44"/>
      <c r="Y65" s="44"/>
      <c r="Z65" s="44"/>
    </row>
    <row r="66" spans="1:26">
      <c r="A66" s="9"/>
      <c r="B66" s="9"/>
      <c r="C66" s="9"/>
      <c r="D66" s="9"/>
      <c r="E66" s="35"/>
      <c r="F66" s="35"/>
      <c r="G66" s="258"/>
      <c r="H66" s="267"/>
      <c r="I66" s="262"/>
      <c r="J66" s="262"/>
      <c r="K66" s="267"/>
      <c r="L66" s="262"/>
      <c r="M66" s="115"/>
      <c r="N66" s="9"/>
      <c r="O66" s="9"/>
      <c r="P66" s="9"/>
      <c r="Q66" s="9"/>
      <c r="R66" s="9"/>
      <c r="S66" s="44"/>
      <c r="T66" s="44"/>
      <c r="U66" s="44"/>
      <c r="V66" s="44"/>
      <c r="W66" s="44"/>
      <c r="X66" s="44"/>
      <c r="Y66" s="44"/>
      <c r="Z66" s="44"/>
    </row>
    <row r="67" spans="1:26">
      <c r="A67" s="9"/>
      <c r="B67" s="9"/>
      <c r="C67" s="9"/>
      <c r="D67" s="9"/>
      <c r="E67" s="35"/>
      <c r="F67" s="35"/>
      <c r="G67" s="258"/>
      <c r="H67" s="267"/>
      <c r="I67" s="262"/>
      <c r="J67" s="262"/>
      <c r="K67" s="267"/>
      <c r="L67" s="262"/>
      <c r="M67" s="115"/>
      <c r="N67" s="9"/>
      <c r="O67" s="9"/>
      <c r="P67" s="9"/>
      <c r="Q67" s="9"/>
      <c r="R67" s="9"/>
      <c r="S67" s="44"/>
      <c r="T67" s="44"/>
      <c r="U67" s="44"/>
      <c r="V67" s="44"/>
      <c r="W67" s="44"/>
      <c r="X67" s="44"/>
      <c r="Y67" s="44"/>
      <c r="Z67" s="44"/>
    </row>
    <row r="68" spans="1:26">
      <c r="A68" s="9"/>
      <c r="B68" s="9"/>
      <c r="C68" s="9"/>
      <c r="D68" s="9"/>
      <c r="E68" s="35"/>
      <c r="F68" s="35"/>
      <c r="G68" s="258"/>
      <c r="H68" s="267"/>
      <c r="I68" s="262"/>
      <c r="J68" s="262"/>
      <c r="K68" s="267"/>
      <c r="L68" s="262"/>
      <c r="M68" s="115"/>
      <c r="N68" s="9"/>
      <c r="O68" s="9"/>
      <c r="P68" s="9"/>
      <c r="Q68" s="9"/>
      <c r="R68" s="9"/>
      <c r="S68" s="44"/>
      <c r="T68" s="44"/>
      <c r="U68" s="44"/>
      <c r="V68" s="44"/>
      <c r="W68" s="44"/>
      <c r="X68" s="44"/>
      <c r="Y68" s="44"/>
      <c r="Z68" s="44"/>
    </row>
    <row r="69" spans="1:26">
      <c r="A69" s="9"/>
      <c r="B69" s="9"/>
      <c r="C69" s="9"/>
      <c r="D69" s="9"/>
      <c r="E69" s="35"/>
      <c r="F69" s="35"/>
      <c r="G69" s="258"/>
      <c r="H69" s="267"/>
      <c r="I69" s="262"/>
      <c r="J69" s="262"/>
      <c r="K69" s="267"/>
      <c r="L69" s="262"/>
      <c r="M69" s="115"/>
      <c r="N69" s="9"/>
      <c r="O69" s="9"/>
      <c r="P69" s="9"/>
      <c r="Q69" s="9"/>
      <c r="R69" s="9"/>
      <c r="S69" s="44"/>
      <c r="T69" s="44"/>
      <c r="U69" s="44"/>
      <c r="V69" s="44"/>
      <c r="W69" s="44"/>
      <c r="X69" s="44"/>
      <c r="Y69" s="44"/>
      <c r="Z69" s="44"/>
    </row>
    <row r="70" spans="1:26">
      <c r="A70" s="9"/>
      <c r="B70" s="9"/>
      <c r="C70" s="9"/>
      <c r="D70" s="9"/>
      <c r="E70" s="35"/>
      <c r="F70" s="35"/>
      <c r="G70" s="258"/>
      <c r="H70" s="267"/>
      <c r="I70" s="262"/>
      <c r="J70" s="262"/>
      <c r="K70" s="267"/>
      <c r="L70" s="262"/>
      <c r="M70" s="115"/>
      <c r="N70" s="9"/>
      <c r="O70" s="9"/>
      <c r="P70" s="9"/>
      <c r="Q70" s="9"/>
      <c r="R70" s="9"/>
      <c r="S70" s="44"/>
      <c r="T70" s="44"/>
      <c r="U70" s="44"/>
      <c r="V70" s="44"/>
      <c r="W70" s="44"/>
      <c r="X70" s="44"/>
      <c r="Y70" s="44"/>
      <c r="Z70" s="44"/>
    </row>
    <row r="71" spans="1:26">
      <c r="A71" s="9"/>
      <c r="B71" s="9"/>
      <c r="C71" s="9"/>
      <c r="D71" s="9"/>
      <c r="E71" s="35"/>
      <c r="F71" s="35"/>
      <c r="G71" s="258"/>
      <c r="H71" s="267"/>
      <c r="I71" s="262"/>
      <c r="J71" s="262"/>
      <c r="K71" s="267"/>
      <c r="L71" s="262"/>
      <c r="M71" s="115"/>
      <c r="N71" s="9"/>
      <c r="O71" s="9"/>
      <c r="P71" s="9"/>
      <c r="Q71" s="9"/>
      <c r="R71" s="9"/>
      <c r="S71" s="44"/>
      <c r="T71" s="44"/>
      <c r="U71" s="44"/>
      <c r="V71" s="44"/>
      <c r="W71" s="44"/>
      <c r="X71" s="44"/>
      <c r="Y71" s="44"/>
      <c r="Z71" s="44"/>
    </row>
    <row r="72" spans="1:26">
      <c r="A72" s="9"/>
      <c r="B72" s="9"/>
      <c r="C72" s="9"/>
      <c r="D72" s="9"/>
      <c r="E72" s="35"/>
      <c r="F72" s="35"/>
      <c r="G72" s="258"/>
      <c r="H72" s="267"/>
      <c r="I72" s="262"/>
      <c r="J72" s="262"/>
      <c r="K72" s="267"/>
      <c r="L72" s="262"/>
      <c r="M72" s="115"/>
      <c r="N72" s="9"/>
      <c r="O72" s="9"/>
      <c r="P72" s="9"/>
      <c r="Q72" s="9"/>
      <c r="R72" s="9"/>
      <c r="S72" s="44"/>
      <c r="T72" s="44"/>
      <c r="U72" s="44"/>
      <c r="V72" s="44"/>
      <c r="W72" s="44"/>
      <c r="X72" s="44"/>
      <c r="Y72" s="44"/>
      <c r="Z72" s="44"/>
    </row>
    <row r="73" spans="1:26">
      <c r="A73" s="9"/>
      <c r="B73" s="9"/>
      <c r="C73" s="9"/>
      <c r="D73" s="9"/>
      <c r="E73" s="35"/>
      <c r="F73" s="35"/>
      <c r="G73" s="258"/>
      <c r="H73" s="267"/>
      <c r="I73" s="262"/>
      <c r="J73" s="262"/>
      <c r="K73" s="267"/>
      <c r="L73" s="262"/>
      <c r="M73" s="115"/>
      <c r="N73" s="9"/>
      <c r="O73" s="9"/>
      <c r="P73" s="9"/>
      <c r="Q73" s="9"/>
      <c r="R73" s="9"/>
      <c r="S73" s="44"/>
      <c r="T73" s="44"/>
      <c r="U73" s="44"/>
      <c r="V73" s="44"/>
      <c r="W73" s="44"/>
      <c r="X73" s="44"/>
      <c r="Y73" s="44"/>
      <c r="Z73" s="44"/>
    </row>
    <row r="74" spans="1:26">
      <c r="A74" s="9"/>
      <c r="B74" s="9"/>
      <c r="C74" s="9"/>
      <c r="D74" s="9"/>
      <c r="E74" s="35"/>
      <c r="F74" s="35"/>
      <c r="G74" s="258"/>
      <c r="H74" s="267"/>
      <c r="I74" s="262"/>
      <c r="J74" s="262"/>
      <c r="K74" s="267"/>
      <c r="L74" s="262"/>
      <c r="M74" s="115"/>
      <c r="N74" s="9"/>
      <c r="O74" s="9"/>
      <c r="P74" s="9"/>
      <c r="Q74" s="9"/>
      <c r="R74" s="9"/>
      <c r="S74" s="44"/>
      <c r="T74" s="44"/>
      <c r="U74" s="44"/>
      <c r="V74" s="44"/>
      <c r="W74" s="44"/>
      <c r="X74" s="44"/>
      <c r="Y74" s="44"/>
      <c r="Z74" s="44"/>
    </row>
    <row r="75" spans="1:26">
      <c r="A75" s="9"/>
      <c r="B75" s="9"/>
      <c r="C75" s="9"/>
      <c r="D75" s="9"/>
      <c r="E75" s="35"/>
      <c r="F75" s="35"/>
      <c r="G75" s="258"/>
      <c r="H75" s="267"/>
      <c r="I75" s="262"/>
      <c r="J75" s="262"/>
      <c r="K75" s="267"/>
      <c r="L75" s="262"/>
      <c r="M75" s="115"/>
      <c r="N75" s="9"/>
      <c r="O75" s="9"/>
      <c r="P75" s="9"/>
      <c r="Q75" s="9"/>
      <c r="R75" s="9"/>
      <c r="S75" s="44"/>
      <c r="T75" s="44"/>
      <c r="U75" s="44"/>
      <c r="V75" s="44"/>
      <c r="W75" s="44"/>
      <c r="X75" s="44"/>
      <c r="Y75" s="44"/>
      <c r="Z75" s="44"/>
    </row>
    <row r="76" spans="1:26">
      <c r="A76" s="9"/>
      <c r="B76" s="9"/>
      <c r="C76" s="9"/>
      <c r="D76" s="9"/>
      <c r="E76" s="35"/>
      <c r="F76" s="35"/>
      <c r="G76" s="258"/>
      <c r="H76" s="267"/>
      <c r="I76" s="262"/>
      <c r="J76" s="262"/>
      <c r="K76" s="267"/>
      <c r="L76" s="262"/>
      <c r="M76" s="115"/>
      <c r="N76" s="9"/>
      <c r="O76" s="9"/>
      <c r="P76" s="9"/>
      <c r="Q76" s="9"/>
      <c r="R76" s="9"/>
      <c r="S76" s="44"/>
      <c r="T76" s="44"/>
      <c r="U76" s="44"/>
      <c r="V76" s="44"/>
      <c r="W76" s="44"/>
      <c r="X76" s="44"/>
      <c r="Y76" s="44"/>
      <c r="Z76" s="44"/>
    </row>
    <row r="77" spans="1:26">
      <c r="A77" s="9"/>
      <c r="B77" s="9"/>
      <c r="C77" s="9"/>
      <c r="D77" s="9"/>
      <c r="E77" s="35"/>
      <c r="F77" s="35"/>
      <c r="G77" s="258"/>
      <c r="H77" s="267"/>
      <c r="I77" s="262"/>
      <c r="J77" s="262"/>
      <c r="K77" s="267"/>
      <c r="L77" s="262"/>
      <c r="M77" s="115"/>
      <c r="N77" s="9"/>
      <c r="O77" s="9"/>
      <c r="P77" s="9"/>
      <c r="Q77" s="9"/>
      <c r="R77" s="9"/>
      <c r="S77" s="44"/>
      <c r="T77" s="44"/>
      <c r="U77" s="44"/>
      <c r="V77" s="44"/>
      <c r="W77" s="44"/>
      <c r="X77" s="44"/>
      <c r="Y77" s="44"/>
      <c r="Z77" s="44"/>
    </row>
    <row r="78" spans="1:26">
      <c r="A78" s="9"/>
      <c r="B78" s="9"/>
      <c r="C78" s="9"/>
      <c r="D78" s="9"/>
      <c r="E78" s="35"/>
      <c r="F78" s="35"/>
      <c r="G78" s="258"/>
      <c r="H78" s="267"/>
      <c r="I78" s="262"/>
      <c r="J78" s="262"/>
      <c r="K78" s="267"/>
      <c r="L78" s="262"/>
      <c r="M78" s="115"/>
      <c r="N78" s="9"/>
      <c r="O78" s="9"/>
      <c r="P78" s="9"/>
      <c r="Q78" s="9"/>
      <c r="R78" s="9"/>
      <c r="S78" s="44"/>
      <c r="T78" s="44"/>
      <c r="U78" s="44"/>
      <c r="V78" s="44"/>
      <c r="W78" s="44"/>
      <c r="X78" s="44"/>
      <c r="Y78" s="44"/>
      <c r="Z78" s="44"/>
    </row>
    <row r="79" spans="1:26">
      <c r="A79" s="9"/>
      <c r="B79" s="9"/>
      <c r="C79" s="9"/>
      <c r="D79" s="9"/>
      <c r="E79" s="35"/>
      <c r="F79" s="35"/>
      <c r="G79" s="258"/>
      <c r="H79" s="267"/>
      <c r="I79" s="262"/>
      <c r="J79" s="262"/>
      <c r="K79" s="267"/>
      <c r="L79" s="262"/>
      <c r="M79" s="115"/>
      <c r="N79" s="9"/>
      <c r="O79" s="9"/>
      <c r="P79" s="9"/>
      <c r="Q79" s="9"/>
      <c r="R79" s="9"/>
      <c r="S79" s="44"/>
      <c r="T79" s="44"/>
      <c r="U79" s="44"/>
      <c r="V79" s="44"/>
      <c r="W79" s="44"/>
      <c r="X79" s="44"/>
      <c r="Y79" s="44"/>
      <c r="Z79" s="44"/>
    </row>
    <row r="80" spans="1:26">
      <c r="A80" s="9"/>
      <c r="B80" s="9"/>
      <c r="C80" s="9"/>
      <c r="D80" s="9"/>
      <c r="E80" s="35"/>
      <c r="F80" s="35"/>
      <c r="G80" s="258"/>
      <c r="H80" s="267"/>
      <c r="I80" s="262"/>
      <c r="J80" s="262"/>
      <c r="K80" s="267"/>
      <c r="L80" s="262"/>
      <c r="M80" s="115"/>
      <c r="N80" s="9"/>
      <c r="O80" s="9"/>
      <c r="P80" s="9"/>
      <c r="Q80" s="9"/>
      <c r="R80" s="9"/>
      <c r="S80" s="44"/>
      <c r="T80" s="44"/>
      <c r="U80" s="44"/>
      <c r="V80" s="44"/>
      <c r="W80" s="44"/>
      <c r="X80" s="44"/>
      <c r="Y80" s="44"/>
      <c r="Z80" s="44"/>
    </row>
    <row r="81" spans="1:26">
      <c r="A81" s="9"/>
      <c r="B81" s="9"/>
      <c r="C81" s="9"/>
      <c r="D81" s="9"/>
      <c r="E81" s="35"/>
      <c r="F81" s="35"/>
      <c r="G81" s="258"/>
      <c r="H81" s="267"/>
      <c r="I81" s="262"/>
      <c r="J81" s="262"/>
      <c r="K81" s="267"/>
      <c r="L81" s="262"/>
      <c r="M81" s="115"/>
      <c r="N81" s="9"/>
      <c r="O81" s="9"/>
      <c r="P81" s="9"/>
      <c r="Q81" s="9"/>
      <c r="R81" s="9"/>
      <c r="S81" s="44"/>
      <c r="T81" s="44"/>
      <c r="U81" s="44"/>
      <c r="V81" s="44"/>
      <c r="W81" s="44"/>
      <c r="X81" s="44"/>
      <c r="Y81" s="44"/>
      <c r="Z81" s="44"/>
    </row>
    <row r="82" spans="1:26">
      <c r="A82" s="9"/>
      <c r="B82" s="9"/>
      <c r="C82" s="9"/>
      <c r="D82" s="9"/>
      <c r="E82" s="35"/>
      <c r="F82" s="35"/>
      <c r="G82" s="258"/>
      <c r="H82" s="267"/>
      <c r="I82" s="262"/>
      <c r="J82" s="262"/>
      <c r="K82" s="267"/>
      <c r="L82" s="262"/>
      <c r="M82" s="115"/>
      <c r="N82" s="9"/>
      <c r="O82" s="9"/>
      <c r="P82" s="9"/>
      <c r="Q82" s="9"/>
      <c r="R82" s="9"/>
      <c r="S82" s="44"/>
      <c r="T82" s="44"/>
      <c r="U82" s="44"/>
      <c r="V82" s="44"/>
      <c r="W82" s="44"/>
      <c r="X82" s="44"/>
      <c r="Y82" s="44"/>
      <c r="Z82" s="44"/>
    </row>
    <row r="83" spans="1:26">
      <c r="A83" s="9"/>
      <c r="B83" s="9"/>
      <c r="C83" s="9"/>
      <c r="D83" s="9"/>
      <c r="E83" s="35"/>
      <c r="F83" s="35"/>
      <c r="G83" s="258"/>
      <c r="H83" s="267"/>
      <c r="I83" s="262"/>
      <c r="J83" s="262"/>
      <c r="K83" s="267"/>
      <c r="L83" s="262"/>
      <c r="M83" s="115"/>
      <c r="N83" s="9"/>
      <c r="O83" s="9"/>
      <c r="P83" s="9"/>
      <c r="Q83" s="9"/>
      <c r="R83" s="9"/>
      <c r="S83" s="44"/>
      <c r="T83" s="44"/>
      <c r="U83" s="44"/>
      <c r="V83" s="44"/>
      <c r="W83" s="44"/>
      <c r="X83" s="44"/>
      <c r="Y83" s="44"/>
      <c r="Z83" s="44"/>
    </row>
    <row r="84" spans="1:26">
      <c r="A84" s="9"/>
      <c r="B84" s="9"/>
      <c r="C84" s="9"/>
      <c r="D84" s="9"/>
      <c r="E84" s="35"/>
      <c r="F84" s="35"/>
      <c r="G84" s="258"/>
      <c r="H84" s="267"/>
      <c r="I84" s="262"/>
      <c r="J84" s="262"/>
      <c r="K84" s="267"/>
      <c r="L84" s="262"/>
      <c r="M84" s="115"/>
      <c r="N84" s="9"/>
      <c r="O84" s="9"/>
      <c r="P84" s="9"/>
      <c r="Q84" s="9"/>
      <c r="R84" s="9"/>
      <c r="S84" s="44"/>
      <c r="T84" s="44"/>
      <c r="U84" s="44"/>
      <c r="V84" s="44"/>
      <c r="W84" s="44"/>
      <c r="X84" s="44"/>
      <c r="Y84" s="44"/>
      <c r="Z84" s="44"/>
    </row>
    <row r="85" spans="1:26">
      <c r="A85" s="9"/>
      <c r="B85" s="9"/>
      <c r="C85" s="9"/>
      <c r="D85" s="9"/>
      <c r="E85" s="35"/>
      <c r="F85" s="35"/>
      <c r="G85" s="258"/>
      <c r="H85" s="267"/>
      <c r="I85" s="262"/>
      <c r="J85" s="262"/>
      <c r="K85" s="267"/>
      <c r="L85" s="262"/>
      <c r="M85" s="115"/>
      <c r="N85" s="9"/>
      <c r="O85" s="9"/>
      <c r="P85" s="9"/>
      <c r="Q85" s="9"/>
      <c r="R85" s="9"/>
      <c r="S85" s="44"/>
      <c r="T85" s="44"/>
      <c r="U85" s="44"/>
      <c r="V85" s="44"/>
      <c r="W85" s="44"/>
      <c r="X85" s="44"/>
      <c r="Y85" s="44"/>
      <c r="Z85" s="44"/>
    </row>
    <row r="86" spans="1:26">
      <c r="A86" s="9"/>
      <c r="B86" s="9"/>
      <c r="C86" s="9"/>
      <c r="D86" s="9"/>
      <c r="E86" s="35"/>
      <c r="F86" s="35"/>
      <c r="G86" s="258"/>
      <c r="H86" s="267"/>
      <c r="I86" s="262"/>
      <c r="J86" s="262"/>
      <c r="K86" s="267"/>
      <c r="L86" s="262"/>
      <c r="M86" s="115"/>
      <c r="N86" s="9"/>
      <c r="O86" s="9"/>
      <c r="P86" s="9"/>
      <c r="Q86" s="9"/>
      <c r="R86" s="9"/>
      <c r="S86" s="44"/>
      <c r="T86" s="44"/>
      <c r="U86" s="44"/>
      <c r="V86" s="44"/>
      <c r="W86" s="44"/>
      <c r="X86" s="44"/>
      <c r="Y86" s="44"/>
      <c r="Z86" s="44"/>
    </row>
    <row r="87" spans="1:26">
      <c r="A87" s="9"/>
      <c r="B87" s="9"/>
      <c r="C87" s="9"/>
      <c r="D87" s="9"/>
      <c r="E87" s="35"/>
      <c r="F87" s="35"/>
      <c r="G87" s="258"/>
      <c r="H87" s="267"/>
      <c r="I87" s="262"/>
      <c r="J87" s="262"/>
      <c r="K87" s="267"/>
      <c r="L87" s="262"/>
      <c r="M87" s="115"/>
      <c r="N87" s="9"/>
      <c r="O87" s="9"/>
      <c r="P87" s="9"/>
      <c r="Q87" s="9"/>
      <c r="R87" s="9"/>
      <c r="S87" s="44"/>
      <c r="T87" s="44"/>
      <c r="U87" s="44"/>
      <c r="V87" s="44"/>
      <c r="W87" s="44"/>
      <c r="X87" s="44"/>
      <c r="Y87" s="44"/>
      <c r="Z87" s="44"/>
    </row>
    <row r="88" spans="1:26">
      <c r="A88" s="9"/>
      <c r="B88" s="9"/>
      <c r="C88" s="9"/>
      <c r="D88" s="9"/>
      <c r="E88" s="35"/>
      <c r="F88" s="35"/>
      <c r="G88" s="258"/>
      <c r="H88" s="267"/>
      <c r="I88" s="262"/>
      <c r="J88" s="262"/>
      <c r="K88" s="267"/>
      <c r="L88" s="262"/>
      <c r="M88" s="115"/>
      <c r="N88" s="9"/>
      <c r="O88" s="9"/>
      <c r="P88" s="9"/>
      <c r="Q88" s="9"/>
      <c r="R88" s="9"/>
      <c r="S88" s="44"/>
      <c r="T88" s="44"/>
      <c r="U88" s="44"/>
      <c r="V88" s="44"/>
      <c r="W88" s="44"/>
      <c r="X88" s="44"/>
      <c r="Y88" s="44"/>
      <c r="Z88" s="44"/>
    </row>
    <row r="89" spans="1:26">
      <c r="A89" s="9"/>
      <c r="B89" s="9"/>
      <c r="C89" s="9"/>
      <c r="D89" s="9"/>
      <c r="E89" s="35"/>
      <c r="F89" s="35"/>
      <c r="G89" s="258"/>
      <c r="H89" s="267"/>
      <c r="I89" s="262"/>
      <c r="J89" s="262"/>
      <c r="K89" s="267"/>
      <c r="L89" s="262"/>
      <c r="M89" s="115"/>
      <c r="N89" s="9"/>
      <c r="O89" s="9"/>
      <c r="P89" s="9"/>
      <c r="Q89" s="9"/>
      <c r="R89" s="9"/>
      <c r="S89" s="44"/>
      <c r="T89" s="44"/>
      <c r="U89" s="44"/>
      <c r="V89" s="44"/>
      <c r="W89" s="44"/>
      <c r="X89" s="44"/>
      <c r="Y89" s="44"/>
      <c r="Z89" s="44"/>
    </row>
    <row r="90" spans="1:26">
      <c r="A90" s="9"/>
      <c r="B90" s="9"/>
      <c r="C90" s="9"/>
      <c r="D90" s="9"/>
      <c r="E90" s="35"/>
      <c r="F90" s="35"/>
      <c r="G90" s="258"/>
      <c r="H90" s="267"/>
      <c r="I90" s="262"/>
      <c r="J90" s="262"/>
      <c r="K90" s="267"/>
      <c r="L90" s="262"/>
      <c r="M90" s="115"/>
      <c r="N90" s="9"/>
      <c r="O90" s="9"/>
      <c r="P90" s="9"/>
      <c r="Q90" s="9"/>
      <c r="R90" s="9"/>
      <c r="S90" s="44"/>
      <c r="T90" s="44"/>
      <c r="U90" s="44"/>
      <c r="V90" s="44"/>
      <c r="W90" s="44"/>
      <c r="X90" s="44"/>
      <c r="Y90" s="44"/>
      <c r="Z90" s="44"/>
    </row>
    <row r="91" spans="1:26">
      <c r="A91" s="9"/>
      <c r="B91" s="9"/>
      <c r="C91" s="9"/>
      <c r="D91" s="9"/>
      <c r="E91" s="35"/>
      <c r="F91" s="35"/>
      <c r="G91" s="258"/>
      <c r="H91" s="267"/>
      <c r="I91" s="262"/>
      <c r="J91" s="262"/>
      <c r="K91" s="267"/>
      <c r="L91" s="262"/>
      <c r="M91" s="115"/>
      <c r="N91" s="9"/>
      <c r="O91" s="9"/>
      <c r="P91" s="9"/>
      <c r="Q91" s="9"/>
      <c r="R91" s="9"/>
      <c r="S91" s="44"/>
      <c r="T91" s="44"/>
      <c r="U91" s="44"/>
      <c r="V91" s="44"/>
      <c r="W91" s="44"/>
      <c r="X91" s="44"/>
      <c r="Y91" s="44"/>
      <c r="Z91" s="44"/>
    </row>
    <row r="92" spans="1:26">
      <c r="A92" s="9"/>
      <c r="B92" s="9"/>
      <c r="C92" s="9"/>
      <c r="D92" s="9"/>
      <c r="E92" s="35"/>
      <c r="F92" s="35"/>
      <c r="G92" s="258"/>
      <c r="H92" s="267"/>
      <c r="I92" s="262"/>
      <c r="J92" s="262"/>
      <c r="K92" s="267"/>
      <c r="L92" s="262"/>
      <c r="M92" s="115"/>
      <c r="N92" s="9"/>
      <c r="O92" s="9"/>
      <c r="P92" s="9"/>
      <c r="Q92" s="9"/>
      <c r="R92" s="9"/>
      <c r="S92" s="44"/>
      <c r="T92" s="44"/>
      <c r="U92" s="44"/>
      <c r="V92" s="44"/>
      <c r="W92" s="44"/>
      <c r="X92" s="44"/>
      <c r="Y92" s="44"/>
      <c r="Z92" s="44"/>
    </row>
    <row r="93" spans="1:26">
      <c r="A93" s="9"/>
      <c r="B93" s="9"/>
      <c r="C93" s="9"/>
      <c r="D93" s="9"/>
      <c r="E93" s="35"/>
      <c r="F93" s="35"/>
      <c r="G93" s="258"/>
      <c r="H93" s="267"/>
      <c r="I93" s="262"/>
      <c r="J93" s="262"/>
      <c r="K93" s="267"/>
      <c r="L93" s="262"/>
      <c r="M93" s="115"/>
      <c r="N93" s="9"/>
      <c r="O93" s="9"/>
      <c r="P93" s="9"/>
      <c r="Q93" s="9"/>
      <c r="R93" s="9"/>
      <c r="S93" s="44"/>
      <c r="T93" s="44"/>
      <c r="U93" s="44"/>
      <c r="V93" s="44"/>
      <c r="W93" s="44"/>
      <c r="X93" s="44"/>
      <c r="Y93" s="44"/>
      <c r="Z93" s="44"/>
    </row>
    <row r="94" spans="1:26">
      <c r="A94" s="9"/>
      <c r="B94" s="9"/>
      <c r="C94" s="9"/>
      <c r="D94" s="9"/>
      <c r="E94" s="35"/>
      <c r="F94" s="35"/>
      <c r="G94" s="258"/>
      <c r="H94" s="267"/>
      <c r="I94" s="262"/>
      <c r="J94" s="262"/>
      <c r="K94" s="267"/>
      <c r="L94" s="262"/>
      <c r="M94" s="115"/>
      <c r="N94" s="9"/>
      <c r="O94" s="9"/>
      <c r="P94" s="9"/>
      <c r="Q94" s="9"/>
      <c r="R94" s="9"/>
      <c r="S94" s="44"/>
      <c r="T94" s="44"/>
      <c r="U94" s="44"/>
      <c r="V94" s="44"/>
      <c r="W94" s="44"/>
      <c r="X94" s="44"/>
      <c r="Y94" s="44"/>
      <c r="Z94" s="44"/>
    </row>
    <row r="95" spans="1:26">
      <c r="A95" s="9"/>
      <c r="B95" s="9"/>
      <c r="C95" s="9"/>
      <c r="D95" s="9"/>
      <c r="E95" s="35"/>
      <c r="F95" s="35"/>
      <c r="G95" s="258"/>
      <c r="H95" s="267"/>
      <c r="I95" s="262"/>
      <c r="J95" s="262"/>
      <c r="K95" s="267"/>
      <c r="L95" s="262"/>
      <c r="M95" s="115"/>
      <c r="N95" s="9"/>
      <c r="O95" s="9"/>
      <c r="P95" s="9"/>
      <c r="Q95" s="9"/>
      <c r="R95" s="9"/>
      <c r="S95" s="44"/>
      <c r="T95" s="44"/>
      <c r="U95" s="44"/>
      <c r="V95" s="44"/>
      <c r="W95" s="44"/>
      <c r="X95" s="44"/>
      <c r="Y95" s="44"/>
      <c r="Z95" s="44"/>
    </row>
    <row r="96" spans="1:26">
      <c r="A96" s="9"/>
      <c r="B96" s="9"/>
      <c r="C96" s="9"/>
      <c r="D96" s="9"/>
      <c r="E96" s="35"/>
      <c r="F96" s="35"/>
      <c r="G96" s="258"/>
      <c r="H96" s="267"/>
      <c r="I96" s="262"/>
      <c r="J96" s="262"/>
      <c r="K96" s="267"/>
      <c r="L96" s="262"/>
      <c r="M96" s="115"/>
      <c r="N96" s="9"/>
      <c r="O96" s="9"/>
      <c r="P96" s="9"/>
      <c r="Q96" s="9"/>
      <c r="R96" s="9"/>
      <c r="S96" s="44"/>
      <c r="T96" s="44"/>
      <c r="U96" s="44"/>
      <c r="V96" s="44"/>
      <c r="W96" s="44"/>
      <c r="X96" s="44"/>
      <c r="Y96" s="44"/>
      <c r="Z96" s="44"/>
    </row>
    <row r="97" spans="1:26">
      <c r="A97" s="9"/>
      <c r="B97" s="9"/>
      <c r="C97" s="9"/>
      <c r="D97" s="9"/>
      <c r="E97" s="35"/>
      <c r="F97" s="35"/>
      <c r="G97" s="258"/>
      <c r="H97" s="267"/>
      <c r="I97" s="262"/>
      <c r="J97" s="262"/>
      <c r="K97" s="267"/>
      <c r="L97" s="262"/>
      <c r="M97" s="115"/>
      <c r="N97" s="9"/>
      <c r="O97" s="9"/>
      <c r="P97" s="9"/>
      <c r="Q97" s="9"/>
      <c r="R97" s="9"/>
      <c r="S97" s="44"/>
      <c r="T97" s="44"/>
      <c r="U97" s="44"/>
      <c r="V97" s="44"/>
      <c r="W97" s="44"/>
      <c r="X97" s="44"/>
      <c r="Y97" s="44"/>
      <c r="Z97" s="44"/>
    </row>
    <row r="98" spans="1:26">
      <c r="A98" s="9"/>
      <c r="B98" s="9"/>
      <c r="C98" s="9"/>
      <c r="D98" s="9"/>
      <c r="E98" s="35"/>
      <c r="F98" s="35"/>
      <c r="G98" s="258"/>
      <c r="H98" s="267"/>
      <c r="I98" s="262"/>
      <c r="J98" s="262"/>
      <c r="K98" s="267"/>
      <c r="L98" s="262"/>
      <c r="M98" s="115"/>
      <c r="N98" s="9"/>
      <c r="O98" s="9"/>
      <c r="P98" s="9"/>
      <c r="Q98" s="9"/>
      <c r="R98" s="9"/>
      <c r="S98" s="44"/>
      <c r="T98" s="44"/>
      <c r="U98" s="44"/>
      <c r="V98" s="44"/>
      <c r="W98" s="44"/>
      <c r="X98" s="44"/>
      <c r="Y98" s="44"/>
      <c r="Z98" s="44"/>
    </row>
    <row r="99" spans="1:26">
      <c r="A99" s="9"/>
      <c r="B99" s="9"/>
      <c r="C99" s="9"/>
      <c r="D99" s="9"/>
      <c r="E99" s="35"/>
      <c r="F99" s="35"/>
      <c r="G99" s="258"/>
      <c r="H99" s="267"/>
      <c r="I99" s="262"/>
      <c r="J99" s="262"/>
      <c r="K99" s="267"/>
      <c r="L99" s="262"/>
      <c r="M99" s="115"/>
      <c r="N99" s="9"/>
      <c r="O99" s="9"/>
      <c r="P99" s="9"/>
      <c r="Q99" s="9"/>
      <c r="R99" s="9"/>
      <c r="S99" s="44"/>
      <c r="T99" s="44"/>
      <c r="U99" s="44"/>
      <c r="V99" s="44"/>
      <c r="W99" s="44"/>
      <c r="X99" s="44"/>
      <c r="Y99" s="44"/>
      <c r="Z99" s="44"/>
    </row>
    <row r="100" spans="1:26">
      <c r="A100" s="9"/>
      <c r="B100" s="9"/>
      <c r="C100" s="9"/>
      <c r="D100" s="9"/>
      <c r="E100" s="35"/>
      <c r="F100" s="35"/>
      <c r="G100" s="258"/>
      <c r="H100" s="267"/>
      <c r="I100" s="262"/>
      <c r="J100" s="262"/>
      <c r="K100" s="267"/>
      <c r="L100" s="262"/>
      <c r="M100" s="115"/>
      <c r="N100" s="9"/>
      <c r="O100" s="9"/>
      <c r="P100" s="9"/>
      <c r="Q100" s="9"/>
      <c r="R100" s="9"/>
      <c r="S100" s="44"/>
      <c r="T100" s="44"/>
      <c r="U100" s="44"/>
      <c r="V100" s="44"/>
      <c r="W100" s="44"/>
      <c r="X100" s="44"/>
      <c r="Y100" s="44"/>
      <c r="Z100" s="44"/>
    </row>
    <row r="101" spans="1:26">
      <c r="A101" s="9"/>
      <c r="B101" s="9"/>
      <c r="C101" s="9"/>
      <c r="D101" s="9"/>
      <c r="E101" s="35"/>
      <c r="F101" s="35"/>
      <c r="G101" s="258"/>
      <c r="H101" s="267"/>
      <c r="I101" s="262"/>
      <c r="J101" s="262"/>
      <c r="K101" s="267"/>
      <c r="L101" s="262"/>
      <c r="M101" s="115"/>
      <c r="N101" s="9"/>
      <c r="O101" s="9"/>
      <c r="P101" s="9"/>
      <c r="Q101" s="9"/>
      <c r="R101" s="9"/>
      <c r="S101" s="44"/>
      <c r="T101" s="44"/>
      <c r="U101" s="44"/>
      <c r="V101" s="44"/>
      <c r="W101" s="44"/>
      <c r="X101" s="44"/>
      <c r="Y101" s="44"/>
      <c r="Z101" s="44"/>
    </row>
    <row r="102" spans="1:26">
      <c r="A102" s="9"/>
      <c r="B102" s="9"/>
      <c r="C102" s="9"/>
      <c r="D102" s="9"/>
      <c r="E102" s="35"/>
      <c r="F102" s="35"/>
      <c r="G102" s="258"/>
      <c r="H102" s="267"/>
      <c r="I102" s="262"/>
      <c r="J102" s="262"/>
      <c r="K102" s="267"/>
      <c r="L102" s="262"/>
      <c r="M102" s="115"/>
      <c r="N102" s="9"/>
      <c r="O102" s="9"/>
      <c r="P102" s="9"/>
      <c r="Q102" s="9"/>
      <c r="R102" s="9"/>
      <c r="S102" s="44"/>
      <c r="T102" s="44"/>
      <c r="U102" s="44"/>
      <c r="V102" s="44"/>
      <c r="W102" s="44"/>
      <c r="X102" s="44"/>
      <c r="Y102" s="44"/>
      <c r="Z102" s="44"/>
    </row>
    <row r="103" spans="1:26">
      <c r="A103" s="9"/>
      <c r="B103" s="9"/>
      <c r="C103" s="9"/>
      <c r="D103" s="9"/>
      <c r="E103" s="35"/>
      <c r="F103" s="35"/>
      <c r="G103" s="258"/>
      <c r="H103" s="267"/>
      <c r="I103" s="262"/>
      <c r="J103" s="262"/>
      <c r="K103" s="267"/>
      <c r="L103" s="262"/>
      <c r="M103" s="115"/>
      <c r="N103" s="9"/>
      <c r="O103" s="9"/>
      <c r="P103" s="9"/>
      <c r="Q103" s="9"/>
      <c r="R103" s="9"/>
      <c r="S103" s="44"/>
      <c r="T103" s="44"/>
      <c r="U103" s="44"/>
      <c r="V103" s="44"/>
      <c r="W103" s="44"/>
      <c r="X103" s="44"/>
      <c r="Y103" s="44"/>
      <c r="Z103" s="44"/>
    </row>
    <row r="104" spans="1:26">
      <c r="A104" s="9"/>
      <c r="B104" s="9"/>
      <c r="C104" s="9"/>
      <c r="D104" s="9"/>
      <c r="E104" s="35"/>
      <c r="F104" s="35"/>
      <c r="G104" s="258"/>
      <c r="H104" s="267"/>
      <c r="I104" s="262"/>
      <c r="J104" s="262"/>
      <c r="K104" s="267"/>
      <c r="L104" s="262"/>
      <c r="M104" s="115"/>
      <c r="N104" s="9"/>
      <c r="O104" s="9"/>
      <c r="P104" s="9"/>
      <c r="Q104" s="9"/>
      <c r="R104" s="9"/>
      <c r="S104" s="44"/>
      <c r="T104" s="44"/>
      <c r="U104" s="44"/>
      <c r="V104" s="44"/>
      <c r="W104" s="44"/>
      <c r="X104" s="44"/>
      <c r="Y104" s="44"/>
      <c r="Z104" s="44"/>
    </row>
    <row r="105" spans="1:26">
      <c r="A105" s="9"/>
      <c r="B105" s="9"/>
      <c r="C105" s="9"/>
      <c r="D105" s="9"/>
      <c r="E105" s="35"/>
      <c r="F105" s="35"/>
      <c r="G105" s="258"/>
      <c r="H105" s="267"/>
      <c r="I105" s="262"/>
      <c r="J105" s="262"/>
      <c r="K105" s="267"/>
      <c r="L105" s="262"/>
      <c r="M105" s="115"/>
      <c r="N105" s="9"/>
      <c r="O105" s="9"/>
      <c r="P105" s="9"/>
      <c r="Q105" s="9"/>
      <c r="R105" s="9"/>
      <c r="S105" s="44"/>
      <c r="T105" s="44"/>
      <c r="U105" s="44"/>
      <c r="V105" s="44"/>
      <c r="W105" s="44"/>
      <c r="X105" s="44"/>
      <c r="Y105" s="44"/>
      <c r="Z105" s="44"/>
    </row>
    <row r="106" spans="1:26">
      <c r="A106" s="9"/>
      <c r="B106" s="9"/>
      <c r="C106" s="9"/>
      <c r="D106" s="9"/>
      <c r="E106" s="35"/>
      <c r="F106" s="35"/>
      <c r="G106" s="258"/>
      <c r="H106" s="267"/>
      <c r="I106" s="262"/>
      <c r="J106" s="262"/>
      <c r="K106" s="267"/>
      <c r="L106" s="262"/>
      <c r="M106" s="115"/>
      <c r="N106" s="9"/>
      <c r="O106" s="9"/>
      <c r="P106" s="9"/>
      <c r="Q106" s="9"/>
      <c r="R106" s="9"/>
      <c r="S106" s="44"/>
      <c r="T106" s="44"/>
      <c r="U106" s="44"/>
      <c r="V106" s="44"/>
      <c r="W106" s="44"/>
      <c r="X106" s="44"/>
      <c r="Y106" s="44"/>
      <c r="Z106" s="44"/>
    </row>
    <row r="107" spans="1:26">
      <c r="A107" s="9"/>
      <c r="B107" s="9"/>
      <c r="C107" s="9"/>
      <c r="D107" s="9"/>
      <c r="E107" s="35"/>
      <c r="F107" s="35"/>
      <c r="G107" s="258"/>
      <c r="H107" s="267"/>
      <c r="I107" s="262"/>
      <c r="J107" s="262"/>
      <c r="K107" s="267"/>
      <c r="L107" s="262"/>
      <c r="M107" s="115"/>
      <c r="N107" s="9"/>
      <c r="O107" s="9"/>
      <c r="P107" s="9"/>
      <c r="Q107" s="9"/>
      <c r="R107" s="9"/>
      <c r="S107" s="44"/>
      <c r="T107" s="44"/>
      <c r="U107" s="44"/>
      <c r="V107" s="44"/>
      <c r="W107" s="44"/>
      <c r="X107" s="44"/>
      <c r="Y107" s="44"/>
      <c r="Z107" s="44"/>
    </row>
    <row r="108" spans="1:26">
      <c r="A108" s="9"/>
      <c r="B108" s="9"/>
      <c r="C108" s="9"/>
      <c r="D108" s="9"/>
      <c r="E108" s="35"/>
      <c r="F108" s="35"/>
      <c r="G108" s="258"/>
      <c r="H108" s="267"/>
      <c r="I108" s="262"/>
      <c r="J108" s="262"/>
      <c r="K108" s="267"/>
      <c r="L108" s="262"/>
      <c r="M108" s="115"/>
      <c r="N108" s="9"/>
      <c r="O108" s="9"/>
      <c r="P108" s="9"/>
      <c r="Q108" s="9"/>
      <c r="R108" s="9"/>
      <c r="S108" s="44"/>
      <c r="T108" s="44"/>
      <c r="U108" s="44"/>
      <c r="V108" s="44"/>
      <c r="W108" s="44"/>
      <c r="X108" s="44"/>
      <c r="Y108" s="44"/>
      <c r="Z108" s="44"/>
    </row>
    <row r="109" spans="1:26">
      <c r="A109" s="9"/>
      <c r="B109" s="9"/>
      <c r="C109" s="9"/>
      <c r="D109" s="9"/>
      <c r="E109" s="35"/>
      <c r="F109" s="35"/>
      <c r="G109" s="258"/>
      <c r="H109" s="267"/>
      <c r="I109" s="262"/>
      <c r="J109" s="262"/>
      <c r="K109" s="267"/>
      <c r="L109" s="262"/>
      <c r="M109" s="115"/>
      <c r="N109" s="9"/>
      <c r="O109" s="9"/>
      <c r="P109" s="9"/>
      <c r="Q109" s="9"/>
      <c r="R109" s="9"/>
      <c r="S109" s="44"/>
      <c r="T109" s="44"/>
      <c r="U109" s="44"/>
      <c r="V109" s="44"/>
      <c r="W109" s="44"/>
      <c r="X109" s="44"/>
      <c r="Y109" s="44"/>
      <c r="Z109" s="44"/>
    </row>
    <row r="110" spans="1:26">
      <c r="A110" s="9"/>
      <c r="B110" s="9"/>
      <c r="C110" s="9"/>
      <c r="D110" s="9"/>
      <c r="E110" s="35"/>
      <c r="F110" s="35"/>
      <c r="G110" s="258"/>
      <c r="H110" s="267"/>
      <c r="I110" s="262"/>
      <c r="J110" s="262"/>
      <c r="K110" s="267"/>
      <c r="L110" s="262"/>
      <c r="M110" s="115"/>
      <c r="N110" s="9"/>
      <c r="O110" s="9"/>
      <c r="P110" s="9"/>
      <c r="Q110" s="9"/>
      <c r="R110" s="9"/>
      <c r="S110" s="44"/>
      <c r="T110" s="44"/>
      <c r="U110" s="44"/>
      <c r="V110" s="44"/>
      <c r="W110" s="44"/>
      <c r="X110" s="44"/>
      <c r="Y110" s="44"/>
      <c r="Z110" s="44"/>
    </row>
    <row r="111" spans="1:26">
      <c r="A111" s="9"/>
      <c r="B111" s="9"/>
      <c r="C111" s="9"/>
      <c r="D111" s="9"/>
      <c r="E111" s="35"/>
      <c r="F111" s="35"/>
      <c r="G111" s="258"/>
      <c r="H111" s="267"/>
      <c r="I111" s="262"/>
      <c r="J111" s="262"/>
      <c r="K111" s="267"/>
      <c r="L111" s="262"/>
      <c r="M111" s="115"/>
      <c r="N111" s="9"/>
      <c r="O111" s="9"/>
      <c r="P111" s="9"/>
      <c r="Q111" s="9"/>
      <c r="R111" s="9"/>
      <c r="S111" s="44"/>
      <c r="T111" s="44"/>
      <c r="U111" s="44"/>
      <c r="V111" s="44"/>
      <c r="W111" s="44"/>
      <c r="X111" s="44"/>
      <c r="Y111" s="44"/>
      <c r="Z111" s="44"/>
    </row>
    <row r="112" spans="1:26">
      <c r="A112" s="9"/>
      <c r="B112" s="9"/>
      <c r="C112" s="9"/>
      <c r="D112" s="9"/>
      <c r="E112" s="35"/>
      <c r="F112" s="35"/>
      <c r="G112" s="258"/>
      <c r="H112" s="267"/>
      <c r="I112" s="262"/>
      <c r="J112" s="262"/>
      <c r="K112" s="267"/>
      <c r="L112" s="262"/>
      <c r="M112" s="115"/>
      <c r="N112" s="9"/>
      <c r="O112" s="9"/>
      <c r="P112" s="9"/>
      <c r="Q112" s="9"/>
      <c r="R112" s="9"/>
      <c r="S112" s="44"/>
      <c r="T112" s="44"/>
      <c r="U112" s="44"/>
      <c r="V112" s="44"/>
      <c r="W112" s="44"/>
      <c r="X112" s="44"/>
      <c r="Y112" s="44"/>
      <c r="Z112" s="44"/>
    </row>
    <row r="113" spans="1:26">
      <c r="A113" s="9"/>
      <c r="B113" s="9"/>
      <c r="C113" s="9"/>
      <c r="D113" s="9"/>
      <c r="E113" s="35"/>
      <c r="F113" s="35"/>
      <c r="G113" s="258"/>
      <c r="H113" s="267"/>
      <c r="I113" s="262"/>
      <c r="J113" s="262"/>
      <c r="K113" s="267"/>
      <c r="L113" s="262"/>
      <c r="M113" s="115"/>
      <c r="N113" s="9"/>
      <c r="O113" s="9"/>
      <c r="P113" s="9"/>
      <c r="Q113" s="9"/>
      <c r="R113" s="9"/>
      <c r="S113" s="44"/>
      <c r="T113" s="44"/>
      <c r="U113" s="44"/>
      <c r="V113" s="44"/>
      <c r="W113" s="44"/>
      <c r="X113" s="44"/>
      <c r="Y113" s="44"/>
      <c r="Z113" s="44"/>
    </row>
    <row r="114" spans="1:26">
      <c r="A114" s="9"/>
      <c r="B114" s="9"/>
      <c r="C114" s="9"/>
      <c r="D114" s="9"/>
      <c r="E114" s="35"/>
      <c r="F114" s="35"/>
      <c r="G114" s="258"/>
      <c r="H114" s="267"/>
      <c r="I114" s="262"/>
      <c r="J114" s="262"/>
      <c r="K114" s="267"/>
      <c r="L114" s="262"/>
      <c r="M114" s="115"/>
      <c r="N114" s="9"/>
      <c r="O114" s="9"/>
      <c r="P114" s="9"/>
      <c r="Q114" s="9"/>
      <c r="R114" s="9"/>
      <c r="S114" s="44"/>
      <c r="T114" s="44"/>
      <c r="U114" s="44"/>
      <c r="V114" s="44"/>
      <c r="W114" s="44"/>
      <c r="X114" s="44"/>
      <c r="Y114" s="44"/>
      <c r="Z114" s="44"/>
    </row>
    <row r="115" spans="1:26">
      <c r="A115" s="9"/>
      <c r="B115" s="9"/>
      <c r="C115" s="9"/>
      <c r="D115" s="9"/>
      <c r="E115" s="35"/>
      <c r="F115" s="35"/>
      <c r="G115" s="258"/>
      <c r="H115" s="267"/>
      <c r="I115" s="262"/>
      <c r="J115" s="262"/>
      <c r="K115" s="267"/>
      <c r="L115" s="262"/>
      <c r="M115" s="115"/>
      <c r="N115" s="9"/>
      <c r="O115" s="9"/>
      <c r="P115" s="9"/>
      <c r="Q115" s="9"/>
      <c r="R115" s="9"/>
      <c r="S115" s="44"/>
      <c r="T115" s="44"/>
      <c r="U115" s="44"/>
      <c r="V115" s="44"/>
      <c r="W115" s="44"/>
      <c r="X115" s="44"/>
      <c r="Y115" s="44"/>
      <c r="Z115" s="44"/>
    </row>
    <row r="116" spans="1:26">
      <c r="A116" s="9"/>
      <c r="B116" s="9"/>
      <c r="C116" s="9"/>
      <c r="D116" s="9"/>
      <c r="E116" s="35"/>
      <c r="F116" s="35"/>
      <c r="G116" s="258"/>
      <c r="H116" s="267"/>
      <c r="I116" s="262"/>
      <c r="J116" s="262"/>
      <c r="K116" s="267"/>
      <c r="L116" s="262"/>
      <c r="M116" s="115"/>
      <c r="N116" s="9"/>
      <c r="O116" s="9"/>
      <c r="P116" s="9"/>
      <c r="Q116" s="9"/>
      <c r="R116" s="9"/>
      <c r="S116" s="44"/>
      <c r="T116" s="44"/>
      <c r="U116" s="44"/>
      <c r="V116" s="44"/>
      <c r="W116" s="44"/>
      <c r="X116" s="44"/>
      <c r="Y116" s="44"/>
      <c r="Z116" s="44"/>
    </row>
    <row r="117" spans="1:26">
      <c r="A117" s="9"/>
      <c r="B117" s="9"/>
      <c r="C117" s="9"/>
      <c r="D117" s="9"/>
      <c r="E117" s="35"/>
      <c r="F117" s="35"/>
      <c r="G117" s="258"/>
      <c r="H117" s="267"/>
      <c r="I117" s="262"/>
      <c r="J117" s="262"/>
      <c r="K117" s="267"/>
      <c r="L117" s="262"/>
      <c r="M117" s="115"/>
      <c r="N117" s="9"/>
      <c r="O117" s="9"/>
      <c r="P117" s="9"/>
      <c r="Q117" s="9"/>
      <c r="R117" s="9"/>
      <c r="S117" s="44"/>
      <c r="T117" s="44"/>
      <c r="U117" s="44"/>
      <c r="V117" s="44"/>
      <c r="W117" s="44"/>
      <c r="X117" s="44"/>
      <c r="Y117" s="44"/>
      <c r="Z117" s="44"/>
    </row>
    <row r="118" spans="1:26">
      <c r="A118" s="9"/>
      <c r="B118" s="9"/>
      <c r="C118" s="9"/>
      <c r="D118" s="9"/>
      <c r="E118" s="35"/>
      <c r="F118" s="35"/>
      <c r="G118" s="258"/>
      <c r="H118" s="267"/>
      <c r="I118" s="262"/>
      <c r="J118" s="262"/>
      <c r="K118" s="267"/>
      <c r="L118" s="262"/>
      <c r="M118" s="115"/>
      <c r="N118" s="9"/>
      <c r="O118" s="9"/>
      <c r="P118" s="9"/>
      <c r="Q118" s="9"/>
      <c r="R118" s="9"/>
      <c r="S118" s="44"/>
      <c r="T118" s="44"/>
      <c r="U118" s="44"/>
      <c r="V118" s="44"/>
      <c r="W118" s="44"/>
      <c r="X118" s="44"/>
      <c r="Y118" s="44"/>
      <c r="Z118" s="44"/>
    </row>
    <row r="119" spans="1:26">
      <c r="A119" s="9"/>
      <c r="B119" s="9"/>
      <c r="C119" s="9"/>
      <c r="D119" s="9"/>
      <c r="E119" s="35"/>
      <c r="F119" s="35"/>
      <c r="G119" s="258"/>
      <c r="H119" s="267"/>
      <c r="I119" s="262"/>
      <c r="J119" s="262"/>
      <c r="K119" s="267"/>
      <c r="L119" s="262"/>
      <c r="M119" s="115"/>
      <c r="N119" s="9"/>
      <c r="O119" s="9"/>
      <c r="P119" s="9"/>
      <c r="Q119" s="9"/>
      <c r="R119" s="9"/>
      <c r="S119" s="44"/>
      <c r="T119" s="44"/>
      <c r="U119" s="44"/>
      <c r="V119" s="44"/>
      <c r="W119" s="44"/>
      <c r="X119" s="44"/>
      <c r="Y119" s="44"/>
      <c r="Z119" s="44"/>
    </row>
    <row r="120" spans="1:26">
      <c r="A120" s="9"/>
      <c r="B120" s="9"/>
      <c r="C120" s="9"/>
      <c r="D120" s="9"/>
      <c r="E120" s="35"/>
      <c r="F120" s="35"/>
      <c r="G120" s="258"/>
      <c r="H120" s="267"/>
      <c r="I120" s="262"/>
      <c r="J120" s="262"/>
      <c r="K120" s="267"/>
      <c r="L120" s="262"/>
      <c r="M120" s="115"/>
      <c r="N120" s="9"/>
      <c r="O120" s="9"/>
      <c r="P120" s="9"/>
      <c r="Q120" s="9"/>
      <c r="R120" s="9"/>
      <c r="S120" s="44"/>
      <c r="T120" s="44"/>
      <c r="U120" s="44"/>
      <c r="V120" s="44"/>
      <c r="W120" s="44"/>
      <c r="X120" s="44"/>
      <c r="Y120" s="44"/>
      <c r="Z120" s="44"/>
    </row>
    <row r="121" spans="1:26">
      <c r="A121" s="9"/>
      <c r="B121" s="9"/>
      <c r="C121" s="9"/>
      <c r="D121" s="9"/>
      <c r="E121" s="35"/>
      <c r="F121" s="35"/>
      <c r="G121" s="258"/>
      <c r="H121" s="267"/>
      <c r="I121" s="262"/>
      <c r="J121" s="262"/>
      <c r="K121" s="267"/>
      <c r="L121" s="262"/>
      <c r="M121" s="115"/>
      <c r="N121" s="9"/>
      <c r="O121" s="9"/>
      <c r="P121" s="9"/>
      <c r="Q121" s="9"/>
      <c r="R121" s="9"/>
      <c r="S121" s="44"/>
      <c r="T121" s="44"/>
      <c r="U121" s="44"/>
      <c r="V121" s="44"/>
      <c r="W121" s="44"/>
      <c r="X121" s="44"/>
      <c r="Y121" s="44"/>
      <c r="Z121" s="44"/>
    </row>
    <row r="122" spans="1:26">
      <c r="A122" s="9"/>
      <c r="B122" s="9"/>
      <c r="C122" s="9"/>
      <c r="D122" s="9"/>
      <c r="E122" s="35"/>
      <c r="F122" s="35"/>
      <c r="G122" s="258"/>
      <c r="H122" s="267"/>
      <c r="I122" s="262"/>
      <c r="J122" s="262"/>
      <c r="K122" s="267"/>
      <c r="L122" s="262"/>
      <c r="M122" s="115"/>
      <c r="N122" s="9"/>
      <c r="O122" s="9"/>
      <c r="P122" s="9"/>
      <c r="Q122" s="9"/>
      <c r="R122" s="9"/>
      <c r="S122" s="44"/>
      <c r="T122" s="44"/>
      <c r="U122" s="44"/>
      <c r="V122" s="44"/>
      <c r="W122" s="44"/>
      <c r="X122" s="44"/>
      <c r="Y122" s="44"/>
      <c r="Z122" s="44"/>
    </row>
    <row r="123" spans="1:26">
      <c r="A123" s="9"/>
      <c r="B123" s="9"/>
      <c r="C123" s="9"/>
      <c r="D123" s="9"/>
      <c r="E123" s="35"/>
      <c r="F123" s="35"/>
      <c r="G123" s="258"/>
      <c r="H123" s="267"/>
      <c r="I123" s="262"/>
      <c r="J123" s="262"/>
      <c r="K123" s="267"/>
      <c r="L123" s="262"/>
      <c r="M123" s="115"/>
      <c r="N123" s="9"/>
      <c r="O123" s="9"/>
      <c r="P123" s="9"/>
      <c r="Q123" s="9"/>
      <c r="R123" s="9"/>
      <c r="S123" s="44"/>
      <c r="T123" s="44"/>
      <c r="U123" s="44"/>
      <c r="V123" s="44"/>
      <c r="W123" s="44"/>
      <c r="X123" s="44"/>
      <c r="Y123" s="44"/>
      <c r="Z123" s="44"/>
    </row>
    <row r="124" spans="1:26">
      <c r="A124" s="9"/>
      <c r="B124" s="9"/>
      <c r="C124" s="9"/>
      <c r="D124" s="9"/>
      <c r="E124" s="35"/>
      <c r="F124" s="35"/>
      <c r="G124" s="258"/>
      <c r="H124" s="267"/>
      <c r="I124" s="262"/>
      <c r="J124" s="262"/>
      <c r="K124" s="267"/>
      <c r="L124" s="262"/>
      <c r="M124" s="115"/>
      <c r="N124" s="9"/>
      <c r="O124" s="9"/>
      <c r="P124" s="9"/>
      <c r="Q124" s="9"/>
      <c r="R124" s="9"/>
      <c r="S124" s="44"/>
      <c r="T124" s="44"/>
      <c r="U124" s="44"/>
      <c r="V124" s="44"/>
      <c r="W124" s="44"/>
      <c r="X124" s="44"/>
      <c r="Y124" s="44"/>
      <c r="Z124" s="44"/>
    </row>
    <row r="125" spans="1:26">
      <c r="A125" s="9"/>
      <c r="B125" s="9"/>
      <c r="C125" s="9"/>
      <c r="D125" s="9"/>
      <c r="E125" s="35"/>
      <c r="F125" s="35"/>
      <c r="G125" s="258"/>
      <c r="H125" s="267"/>
      <c r="I125" s="262"/>
      <c r="J125" s="262"/>
      <c r="K125" s="267"/>
      <c r="L125" s="262"/>
      <c r="M125" s="115"/>
      <c r="N125" s="9"/>
      <c r="O125" s="9"/>
      <c r="P125" s="9"/>
      <c r="Q125" s="9"/>
      <c r="R125" s="9"/>
      <c r="S125" s="44"/>
      <c r="T125" s="44"/>
      <c r="U125" s="44"/>
      <c r="V125" s="44"/>
      <c r="W125" s="44"/>
      <c r="X125" s="44"/>
      <c r="Y125" s="44"/>
      <c r="Z125" s="44"/>
    </row>
    <row r="126" spans="1:26">
      <c r="A126" s="9"/>
      <c r="B126" s="9"/>
      <c r="C126" s="9"/>
      <c r="D126" s="9"/>
      <c r="E126" s="35"/>
      <c r="F126" s="35"/>
      <c r="G126" s="258"/>
      <c r="H126" s="267"/>
      <c r="I126" s="262"/>
      <c r="J126" s="262"/>
      <c r="K126" s="267"/>
      <c r="L126" s="262"/>
      <c r="M126" s="115"/>
      <c r="N126" s="9"/>
      <c r="O126" s="9"/>
      <c r="P126" s="9"/>
      <c r="Q126" s="9"/>
      <c r="R126" s="9"/>
      <c r="S126" s="44"/>
      <c r="T126" s="44"/>
      <c r="U126" s="44"/>
      <c r="V126" s="44"/>
      <c r="W126" s="44"/>
      <c r="X126" s="44"/>
      <c r="Y126" s="44"/>
      <c r="Z126" s="44"/>
    </row>
    <row r="127" spans="1:26">
      <c r="A127" s="9"/>
      <c r="B127" s="9"/>
      <c r="C127" s="9"/>
      <c r="D127" s="9"/>
      <c r="E127" s="35"/>
      <c r="F127" s="35"/>
      <c r="G127" s="258"/>
      <c r="H127" s="267"/>
      <c r="I127" s="262"/>
      <c r="J127" s="262"/>
      <c r="K127" s="267"/>
      <c r="L127" s="262"/>
      <c r="M127" s="115"/>
      <c r="N127" s="9"/>
      <c r="O127" s="9"/>
      <c r="P127" s="9"/>
      <c r="Q127" s="9"/>
      <c r="R127" s="9"/>
      <c r="S127" s="44"/>
      <c r="T127" s="44"/>
      <c r="U127" s="44"/>
      <c r="V127" s="44"/>
      <c r="W127" s="44"/>
      <c r="X127" s="44"/>
      <c r="Y127" s="44"/>
      <c r="Z127" s="44"/>
    </row>
    <row r="128" spans="1:26">
      <c r="A128" s="9"/>
      <c r="B128" s="9"/>
      <c r="C128" s="9"/>
      <c r="D128" s="9"/>
      <c r="E128" s="35"/>
      <c r="F128" s="35"/>
      <c r="G128" s="258"/>
      <c r="H128" s="267"/>
      <c r="I128" s="262"/>
      <c r="J128" s="262"/>
      <c r="K128" s="267"/>
      <c r="L128" s="262"/>
      <c r="M128" s="115"/>
      <c r="N128" s="9"/>
      <c r="O128" s="9"/>
      <c r="P128" s="9"/>
      <c r="Q128" s="9"/>
      <c r="R128" s="9"/>
      <c r="S128" s="44"/>
      <c r="T128" s="44"/>
      <c r="U128" s="44"/>
      <c r="V128" s="44"/>
      <c r="W128" s="44"/>
      <c r="X128" s="44"/>
      <c r="Y128" s="44"/>
      <c r="Z128" s="44"/>
    </row>
    <row r="129" spans="1:26">
      <c r="A129" s="9"/>
      <c r="B129" s="9"/>
      <c r="C129" s="9"/>
      <c r="D129" s="9"/>
      <c r="E129" s="35"/>
      <c r="F129" s="35"/>
      <c r="G129" s="258"/>
      <c r="H129" s="267"/>
      <c r="I129" s="262"/>
      <c r="J129" s="262"/>
      <c r="K129" s="267"/>
      <c r="L129" s="262"/>
      <c r="M129" s="115"/>
      <c r="N129" s="9"/>
      <c r="O129" s="9"/>
      <c r="P129" s="9"/>
      <c r="Q129" s="9"/>
      <c r="R129" s="9"/>
      <c r="S129" s="44"/>
      <c r="T129" s="44"/>
      <c r="U129" s="44"/>
      <c r="V129" s="44"/>
      <c r="W129" s="44"/>
      <c r="X129" s="44"/>
      <c r="Y129" s="44"/>
      <c r="Z129" s="44"/>
    </row>
    <row r="130" spans="1:26">
      <c r="A130" s="9"/>
      <c r="B130" s="9"/>
      <c r="C130" s="9"/>
      <c r="D130" s="9"/>
      <c r="E130" s="35"/>
      <c r="F130" s="35"/>
      <c r="G130" s="258"/>
      <c r="H130" s="267"/>
      <c r="I130" s="262"/>
      <c r="J130" s="262"/>
      <c r="K130" s="267"/>
      <c r="L130" s="262"/>
      <c r="M130" s="115"/>
      <c r="N130" s="9"/>
      <c r="O130" s="9"/>
      <c r="P130" s="9"/>
      <c r="Q130" s="9"/>
      <c r="R130" s="9"/>
      <c r="S130" s="44"/>
      <c r="T130" s="44"/>
      <c r="U130" s="44"/>
      <c r="V130" s="44"/>
      <c r="W130" s="44"/>
      <c r="X130" s="44"/>
      <c r="Y130" s="44"/>
      <c r="Z130" s="44"/>
    </row>
    <row r="131" spans="1:26">
      <c r="A131" s="9"/>
      <c r="B131" s="9"/>
      <c r="C131" s="9"/>
      <c r="D131" s="9"/>
      <c r="E131" s="35"/>
      <c r="F131" s="35"/>
      <c r="G131" s="258"/>
      <c r="H131" s="267"/>
      <c r="I131" s="262"/>
      <c r="J131" s="262"/>
      <c r="K131" s="267"/>
      <c r="L131" s="262"/>
      <c r="M131" s="115"/>
      <c r="N131" s="9"/>
      <c r="O131" s="9"/>
      <c r="P131" s="9"/>
      <c r="Q131" s="9"/>
      <c r="R131" s="9"/>
      <c r="S131" s="44"/>
      <c r="T131" s="44"/>
      <c r="U131" s="44"/>
      <c r="V131" s="44"/>
      <c r="W131" s="44"/>
      <c r="X131" s="44"/>
      <c r="Y131" s="44"/>
      <c r="Z131" s="44"/>
    </row>
    <row r="132" spans="1:26">
      <c r="A132" s="9"/>
      <c r="B132" s="9"/>
      <c r="C132" s="9"/>
      <c r="D132" s="9"/>
      <c r="E132" s="35"/>
      <c r="F132" s="35"/>
      <c r="G132" s="258"/>
      <c r="H132" s="267"/>
      <c r="I132" s="262"/>
      <c r="J132" s="262"/>
      <c r="K132" s="267"/>
      <c r="L132" s="262"/>
      <c r="M132" s="115"/>
      <c r="N132" s="9"/>
      <c r="O132" s="9"/>
      <c r="P132" s="9"/>
      <c r="Q132" s="9"/>
      <c r="R132" s="9"/>
      <c r="S132" s="44"/>
      <c r="T132" s="44"/>
      <c r="U132" s="44"/>
      <c r="V132" s="44"/>
      <c r="W132" s="44"/>
      <c r="X132" s="44"/>
      <c r="Y132" s="44"/>
      <c r="Z132" s="44"/>
    </row>
    <row r="133" spans="1:26">
      <c r="A133" s="9"/>
      <c r="B133" s="9"/>
      <c r="C133" s="9"/>
      <c r="D133" s="9"/>
      <c r="E133" s="35"/>
      <c r="F133" s="35"/>
      <c r="G133" s="258"/>
      <c r="H133" s="267"/>
      <c r="I133" s="262"/>
      <c r="J133" s="262"/>
      <c r="K133" s="267"/>
      <c r="L133" s="262"/>
      <c r="M133" s="115"/>
      <c r="N133" s="9"/>
      <c r="O133" s="9"/>
      <c r="P133" s="9"/>
      <c r="Q133" s="9"/>
      <c r="R133" s="9"/>
      <c r="S133" s="44"/>
      <c r="T133" s="44"/>
      <c r="U133" s="44"/>
      <c r="V133" s="44"/>
      <c r="W133" s="44"/>
      <c r="X133" s="44"/>
      <c r="Y133" s="44"/>
      <c r="Z133" s="44"/>
    </row>
    <row r="134" spans="1:26">
      <c r="A134" s="9"/>
      <c r="B134" s="9"/>
      <c r="C134" s="9"/>
      <c r="D134" s="9"/>
      <c r="E134" s="35"/>
      <c r="F134" s="35"/>
      <c r="G134" s="258"/>
      <c r="H134" s="267"/>
      <c r="I134" s="262"/>
      <c r="J134" s="262"/>
      <c r="K134" s="267"/>
      <c r="L134" s="262"/>
      <c r="M134" s="115"/>
      <c r="N134" s="9"/>
      <c r="O134" s="9"/>
      <c r="P134" s="9"/>
      <c r="Q134" s="9"/>
      <c r="R134" s="9"/>
      <c r="S134" s="44"/>
      <c r="T134" s="44"/>
      <c r="U134" s="44"/>
      <c r="V134" s="44"/>
      <c r="W134" s="44"/>
      <c r="X134" s="44"/>
      <c r="Y134" s="44"/>
      <c r="Z134" s="44"/>
    </row>
    <row r="135" spans="1:26">
      <c r="A135" s="9"/>
      <c r="B135" s="9"/>
      <c r="C135" s="9"/>
      <c r="D135" s="9"/>
      <c r="E135" s="35"/>
      <c r="F135" s="35"/>
      <c r="G135" s="258"/>
      <c r="H135" s="267"/>
      <c r="I135" s="262"/>
      <c r="J135" s="262"/>
      <c r="K135" s="267"/>
      <c r="L135" s="262"/>
      <c r="M135" s="115"/>
      <c r="N135" s="9"/>
      <c r="O135" s="9"/>
      <c r="P135" s="9"/>
      <c r="Q135" s="9"/>
      <c r="R135" s="9"/>
      <c r="S135" s="44"/>
      <c r="T135" s="44"/>
      <c r="U135" s="44"/>
      <c r="V135" s="44"/>
      <c r="W135" s="44"/>
      <c r="X135" s="44"/>
      <c r="Y135" s="44"/>
      <c r="Z135" s="44"/>
    </row>
    <row r="136" spans="1:26">
      <c r="A136" s="9"/>
      <c r="B136" s="9"/>
      <c r="C136" s="9"/>
      <c r="D136" s="9"/>
      <c r="E136" s="35"/>
      <c r="F136" s="35"/>
      <c r="G136" s="258"/>
      <c r="H136" s="267"/>
      <c r="I136" s="262"/>
      <c r="J136" s="262"/>
      <c r="K136" s="267"/>
      <c r="L136" s="262"/>
      <c r="M136" s="115"/>
      <c r="N136" s="9"/>
      <c r="O136" s="9"/>
      <c r="P136" s="9"/>
      <c r="Q136" s="9"/>
      <c r="R136" s="9"/>
      <c r="S136" s="44"/>
      <c r="T136" s="44"/>
      <c r="U136" s="44"/>
      <c r="V136" s="44"/>
      <c r="W136" s="44"/>
      <c r="X136" s="44"/>
      <c r="Y136" s="44"/>
      <c r="Z136" s="44"/>
    </row>
    <row r="137" spans="1:26">
      <c r="A137" s="9"/>
      <c r="B137" s="9"/>
      <c r="C137" s="9"/>
      <c r="D137" s="9"/>
      <c r="E137" s="35"/>
      <c r="F137" s="35"/>
      <c r="G137" s="258"/>
      <c r="H137" s="267"/>
      <c r="I137" s="262"/>
      <c r="J137" s="262"/>
      <c r="K137" s="267"/>
      <c r="L137" s="262"/>
      <c r="M137" s="115"/>
      <c r="N137" s="9"/>
      <c r="O137" s="9"/>
      <c r="P137" s="9"/>
      <c r="Q137" s="9"/>
      <c r="R137" s="9"/>
      <c r="S137" s="44"/>
      <c r="T137" s="44"/>
      <c r="U137" s="44"/>
      <c r="V137" s="44"/>
      <c r="W137" s="44"/>
      <c r="X137" s="44"/>
      <c r="Y137" s="44"/>
      <c r="Z137" s="44"/>
    </row>
    <row r="138" spans="1:26">
      <c r="A138" s="9"/>
      <c r="B138" s="9"/>
      <c r="C138" s="9"/>
      <c r="D138" s="9"/>
      <c r="E138" s="35"/>
      <c r="F138" s="35"/>
      <c r="G138" s="258"/>
      <c r="H138" s="267"/>
      <c r="I138" s="262"/>
      <c r="J138" s="262"/>
      <c r="K138" s="267"/>
      <c r="L138" s="262"/>
      <c r="M138" s="115"/>
      <c r="N138" s="9"/>
      <c r="O138" s="9"/>
      <c r="P138" s="9"/>
      <c r="Q138" s="9"/>
      <c r="R138" s="9"/>
      <c r="S138" s="44"/>
      <c r="T138" s="44"/>
      <c r="U138" s="44"/>
      <c r="V138" s="44"/>
      <c r="W138" s="44"/>
      <c r="X138" s="44"/>
      <c r="Y138" s="44"/>
      <c r="Z138" s="44"/>
    </row>
    <row r="139" spans="1:26">
      <c r="A139" s="9"/>
      <c r="B139" s="9"/>
      <c r="C139" s="9"/>
      <c r="D139" s="9"/>
      <c r="E139" s="35"/>
      <c r="F139" s="35"/>
      <c r="G139" s="258"/>
      <c r="H139" s="267"/>
      <c r="I139" s="262"/>
      <c r="J139" s="262"/>
      <c r="K139" s="267"/>
      <c r="L139" s="262"/>
      <c r="M139" s="115"/>
      <c r="N139" s="9"/>
      <c r="O139" s="9"/>
      <c r="P139" s="9"/>
      <c r="Q139" s="9"/>
      <c r="R139" s="9"/>
      <c r="S139" s="44"/>
      <c r="T139" s="44"/>
      <c r="U139" s="44"/>
      <c r="V139" s="44"/>
      <c r="W139" s="44"/>
      <c r="X139" s="44"/>
      <c r="Y139" s="44"/>
      <c r="Z139" s="44"/>
    </row>
    <row r="140" spans="1:26">
      <c r="A140" s="9"/>
      <c r="B140" s="9"/>
      <c r="C140" s="9"/>
      <c r="D140" s="9"/>
      <c r="E140" s="35"/>
      <c r="F140" s="35"/>
      <c r="G140" s="258"/>
      <c r="H140" s="267"/>
      <c r="I140" s="262"/>
      <c r="J140" s="262"/>
      <c r="K140" s="267"/>
      <c r="L140" s="262"/>
      <c r="M140" s="115"/>
      <c r="N140" s="9"/>
      <c r="O140" s="9"/>
      <c r="P140" s="9"/>
      <c r="Q140" s="9"/>
      <c r="R140" s="9"/>
      <c r="S140" s="44"/>
      <c r="T140" s="44"/>
      <c r="U140" s="44"/>
      <c r="V140" s="44"/>
      <c r="W140" s="44"/>
      <c r="X140" s="44"/>
      <c r="Y140" s="44"/>
      <c r="Z140" s="44"/>
    </row>
    <row r="141" spans="1:26">
      <c r="A141" s="9"/>
      <c r="B141" s="9"/>
      <c r="C141" s="9"/>
      <c r="D141" s="9"/>
      <c r="E141" s="35"/>
      <c r="F141" s="35"/>
      <c r="G141" s="258"/>
      <c r="H141" s="267"/>
      <c r="I141" s="262"/>
      <c r="J141" s="262"/>
      <c r="K141" s="267"/>
      <c r="L141" s="262"/>
      <c r="M141" s="115"/>
      <c r="N141" s="9"/>
      <c r="O141" s="9"/>
      <c r="P141" s="9"/>
      <c r="Q141" s="9"/>
      <c r="R141" s="9"/>
      <c r="S141" s="44"/>
      <c r="T141" s="44"/>
      <c r="U141" s="44"/>
      <c r="V141" s="44"/>
      <c r="W141" s="44"/>
      <c r="X141" s="44"/>
      <c r="Y141" s="44"/>
      <c r="Z141" s="44"/>
    </row>
    <row r="142" spans="1:26">
      <c r="A142" s="9"/>
      <c r="B142" s="9"/>
      <c r="C142" s="9"/>
      <c r="D142" s="9"/>
      <c r="E142" s="35"/>
      <c r="F142" s="35"/>
      <c r="G142" s="258"/>
      <c r="H142" s="267"/>
      <c r="I142" s="262"/>
      <c r="J142" s="262"/>
      <c r="K142" s="267"/>
      <c r="L142" s="262"/>
      <c r="M142" s="115"/>
      <c r="N142" s="9"/>
      <c r="O142" s="9"/>
      <c r="P142" s="9"/>
      <c r="Q142" s="9"/>
      <c r="R142" s="9"/>
      <c r="S142" s="44"/>
      <c r="T142" s="44"/>
      <c r="U142" s="44"/>
      <c r="V142" s="44"/>
      <c r="W142" s="44"/>
      <c r="X142" s="44"/>
      <c r="Y142" s="44"/>
      <c r="Z142" s="44"/>
    </row>
    <row r="143" spans="1:26">
      <c r="A143" s="9"/>
      <c r="B143" s="9"/>
      <c r="C143" s="9"/>
      <c r="D143" s="9"/>
      <c r="E143" s="35"/>
      <c r="F143" s="35"/>
      <c r="G143" s="258"/>
      <c r="H143" s="267"/>
      <c r="I143" s="262"/>
      <c r="J143" s="262"/>
      <c r="K143" s="267"/>
      <c r="L143" s="262"/>
      <c r="M143" s="115"/>
      <c r="N143" s="9"/>
      <c r="O143" s="9"/>
      <c r="P143" s="9"/>
      <c r="Q143" s="9"/>
      <c r="R143" s="9"/>
      <c r="S143" s="44"/>
      <c r="T143" s="44"/>
      <c r="U143" s="44"/>
      <c r="V143" s="44"/>
      <c r="W143" s="44"/>
      <c r="X143" s="44"/>
      <c r="Y143" s="44"/>
      <c r="Z143" s="44"/>
    </row>
    <row r="144" spans="1:26">
      <c r="A144" s="9"/>
      <c r="B144" s="9"/>
      <c r="C144" s="9"/>
      <c r="D144" s="9"/>
      <c r="E144" s="35"/>
      <c r="F144" s="35"/>
      <c r="G144" s="258"/>
      <c r="H144" s="267"/>
      <c r="I144" s="262"/>
      <c r="J144" s="262"/>
      <c r="K144" s="267"/>
      <c r="L144" s="262"/>
      <c r="M144" s="115"/>
      <c r="N144" s="9"/>
      <c r="O144" s="9"/>
      <c r="P144" s="9"/>
      <c r="Q144" s="9"/>
      <c r="R144" s="9"/>
      <c r="S144" s="44"/>
      <c r="T144" s="44"/>
      <c r="U144" s="44"/>
      <c r="V144" s="44"/>
      <c r="W144" s="44"/>
      <c r="X144" s="44"/>
      <c r="Y144" s="44"/>
      <c r="Z144" s="44"/>
    </row>
    <row r="145" spans="1:26">
      <c r="A145" s="9"/>
      <c r="B145" s="9"/>
      <c r="C145" s="9"/>
      <c r="D145" s="9"/>
      <c r="E145" s="35"/>
      <c r="F145" s="35"/>
      <c r="G145" s="258"/>
      <c r="H145" s="267"/>
      <c r="I145" s="262"/>
      <c r="J145" s="262"/>
      <c r="K145" s="267"/>
      <c r="L145" s="262"/>
      <c r="M145" s="115"/>
      <c r="N145" s="9"/>
      <c r="O145" s="9"/>
      <c r="P145" s="9"/>
      <c r="Q145" s="9"/>
      <c r="R145" s="9"/>
      <c r="S145" s="44"/>
      <c r="T145" s="44"/>
      <c r="U145" s="44"/>
      <c r="V145" s="44"/>
      <c r="W145" s="44"/>
      <c r="X145" s="44"/>
      <c r="Y145" s="44"/>
      <c r="Z145" s="44"/>
    </row>
    <row r="146" spans="1:26">
      <c r="A146" s="9"/>
      <c r="B146" s="9"/>
      <c r="C146" s="9"/>
      <c r="D146" s="9"/>
      <c r="E146" s="35"/>
      <c r="F146" s="35"/>
      <c r="G146" s="258"/>
      <c r="H146" s="267"/>
      <c r="I146" s="262"/>
      <c r="J146" s="262"/>
      <c r="K146" s="267"/>
      <c r="L146" s="262"/>
      <c r="M146" s="115"/>
      <c r="N146" s="9"/>
      <c r="O146" s="9"/>
      <c r="P146" s="9"/>
      <c r="Q146" s="9"/>
      <c r="R146" s="9"/>
      <c r="S146" s="44"/>
      <c r="T146" s="44"/>
      <c r="U146" s="44"/>
      <c r="V146" s="44"/>
      <c r="W146" s="44"/>
      <c r="X146" s="44"/>
      <c r="Y146" s="44"/>
      <c r="Z146" s="44"/>
    </row>
    <row r="147" spans="1:26">
      <c r="A147" s="9"/>
      <c r="B147" s="9"/>
      <c r="C147" s="9"/>
      <c r="D147" s="9"/>
      <c r="E147" s="35"/>
      <c r="F147" s="35"/>
      <c r="G147" s="258"/>
      <c r="H147" s="267"/>
      <c r="I147" s="262"/>
      <c r="J147" s="262"/>
      <c r="K147" s="267"/>
      <c r="L147" s="262"/>
      <c r="M147" s="115"/>
      <c r="N147" s="9"/>
      <c r="O147" s="9"/>
      <c r="P147" s="9"/>
      <c r="Q147" s="9"/>
      <c r="R147" s="9"/>
      <c r="S147" s="44"/>
      <c r="T147" s="44"/>
      <c r="U147" s="44"/>
      <c r="V147" s="44"/>
      <c r="W147" s="44"/>
      <c r="X147" s="44"/>
      <c r="Y147" s="44"/>
      <c r="Z147" s="44"/>
    </row>
    <row r="148" spans="1:26">
      <c r="A148" s="9"/>
      <c r="B148" s="9"/>
      <c r="C148" s="9"/>
      <c r="D148" s="9"/>
      <c r="E148" s="35"/>
      <c r="F148" s="35"/>
      <c r="G148" s="258"/>
      <c r="H148" s="267"/>
      <c r="I148" s="262"/>
      <c r="J148" s="262"/>
      <c r="K148" s="267"/>
      <c r="L148" s="262"/>
      <c r="M148" s="115"/>
      <c r="N148" s="9"/>
      <c r="O148" s="9"/>
      <c r="P148" s="9"/>
      <c r="Q148" s="9"/>
      <c r="R148" s="9"/>
      <c r="S148" s="44"/>
      <c r="T148" s="44"/>
      <c r="U148" s="44"/>
      <c r="V148" s="44"/>
      <c r="W148" s="44"/>
      <c r="X148" s="44"/>
      <c r="Y148" s="44"/>
      <c r="Z148" s="44"/>
    </row>
    <row r="149" spans="1:26">
      <c r="A149" s="9"/>
      <c r="B149" s="9"/>
      <c r="C149" s="9"/>
      <c r="D149" s="9"/>
      <c r="E149" s="35"/>
      <c r="F149" s="35"/>
      <c r="G149" s="258"/>
      <c r="H149" s="267"/>
      <c r="I149" s="262"/>
      <c r="J149" s="262"/>
      <c r="K149" s="267"/>
      <c r="L149" s="262"/>
      <c r="M149" s="115"/>
      <c r="N149" s="9"/>
      <c r="O149" s="9"/>
      <c r="P149" s="9"/>
      <c r="Q149" s="9"/>
      <c r="R149" s="9"/>
      <c r="S149" s="44"/>
      <c r="T149" s="44"/>
      <c r="U149" s="44"/>
      <c r="V149" s="44"/>
      <c r="W149" s="44"/>
      <c r="X149" s="44"/>
      <c r="Y149" s="44"/>
      <c r="Z149" s="44"/>
    </row>
    <row r="150" spans="1:26">
      <c r="A150" s="9"/>
      <c r="B150" s="9"/>
      <c r="C150" s="9"/>
      <c r="D150" s="9"/>
      <c r="E150" s="35"/>
      <c r="F150" s="35"/>
      <c r="G150" s="258"/>
      <c r="H150" s="267"/>
      <c r="I150" s="262"/>
      <c r="J150" s="262"/>
      <c r="K150" s="267"/>
      <c r="L150" s="262"/>
      <c r="M150" s="115"/>
      <c r="N150" s="9"/>
      <c r="O150" s="9"/>
      <c r="P150" s="9"/>
      <c r="Q150" s="9"/>
      <c r="R150" s="9"/>
      <c r="S150" s="44"/>
      <c r="T150" s="44"/>
      <c r="U150" s="44"/>
      <c r="V150" s="44"/>
      <c r="W150" s="44"/>
      <c r="X150" s="44"/>
      <c r="Y150" s="44"/>
      <c r="Z150" s="44"/>
    </row>
    <row r="151" spans="1:26">
      <c r="A151" s="9"/>
      <c r="B151" s="9"/>
      <c r="C151" s="9"/>
      <c r="D151" s="9"/>
      <c r="E151" s="35"/>
      <c r="F151" s="35"/>
      <c r="G151" s="258"/>
      <c r="H151" s="267"/>
      <c r="I151" s="262"/>
      <c r="J151" s="262"/>
      <c r="K151" s="267"/>
      <c r="L151" s="262"/>
      <c r="M151" s="115"/>
      <c r="N151" s="9"/>
      <c r="O151" s="9"/>
      <c r="P151" s="9"/>
      <c r="Q151" s="9"/>
      <c r="R151" s="9"/>
      <c r="S151" s="44"/>
      <c r="T151" s="44"/>
      <c r="U151" s="44"/>
      <c r="V151" s="44"/>
      <c r="W151" s="44"/>
      <c r="X151" s="44"/>
      <c r="Y151" s="44"/>
      <c r="Z151" s="44"/>
    </row>
    <row r="152" spans="1:26">
      <c r="A152" s="9"/>
      <c r="B152" s="9"/>
      <c r="C152" s="9"/>
      <c r="D152" s="9"/>
      <c r="E152" s="35"/>
      <c r="F152" s="35"/>
      <c r="G152" s="258"/>
      <c r="H152" s="267"/>
      <c r="I152" s="262"/>
      <c r="J152" s="262"/>
      <c r="K152" s="267"/>
      <c r="L152" s="262"/>
      <c r="M152" s="115"/>
      <c r="N152" s="9"/>
      <c r="O152" s="9"/>
      <c r="P152" s="9"/>
      <c r="Q152" s="9"/>
      <c r="R152" s="9"/>
      <c r="S152" s="44"/>
      <c r="T152" s="44"/>
      <c r="U152" s="44"/>
      <c r="V152" s="44"/>
      <c r="W152" s="44"/>
      <c r="X152" s="44"/>
      <c r="Y152" s="44"/>
      <c r="Z152" s="44"/>
    </row>
    <row r="153" spans="1:26">
      <c r="A153" s="9"/>
      <c r="B153" s="9"/>
      <c r="C153" s="9"/>
      <c r="D153" s="9"/>
      <c r="E153" s="35"/>
      <c r="F153" s="35"/>
      <c r="G153" s="258"/>
      <c r="H153" s="267"/>
      <c r="I153" s="262"/>
      <c r="J153" s="262"/>
      <c r="K153" s="267"/>
      <c r="L153" s="262"/>
      <c r="M153" s="115"/>
      <c r="N153" s="9"/>
      <c r="O153" s="9"/>
      <c r="P153" s="9"/>
      <c r="Q153" s="9"/>
      <c r="R153" s="9"/>
      <c r="S153" s="44"/>
      <c r="T153" s="44"/>
      <c r="U153" s="44"/>
      <c r="V153" s="44"/>
      <c r="W153" s="44"/>
      <c r="X153" s="44"/>
      <c r="Y153" s="44"/>
      <c r="Z153" s="44"/>
    </row>
    <row r="154" spans="1:26">
      <c r="A154" s="9"/>
      <c r="B154" s="9"/>
      <c r="C154" s="9"/>
      <c r="D154" s="9"/>
      <c r="E154" s="35"/>
      <c r="F154" s="35"/>
      <c r="G154" s="258"/>
      <c r="H154" s="267"/>
      <c r="I154" s="262"/>
      <c r="J154" s="262"/>
      <c r="K154" s="267"/>
      <c r="L154" s="262"/>
      <c r="M154" s="115"/>
      <c r="N154" s="9"/>
      <c r="O154" s="9"/>
      <c r="P154" s="9"/>
      <c r="Q154" s="9"/>
      <c r="R154" s="9"/>
      <c r="S154" s="44"/>
      <c r="T154" s="44"/>
      <c r="U154" s="44"/>
      <c r="V154" s="44"/>
      <c r="W154" s="44"/>
      <c r="X154" s="44"/>
      <c r="Y154" s="44"/>
      <c r="Z154" s="44"/>
    </row>
    <row r="155" spans="1:26">
      <c r="A155" s="9"/>
      <c r="B155" s="9"/>
      <c r="C155" s="9"/>
      <c r="D155" s="9"/>
      <c r="E155" s="35"/>
      <c r="F155" s="35"/>
      <c r="G155" s="258"/>
      <c r="H155" s="267"/>
      <c r="I155" s="262"/>
      <c r="J155" s="262"/>
      <c r="K155" s="267"/>
      <c r="L155" s="262"/>
      <c r="M155" s="115"/>
      <c r="N155" s="9"/>
      <c r="O155" s="9"/>
      <c r="P155" s="9"/>
      <c r="Q155" s="9"/>
      <c r="R155" s="9"/>
      <c r="S155" s="44"/>
      <c r="T155" s="44"/>
      <c r="U155" s="44"/>
      <c r="V155" s="44"/>
      <c r="W155" s="44"/>
      <c r="X155" s="44"/>
      <c r="Y155" s="44"/>
      <c r="Z155" s="44"/>
    </row>
    <row r="156" spans="1:26">
      <c r="A156" s="9"/>
      <c r="B156" s="9"/>
      <c r="C156" s="9"/>
      <c r="D156" s="9"/>
      <c r="E156" s="35"/>
      <c r="F156" s="35"/>
      <c r="G156" s="258"/>
      <c r="H156" s="267"/>
      <c r="I156" s="262"/>
      <c r="J156" s="262"/>
      <c r="K156" s="267"/>
      <c r="L156" s="262"/>
      <c r="M156" s="115"/>
      <c r="N156" s="9"/>
      <c r="O156" s="9"/>
      <c r="P156" s="9"/>
      <c r="Q156" s="9"/>
      <c r="R156" s="9"/>
      <c r="S156" s="44"/>
      <c r="T156" s="44"/>
      <c r="U156" s="44"/>
      <c r="V156" s="44"/>
      <c r="W156" s="44"/>
      <c r="X156" s="44"/>
      <c r="Y156" s="44"/>
      <c r="Z156" s="44"/>
    </row>
    <row r="157" spans="1:26">
      <c r="A157" s="9"/>
      <c r="B157" s="9"/>
      <c r="C157" s="9"/>
      <c r="D157" s="9"/>
      <c r="E157" s="35"/>
      <c r="F157" s="35"/>
      <c r="G157" s="258"/>
      <c r="H157" s="267"/>
      <c r="I157" s="262"/>
      <c r="J157" s="262"/>
      <c r="K157" s="267"/>
      <c r="L157" s="262"/>
      <c r="M157" s="115"/>
      <c r="N157" s="9"/>
      <c r="O157" s="9"/>
      <c r="P157" s="9"/>
      <c r="Q157" s="9"/>
      <c r="R157" s="9"/>
      <c r="S157" s="44"/>
      <c r="T157" s="44"/>
      <c r="U157" s="44"/>
      <c r="V157" s="44"/>
      <c r="W157" s="44"/>
      <c r="X157" s="44"/>
      <c r="Y157" s="44"/>
      <c r="Z157" s="44"/>
    </row>
    <row r="158" spans="1:26">
      <c r="A158" s="9"/>
      <c r="B158" s="9"/>
      <c r="C158" s="9"/>
      <c r="D158" s="9"/>
      <c r="E158" s="35"/>
      <c r="F158" s="35"/>
      <c r="G158" s="258"/>
      <c r="H158" s="267"/>
      <c r="I158" s="262"/>
      <c r="J158" s="262"/>
      <c r="K158" s="267"/>
      <c r="L158" s="262"/>
      <c r="M158" s="115"/>
      <c r="N158" s="9"/>
      <c r="O158" s="9"/>
      <c r="P158" s="9"/>
      <c r="Q158" s="9"/>
      <c r="R158" s="9"/>
      <c r="S158" s="44"/>
      <c r="T158" s="44"/>
      <c r="U158" s="44"/>
      <c r="V158" s="44"/>
      <c r="W158" s="44"/>
      <c r="X158" s="44"/>
      <c r="Y158" s="44"/>
      <c r="Z158" s="44"/>
    </row>
    <row r="159" spans="1:26">
      <c r="A159" s="9"/>
      <c r="B159" s="9"/>
      <c r="C159" s="9"/>
      <c r="D159" s="9"/>
      <c r="E159" s="35"/>
      <c r="F159" s="35"/>
      <c r="G159" s="258"/>
      <c r="H159" s="267"/>
      <c r="I159" s="262"/>
      <c r="J159" s="262"/>
      <c r="K159" s="267"/>
      <c r="L159" s="262"/>
      <c r="M159" s="115"/>
      <c r="N159" s="9"/>
      <c r="O159" s="9"/>
      <c r="P159" s="9"/>
      <c r="Q159" s="9"/>
      <c r="R159" s="9"/>
      <c r="S159" s="44"/>
      <c r="T159" s="44"/>
      <c r="U159" s="44"/>
      <c r="V159" s="44"/>
      <c r="W159" s="44"/>
      <c r="X159" s="44"/>
      <c r="Y159" s="44"/>
      <c r="Z159" s="44"/>
    </row>
    <row r="160" spans="1:26">
      <c r="A160" s="9"/>
      <c r="B160" s="9"/>
      <c r="C160" s="9"/>
      <c r="D160" s="9"/>
      <c r="E160" s="35"/>
      <c r="F160" s="35"/>
      <c r="G160" s="258"/>
      <c r="H160" s="267"/>
      <c r="I160" s="262"/>
      <c r="J160" s="262"/>
      <c r="K160" s="267"/>
      <c r="L160" s="262"/>
      <c r="M160" s="115"/>
      <c r="N160" s="9"/>
      <c r="O160" s="9"/>
      <c r="P160" s="9"/>
      <c r="Q160" s="9"/>
      <c r="R160" s="9"/>
      <c r="S160" s="44"/>
      <c r="T160" s="44"/>
      <c r="U160" s="44"/>
      <c r="V160" s="44"/>
      <c r="W160" s="44"/>
      <c r="X160" s="44"/>
      <c r="Y160" s="44"/>
      <c r="Z160" s="44"/>
    </row>
    <row r="161" spans="1:26">
      <c r="A161" s="9"/>
      <c r="B161" s="9"/>
      <c r="C161" s="9"/>
      <c r="D161" s="9"/>
      <c r="E161" s="35"/>
      <c r="F161" s="35"/>
      <c r="G161" s="258"/>
      <c r="H161" s="267"/>
      <c r="I161" s="262"/>
      <c r="J161" s="262"/>
      <c r="K161" s="267"/>
      <c r="L161" s="262"/>
      <c r="M161" s="115"/>
      <c r="N161" s="9"/>
      <c r="O161" s="9"/>
      <c r="P161" s="9"/>
      <c r="Q161" s="9"/>
      <c r="R161" s="9"/>
      <c r="S161" s="44"/>
      <c r="T161" s="44"/>
      <c r="U161" s="44"/>
      <c r="V161" s="44"/>
      <c r="W161" s="44"/>
      <c r="X161" s="44"/>
      <c r="Y161" s="44"/>
      <c r="Z161" s="44"/>
    </row>
    <row r="162" spans="1:26">
      <c r="A162" s="9"/>
      <c r="B162" s="9"/>
      <c r="C162" s="9"/>
      <c r="D162" s="9"/>
      <c r="E162" s="35"/>
      <c r="F162" s="35"/>
      <c r="G162" s="258"/>
      <c r="H162" s="267"/>
      <c r="I162" s="262"/>
      <c r="J162" s="262"/>
      <c r="K162" s="267"/>
      <c r="L162" s="262"/>
      <c r="M162" s="115"/>
      <c r="N162" s="9"/>
      <c r="O162" s="9"/>
      <c r="P162" s="9"/>
      <c r="Q162" s="9"/>
      <c r="R162" s="9"/>
      <c r="S162" s="44"/>
      <c r="T162" s="44"/>
      <c r="U162" s="44"/>
      <c r="V162" s="44"/>
      <c r="W162" s="44"/>
      <c r="X162" s="44"/>
      <c r="Y162" s="44"/>
      <c r="Z162" s="44"/>
    </row>
    <row r="163" spans="1:26">
      <c r="A163" s="9"/>
      <c r="B163" s="9"/>
      <c r="C163" s="9"/>
      <c r="D163" s="9"/>
      <c r="E163" s="35"/>
      <c r="F163" s="35"/>
      <c r="G163" s="258"/>
      <c r="H163" s="267"/>
      <c r="I163" s="262"/>
      <c r="J163" s="262"/>
      <c r="K163" s="267"/>
      <c r="L163" s="262"/>
      <c r="M163" s="115"/>
      <c r="N163" s="9"/>
      <c r="O163" s="9"/>
      <c r="P163" s="9"/>
      <c r="Q163" s="9"/>
      <c r="R163" s="9"/>
      <c r="S163" s="44"/>
      <c r="T163" s="44"/>
      <c r="U163" s="44"/>
      <c r="V163" s="44"/>
      <c r="W163" s="44"/>
      <c r="X163" s="44"/>
      <c r="Y163" s="44"/>
      <c r="Z163" s="44"/>
    </row>
    <row r="164" spans="1:26">
      <c r="A164" s="9"/>
      <c r="B164" s="9"/>
      <c r="C164" s="9"/>
      <c r="D164" s="9"/>
      <c r="E164" s="35"/>
      <c r="F164" s="35"/>
      <c r="G164" s="258"/>
      <c r="H164" s="267"/>
      <c r="I164" s="262"/>
      <c r="J164" s="262"/>
      <c r="K164" s="267"/>
      <c r="L164" s="262"/>
      <c r="M164" s="115"/>
      <c r="N164" s="9"/>
      <c r="O164" s="9"/>
      <c r="P164" s="9"/>
      <c r="Q164" s="9"/>
      <c r="R164" s="9"/>
      <c r="S164" s="44"/>
      <c r="T164" s="44"/>
      <c r="U164" s="44"/>
      <c r="V164" s="44"/>
      <c r="W164" s="44"/>
      <c r="X164" s="44"/>
      <c r="Y164" s="44"/>
      <c r="Z164" s="44"/>
    </row>
    <row r="165" spans="1:26">
      <c r="A165" s="9"/>
      <c r="B165" s="9"/>
      <c r="C165" s="9"/>
      <c r="D165" s="9"/>
      <c r="E165" s="35"/>
      <c r="F165" s="35"/>
      <c r="G165" s="258"/>
      <c r="H165" s="267"/>
      <c r="I165" s="262"/>
      <c r="J165" s="262"/>
      <c r="K165" s="267"/>
      <c r="L165" s="262"/>
      <c r="M165" s="115"/>
      <c r="N165" s="9"/>
      <c r="O165" s="9"/>
      <c r="P165" s="9"/>
      <c r="Q165" s="9"/>
      <c r="R165" s="9"/>
      <c r="S165" s="44"/>
      <c r="T165" s="44"/>
      <c r="U165" s="44"/>
      <c r="V165" s="44"/>
      <c r="W165" s="44"/>
      <c r="X165" s="44"/>
      <c r="Y165" s="44"/>
      <c r="Z165" s="44"/>
    </row>
    <row r="166" spans="1:26">
      <c r="A166" s="9"/>
      <c r="B166" s="9"/>
      <c r="C166" s="9"/>
      <c r="D166" s="9"/>
      <c r="E166" s="35"/>
      <c r="F166" s="35"/>
      <c r="G166" s="258"/>
      <c r="H166" s="267"/>
      <c r="I166" s="262"/>
      <c r="J166" s="262"/>
      <c r="K166" s="267"/>
      <c r="L166" s="262"/>
      <c r="M166" s="115"/>
      <c r="N166" s="9"/>
      <c r="O166" s="9"/>
      <c r="P166" s="9"/>
      <c r="Q166" s="9"/>
      <c r="R166" s="9"/>
      <c r="S166" s="44"/>
      <c r="T166" s="44"/>
      <c r="U166" s="44"/>
      <c r="V166" s="44"/>
      <c r="W166" s="44"/>
      <c r="X166" s="44"/>
      <c r="Y166" s="44"/>
      <c r="Z166" s="44"/>
    </row>
    <row r="167" spans="1:26">
      <c r="A167" s="9"/>
      <c r="B167" s="9"/>
      <c r="C167" s="9"/>
      <c r="D167" s="9"/>
      <c r="E167" s="35"/>
      <c r="F167" s="35"/>
      <c r="G167" s="258"/>
      <c r="H167" s="267"/>
      <c r="I167" s="262"/>
      <c r="J167" s="262"/>
      <c r="K167" s="267"/>
      <c r="L167" s="262"/>
      <c r="M167" s="115"/>
      <c r="N167" s="9"/>
      <c r="O167" s="9"/>
      <c r="P167" s="9"/>
      <c r="Q167" s="9"/>
      <c r="R167" s="9"/>
      <c r="S167" s="44"/>
      <c r="T167" s="44"/>
      <c r="U167" s="44"/>
      <c r="V167" s="44"/>
      <c r="W167" s="44"/>
      <c r="X167" s="44"/>
      <c r="Y167" s="44"/>
      <c r="Z167" s="44"/>
    </row>
    <row r="168" spans="1:26">
      <c r="A168" s="9"/>
      <c r="B168" s="9"/>
      <c r="C168" s="9"/>
      <c r="D168" s="9"/>
      <c r="E168" s="35"/>
      <c r="F168" s="35"/>
      <c r="G168" s="258"/>
      <c r="H168" s="267"/>
      <c r="I168" s="262"/>
      <c r="J168" s="262"/>
      <c r="K168" s="267"/>
      <c r="L168" s="262"/>
      <c r="M168" s="115"/>
      <c r="N168" s="9"/>
      <c r="O168" s="9"/>
      <c r="P168" s="9"/>
      <c r="Q168" s="9"/>
      <c r="R168" s="9"/>
      <c r="S168" s="44"/>
      <c r="T168" s="44"/>
      <c r="U168" s="44"/>
      <c r="V168" s="44"/>
      <c r="W168" s="44"/>
      <c r="X168" s="44"/>
      <c r="Y168" s="44"/>
      <c r="Z168" s="44"/>
    </row>
    <row r="169" spans="1:26">
      <c r="A169" s="9"/>
      <c r="B169" s="9"/>
      <c r="C169" s="9"/>
      <c r="D169" s="9"/>
      <c r="E169" s="35"/>
      <c r="F169" s="35"/>
      <c r="G169" s="258"/>
      <c r="H169" s="267"/>
      <c r="I169" s="262"/>
      <c r="J169" s="262"/>
      <c r="K169" s="267"/>
      <c r="L169" s="262"/>
      <c r="M169" s="115"/>
      <c r="N169" s="9"/>
      <c r="O169" s="9"/>
      <c r="P169" s="9"/>
      <c r="Q169" s="9"/>
      <c r="R169" s="9"/>
      <c r="S169" s="44"/>
      <c r="T169" s="44"/>
      <c r="U169" s="44"/>
      <c r="V169" s="44"/>
      <c r="W169" s="44"/>
      <c r="X169" s="44"/>
      <c r="Y169" s="44"/>
      <c r="Z169" s="44"/>
    </row>
    <row r="170" spans="1:26">
      <c r="A170" s="9"/>
      <c r="B170" s="9"/>
      <c r="C170" s="9"/>
      <c r="D170" s="9"/>
      <c r="E170" s="35"/>
      <c r="F170" s="35"/>
      <c r="G170" s="258"/>
      <c r="H170" s="267"/>
      <c r="I170" s="262"/>
      <c r="J170" s="262"/>
      <c r="K170" s="267"/>
      <c r="L170" s="262"/>
      <c r="M170" s="115"/>
      <c r="N170" s="9"/>
      <c r="O170" s="9"/>
      <c r="P170" s="9"/>
      <c r="Q170" s="9"/>
      <c r="R170" s="9"/>
      <c r="S170" s="44"/>
      <c r="T170" s="44"/>
      <c r="U170" s="44"/>
      <c r="V170" s="44"/>
      <c r="W170" s="44"/>
      <c r="X170" s="44"/>
      <c r="Y170" s="44"/>
      <c r="Z170" s="44"/>
    </row>
    <row r="171" spans="1:26">
      <c r="A171" s="9"/>
      <c r="B171" s="9"/>
      <c r="C171" s="9"/>
      <c r="D171" s="9"/>
      <c r="E171" s="35"/>
      <c r="F171" s="35"/>
      <c r="G171" s="258"/>
      <c r="H171" s="267"/>
      <c r="I171" s="262"/>
      <c r="J171" s="262"/>
      <c r="K171" s="267"/>
      <c r="L171" s="262"/>
      <c r="M171" s="115"/>
      <c r="N171" s="9"/>
      <c r="O171" s="9"/>
      <c r="P171" s="9"/>
      <c r="Q171" s="9"/>
      <c r="R171" s="9"/>
      <c r="S171" s="44"/>
      <c r="T171" s="44"/>
      <c r="U171" s="44"/>
      <c r="V171" s="44"/>
      <c r="W171" s="44"/>
      <c r="X171" s="44"/>
      <c r="Y171" s="44"/>
      <c r="Z171" s="44"/>
    </row>
    <row r="172" spans="1:26">
      <c r="A172" s="9"/>
      <c r="B172" s="9"/>
      <c r="C172" s="9"/>
      <c r="D172" s="9"/>
      <c r="E172" s="35"/>
      <c r="F172" s="35"/>
      <c r="G172" s="258"/>
      <c r="H172" s="267"/>
      <c r="I172" s="262"/>
      <c r="J172" s="262"/>
      <c r="K172" s="267"/>
      <c r="L172" s="262"/>
      <c r="M172" s="115"/>
      <c r="N172" s="9"/>
      <c r="O172" s="9"/>
      <c r="P172" s="9"/>
      <c r="Q172" s="9"/>
      <c r="R172" s="9"/>
      <c r="S172" s="44"/>
      <c r="T172" s="44"/>
      <c r="U172" s="44"/>
      <c r="V172" s="44"/>
      <c r="W172" s="44"/>
      <c r="X172" s="44"/>
      <c r="Y172" s="44"/>
      <c r="Z172" s="44"/>
    </row>
    <row r="173" spans="1:26">
      <c r="A173" s="9"/>
      <c r="B173" s="9"/>
      <c r="C173" s="9"/>
      <c r="D173" s="9"/>
      <c r="E173" s="35"/>
      <c r="F173" s="35"/>
      <c r="G173" s="258"/>
      <c r="H173" s="267"/>
      <c r="I173" s="262"/>
      <c r="J173" s="262"/>
      <c r="K173" s="267"/>
      <c r="L173" s="262"/>
      <c r="M173" s="115"/>
      <c r="N173" s="9"/>
      <c r="O173" s="9"/>
      <c r="P173" s="9"/>
      <c r="Q173" s="9"/>
      <c r="R173" s="9"/>
      <c r="S173" s="44"/>
      <c r="T173" s="44"/>
      <c r="U173" s="44"/>
      <c r="V173" s="44"/>
      <c r="W173" s="44"/>
      <c r="X173" s="44"/>
      <c r="Y173" s="44"/>
      <c r="Z173" s="44"/>
    </row>
    <row r="174" spans="1:26">
      <c r="A174" s="9"/>
      <c r="B174" s="9"/>
      <c r="C174" s="9"/>
      <c r="D174" s="9"/>
      <c r="E174" s="35"/>
      <c r="F174" s="35"/>
      <c r="G174" s="258"/>
      <c r="H174" s="267"/>
      <c r="I174" s="262"/>
      <c r="J174" s="262"/>
      <c r="K174" s="267"/>
      <c r="L174" s="262"/>
      <c r="M174" s="115"/>
      <c r="N174" s="9"/>
      <c r="O174" s="9"/>
      <c r="P174" s="9"/>
      <c r="Q174" s="9"/>
      <c r="R174" s="9"/>
      <c r="S174" s="44"/>
      <c r="T174" s="44"/>
      <c r="U174" s="44"/>
      <c r="V174" s="44"/>
      <c r="W174" s="44"/>
      <c r="X174" s="44"/>
      <c r="Y174" s="44"/>
      <c r="Z174" s="44"/>
    </row>
    <row r="175" spans="1:26">
      <c r="A175" s="9"/>
      <c r="B175" s="9"/>
      <c r="C175" s="9"/>
      <c r="D175" s="9"/>
      <c r="E175" s="35"/>
      <c r="F175" s="35"/>
      <c r="G175" s="258"/>
      <c r="H175" s="267"/>
      <c r="I175" s="262"/>
      <c r="J175" s="262"/>
      <c r="K175" s="267"/>
      <c r="L175" s="262"/>
      <c r="M175" s="115"/>
      <c r="N175" s="9"/>
      <c r="O175" s="9"/>
      <c r="P175" s="9"/>
      <c r="Q175" s="9"/>
      <c r="R175" s="9"/>
      <c r="S175" s="44"/>
      <c r="T175" s="44"/>
      <c r="U175" s="44"/>
      <c r="V175" s="44"/>
      <c r="W175" s="44"/>
      <c r="X175" s="44"/>
      <c r="Y175" s="44"/>
      <c r="Z175" s="44"/>
    </row>
    <row r="176" spans="1:26">
      <c r="A176" s="9"/>
      <c r="B176" s="9"/>
      <c r="C176" s="9"/>
      <c r="D176" s="9"/>
      <c r="E176" s="35"/>
      <c r="F176" s="35"/>
      <c r="G176" s="258"/>
      <c r="H176" s="267"/>
      <c r="I176" s="262"/>
      <c r="J176" s="262"/>
      <c r="K176" s="267"/>
      <c r="L176" s="262"/>
      <c r="M176" s="115"/>
      <c r="N176" s="9"/>
      <c r="O176" s="9"/>
      <c r="P176" s="9"/>
      <c r="Q176" s="9"/>
      <c r="R176" s="9"/>
      <c r="S176" s="44"/>
      <c r="T176" s="44"/>
      <c r="U176" s="44"/>
      <c r="V176" s="44"/>
      <c r="W176" s="44"/>
      <c r="X176" s="44"/>
      <c r="Y176" s="44"/>
      <c r="Z176" s="44"/>
    </row>
    <row r="177" spans="1:26">
      <c r="A177" s="9"/>
      <c r="B177" s="9"/>
      <c r="C177" s="9"/>
      <c r="D177" s="9"/>
      <c r="E177" s="35"/>
      <c r="F177" s="35"/>
      <c r="G177" s="258"/>
      <c r="H177" s="267"/>
      <c r="I177" s="262"/>
      <c r="J177" s="262"/>
      <c r="K177" s="267"/>
      <c r="L177" s="262"/>
      <c r="M177" s="115"/>
      <c r="N177" s="9"/>
      <c r="O177" s="9"/>
      <c r="P177" s="9"/>
      <c r="Q177" s="9"/>
      <c r="R177" s="9"/>
      <c r="S177" s="44"/>
      <c r="T177" s="44"/>
      <c r="U177" s="44"/>
      <c r="V177" s="44"/>
      <c r="W177" s="44"/>
      <c r="X177" s="44"/>
      <c r="Y177" s="44"/>
      <c r="Z177" s="44"/>
    </row>
    <row r="178" spans="1:26">
      <c r="A178" s="9"/>
      <c r="B178" s="9"/>
      <c r="C178" s="9"/>
      <c r="D178" s="9"/>
      <c r="E178" s="35"/>
      <c r="F178" s="35"/>
      <c r="G178" s="258"/>
      <c r="H178" s="267"/>
      <c r="I178" s="262"/>
      <c r="J178" s="262"/>
      <c r="K178" s="267"/>
      <c r="L178" s="262"/>
      <c r="M178" s="115"/>
      <c r="N178" s="9"/>
      <c r="O178" s="9"/>
      <c r="P178" s="9"/>
      <c r="Q178" s="9"/>
      <c r="R178" s="9"/>
      <c r="S178" s="44"/>
      <c r="T178" s="44"/>
      <c r="U178" s="44"/>
      <c r="V178" s="44"/>
      <c r="W178" s="44"/>
      <c r="X178" s="44"/>
      <c r="Y178" s="44"/>
      <c r="Z178" s="44"/>
    </row>
    <row r="179" spans="1:26">
      <c r="A179" s="9"/>
      <c r="B179" s="9"/>
      <c r="C179" s="9"/>
      <c r="D179" s="9"/>
      <c r="E179" s="35"/>
      <c r="F179" s="35"/>
      <c r="G179" s="258"/>
      <c r="H179" s="267"/>
      <c r="I179" s="262"/>
      <c r="J179" s="262"/>
      <c r="K179" s="267"/>
      <c r="L179" s="262"/>
      <c r="M179" s="115"/>
      <c r="N179" s="9"/>
      <c r="O179" s="9"/>
      <c r="P179" s="9"/>
      <c r="Q179" s="9"/>
      <c r="R179" s="9"/>
      <c r="S179" s="44"/>
      <c r="T179" s="44"/>
      <c r="U179" s="44"/>
      <c r="V179" s="44"/>
      <c r="W179" s="44"/>
      <c r="X179" s="44"/>
      <c r="Y179" s="44"/>
      <c r="Z179" s="44"/>
    </row>
    <row r="180" spans="1:26">
      <c r="A180" s="9"/>
      <c r="B180" s="9"/>
      <c r="C180" s="9"/>
      <c r="D180" s="9"/>
      <c r="E180" s="35"/>
      <c r="F180" s="35"/>
      <c r="G180" s="258"/>
      <c r="H180" s="267"/>
      <c r="I180" s="262"/>
      <c r="J180" s="262"/>
      <c r="K180" s="267"/>
      <c r="L180" s="262"/>
      <c r="M180" s="115"/>
      <c r="N180" s="9"/>
      <c r="O180" s="9"/>
      <c r="P180" s="9"/>
      <c r="Q180" s="9"/>
      <c r="R180" s="9"/>
      <c r="S180" s="44"/>
      <c r="T180" s="44"/>
      <c r="U180" s="44"/>
      <c r="V180" s="44"/>
      <c r="W180" s="44"/>
      <c r="X180" s="44"/>
      <c r="Y180" s="44"/>
      <c r="Z180" s="44"/>
    </row>
    <row r="181" spans="1:26">
      <c r="A181" s="9"/>
      <c r="B181" s="9"/>
      <c r="C181" s="9"/>
      <c r="D181" s="9"/>
      <c r="E181" s="35"/>
      <c r="F181" s="35"/>
      <c r="G181" s="258"/>
      <c r="H181" s="267"/>
      <c r="I181" s="262"/>
      <c r="J181" s="262"/>
      <c r="K181" s="267"/>
      <c r="L181" s="262"/>
      <c r="M181" s="115"/>
      <c r="N181" s="9"/>
      <c r="O181" s="9"/>
      <c r="P181" s="9"/>
      <c r="Q181" s="9"/>
      <c r="R181" s="9"/>
      <c r="S181" s="44"/>
      <c r="T181" s="44"/>
      <c r="U181" s="44"/>
      <c r="V181" s="44"/>
      <c r="W181" s="44"/>
      <c r="X181" s="44"/>
      <c r="Y181" s="44"/>
      <c r="Z181" s="44"/>
    </row>
    <row r="182" spans="1:26">
      <c r="A182" s="9"/>
      <c r="B182" s="9"/>
      <c r="C182" s="9"/>
      <c r="D182" s="9"/>
      <c r="E182" s="35"/>
      <c r="F182" s="35"/>
      <c r="G182" s="258"/>
      <c r="H182" s="267"/>
      <c r="I182" s="262"/>
      <c r="J182" s="262"/>
      <c r="K182" s="267"/>
      <c r="L182" s="262"/>
      <c r="M182" s="115"/>
      <c r="N182" s="9"/>
      <c r="O182" s="9"/>
      <c r="P182" s="9"/>
      <c r="Q182" s="9"/>
      <c r="R182" s="9"/>
      <c r="S182" s="44"/>
      <c r="T182" s="44"/>
      <c r="U182" s="44"/>
      <c r="V182" s="44"/>
      <c r="W182" s="44"/>
      <c r="X182" s="44"/>
      <c r="Y182" s="44"/>
      <c r="Z182" s="44"/>
    </row>
    <row r="183" spans="1:26">
      <c r="A183" s="9"/>
      <c r="B183" s="9"/>
      <c r="C183" s="9"/>
      <c r="D183" s="9"/>
      <c r="E183" s="35"/>
      <c r="F183" s="35"/>
      <c r="G183" s="258"/>
      <c r="H183" s="267"/>
      <c r="I183" s="262"/>
      <c r="J183" s="262"/>
      <c r="K183" s="267"/>
      <c r="L183" s="262"/>
      <c r="M183" s="115"/>
      <c r="N183" s="9"/>
      <c r="O183" s="9"/>
      <c r="P183" s="9"/>
      <c r="Q183" s="9"/>
      <c r="R183" s="9"/>
      <c r="S183" s="44"/>
      <c r="T183" s="44"/>
      <c r="U183" s="44"/>
      <c r="V183" s="44"/>
      <c r="W183" s="44"/>
      <c r="X183" s="44"/>
      <c r="Y183" s="44"/>
      <c r="Z183" s="44"/>
    </row>
    <row r="184" spans="1:26">
      <c r="A184" s="9"/>
      <c r="B184" s="9"/>
      <c r="C184" s="9"/>
      <c r="D184" s="9"/>
      <c r="E184" s="35"/>
      <c r="F184" s="35"/>
      <c r="G184" s="258"/>
      <c r="H184" s="267"/>
      <c r="I184" s="262"/>
      <c r="J184" s="262"/>
      <c r="K184" s="267"/>
      <c r="L184" s="262"/>
      <c r="M184" s="115"/>
      <c r="N184" s="9"/>
      <c r="O184" s="9"/>
      <c r="P184" s="9"/>
      <c r="Q184" s="9"/>
      <c r="R184" s="9"/>
      <c r="S184" s="44"/>
      <c r="T184" s="44"/>
      <c r="U184" s="44"/>
      <c r="V184" s="44"/>
      <c r="W184" s="44"/>
      <c r="X184" s="44"/>
      <c r="Y184" s="44"/>
      <c r="Z184" s="44"/>
    </row>
    <row r="185" spans="1:26">
      <c r="A185" s="9"/>
      <c r="B185" s="9"/>
      <c r="C185" s="9"/>
      <c r="D185" s="9"/>
      <c r="E185" s="35"/>
      <c r="F185" s="35"/>
      <c r="G185" s="258"/>
      <c r="H185" s="267"/>
      <c r="I185" s="262"/>
      <c r="J185" s="262"/>
      <c r="K185" s="267"/>
      <c r="L185" s="262"/>
      <c r="M185" s="115"/>
      <c r="N185" s="9"/>
      <c r="O185" s="9"/>
      <c r="P185" s="9"/>
      <c r="Q185" s="9"/>
      <c r="R185" s="9"/>
      <c r="S185" s="44"/>
      <c r="T185" s="44"/>
      <c r="U185" s="44"/>
      <c r="V185" s="44"/>
      <c r="W185" s="44"/>
      <c r="X185" s="44"/>
      <c r="Y185" s="44"/>
      <c r="Z185" s="44"/>
    </row>
    <row r="186" spans="1:26">
      <c r="A186" s="9"/>
      <c r="B186" s="9"/>
      <c r="C186" s="9"/>
      <c r="D186" s="9"/>
      <c r="E186" s="35"/>
      <c r="F186" s="35"/>
      <c r="G186" s="258"/>
      <c r="H186" s="267"/>
      <c r="I186" s="262"/>
      <c r="J186" s="262"/>
      <c r="K186" s="267"/>
      <c r="L186" s="262"/>
      <c r="M186" s="115"/>
      <c r="N186" s="9"/>
      <c r="O186" s="9"/>
      <c r="P186" s="9"/>
      <c r="Q186" s="9"/>
      <c r="R186" s="9"/>
      <c r="S186" s="44"/>
      <c r="T186" s="44"/>
      <c r="U186" s="44"/>
      <c r="V186" s="44"/>
      <c r="W186" s="44"/>
      <c r="X186" s="44"/>
      <c r="Y186" s="44"/>
      <c r="Z186" s="44"/>
    </row>
    <row r="187" spans="1:26">
      <c r="A187" s="9"/>
      <c r="B187" s="9"/>
      <c r="C187" s="9"/>
      <c r="D187" s="9"/>
      <c r="E187" s="35"/>
      <c r="F187" s="35"/>
      <c r="G187" s="258"/>
      <c r="H187" s="267"/>
      <c r="I187" s="262"/>
      <c r="J187" s="262"/>
      <c r="K187" s="267"/>
      <c r="L187" s="262"/>
      <c r="M187" s="115"/>
      <c r="N187" s="9"/>
      <c r="O187" s="9"/>
      <c r="P187" s="9"/>
      <c r="Q187" s="9"/>
      <c r="R187" s="9"/>
      <c r="S187" s="44"/>
      <c r="T187" s="44"/>
      <c r="U187" s="44"/>
      <c r="V187" s="44"/>
      <c r="W187" s="44"/>
      <c r="X187" s="44"/>
      <c r="Y187" s="44"/>
      <c r="Z187" s="44"/>
    </row>
    <row r="188" spans="1:26">
      <c r="A188" s="9"/>
      <c r="B188" s="9"/>
      <c r="C188" s="9"/>
      <c r="D188" s="9"/>
      <c r="E188" s="35"/>
      <c r="F188" s="35"/>
      <c r="G188" s="258"/>
      <c r="H188" s="267"/>
      <c r="I188" s="262"/>
      <c r="J188" s="262"/>
      <c r="K188" s="267"/>
      <c r="L188" s="262"/>
      <c r="M188" s="115"/>
      <c r="N188" s="9"/>
      <c r="O188" s="9"/>
      <c r="P188" s="9"/>
      <c r="Q188" s="9"/>
      <c r="R188" s="9"/>
      <c r="S188" s="44"/>
      <c r="T188" s="44"/>
      <c r="U188" s="44"/>
      <c r="V188" s="44"/>
      <c r="W188" s="44"/>
      <c r="X188" s="44"/>
      <c r="Y188" s="44"/>
      <c r="Z188" s="44"/>
    </row>
    <row r="189" spans="1:26">
      <c r="A189" s="9"/>
      <c r="B189" s="9"/>
      <c r="C189" s="9"/>
      <c r="D189" s="9"/>
      <c r="E189" s="35"/>
      <c r="F189" s="35"/>
      <c r="G189" s="258"/>
      <c r="H189" s="267"/>
      <c r="I189" s="262"/>
      <c r="J189" s="262"/>
      <c r="K189" s="267"/>
      <c r="L189" s="262"/>
      <c r="M189" s="115"/>
      <c r="N189" s="9"/>
      <c r="O189" s="9"/>
      <c r="P189" s="9"/>
      <c r="Q189" s="9"/>
      <c r="R189" s="9"/>
      <c r="S189" s="44"/>
      <c r="T189" s="44"/>
      <c r="U189" s="44"/>
      <c r="V189" s="44"/>
      <c r="W189" s="44"/>
      <c r="X189" s="44"/>
      <c r="Y189" s="44"/>
      <c r="Z189" s="44"/>
    </row>
    <row r="190" spans="1:26">
      <c r="A190" s="9"/>
      <c r="B190" s="9"/>
      <c r="C190" s="9"/>
      <c r="D190" s="9"/>
      <c r="E190" s="35"/>
      <c r="F190" s="35"/>
      <c r="G190" s="258"/>
      <c r="H190" s="267"/>
      <c r="I190" s="262"/>
      <c r="J190" s="262"/>
      <c r="K190" s="267"/>
      <c r="L190" s="262"/>
      <c r="M190" s="115"/>
      <c r="N190" s="9"/>
      <c r="O190" s="9"/>
      <c r="P190" s="9"/>
      <c r="Q190" s="9"/>
      <c r="R190" s="9"/>
      <c r="S190" s="44"/>
      <c r="T190" s="44"/>
      <c r="U190" s="44"/>
      <c r="V190" s="44"/>
      <c r="W190" s="44"/>
      <c r="X190" s="44"/>
      <c r="Y190" s="44"/>
      <c r="Z190" s="44"/>
    </row>
    <row r="191" spans="1:26">
      <c r="A191" s="9"/>
      <c r="B191" s="9"/>
      <c r="C191" s="9"/>
      <c r="D191" s="9"/>
      <c r="E191" s="35"/>
      <c r="F191" s="35"/>
      <c r="G191" s="258"/>
      <c r="H191" s="267"/>
      <c r="I191" s="262"/>
      <c r="J191" s="262"/>
      <c r="K191" s="267"/>
      <c r="L191" s="262"/>
      <c r="M191" s="115"/>
      <c r="N191" s="9"/>
      <c r="O191" s="9"/>
      <c r="P191" s="9"/>
      <c r="Q191" s="9"/>
      <c r="R191" s="9"/>
      <c r="S191" s="44"/>
      <c r="T191" s="44"/>
      <c r="U191" s="44"/>
      <c r="V191" s="44"/>
      <c r="W191" s="44"/>
      <c r="X191" s="44"/>
      <c r="Y191" s="44"/>
      <c r="Z191" s="44"/>
    </row>
    <row r="192" spans="1:26">
      <c r="A192" s="9"/>
      <c r="B192" s="9"/>
      <c r="C192" s="9"/>
      <c r="D192" s="9"/>
      <c r="E192" s="35"/>
      <c r="F192" s="35"/>
      <c r="G192" s="258"/>
      <c r="H192" s="267"/>
      <c r="I192" s="262"/>
      <c r="J192" s="262"/>
      <c r="K192" s="267"/>
      <c r="L192" s="262"/>
      <c r="M192" s="115"/>
      <c r="N192" s="9"/>
      <c r="O192" s="9"/>
      <c r="P192" s="9"/>
      <c r="Q192" s="9"/>
      <c r="R192" s="9"/>
      <c r="S192" s="44"/>
      <c r="T192" s="44"/>
      <c r="U192" s="44"/>
      <c r="V192" s="44"/>
      <c r="W192" s="44"/>
      <c r="X192" s="44"/>
      <c r="Y192" s="44"/>
      <c r="Z192" s="44"/>
    </row>
    <row r="193" spans="1:26">
      <c r="A193" s="9"/>
      <c r="B193" s="9"/>
      <c r="C193" s="9"/>
      <c r="D193" s="9"/>
      <c r="E193" s="35"/>
      <c r="F193" s="35"/>
      <c r="G193" s="258"/>
      <c r="H193" s="267"/>
      <c r="I193" s="262"/>
      <c r="J193" s="262"/>
      <c r="K193" s="267"/>
      <c r="L193" s="262"/>
      <c r="M193" s="115"/>
      <c r="N193" s="9"/>
      <c r="O193" s="9"/>
      <c r="P193" s="9"/>
      <c r="Q193" s="9"/>
      <c r="R193" s="9"/>
      <c r="S193" s="44"/>
      <c r="T193" s="44"/>
      <c r="U193" s="44"/>
      <c r="V193" s="44"/>
      <c r="W193" s="44"/>
      <c r="X193" s="44"/>
      <c r="Y193" s="44"/>
      <c r="Z193" s="44"/>
    </row>
    <row r="194" spans="1:26">
      <c r="A194" s="9"/>
      <c r="B194" s="9"/>
      <c r="C194" s="9"/>
      <c r="D194" s="9"/>
      <c r="E194" s="35"/>
      <c r="F194" s="35"/>
      <c r="G194" s="258"/>
      <c r="H194" s="267"/>
      <c r="I194" s="262"/>
      <c r="J194" s="262"/>
      <c r="K194" s="267"/>
      <c r="L194" s="262"/>
      <c r="M194" s="115"/>
      <c r="N194" s="9"/>
      <c r="O194" s="9"/>
      <c r="P194" s="9"/>
      <c r="Q194" s="9"/>
      <c r="R194" s="9"/>
      <c r="S194" s="44"/>
      <c r="T194" s="44"/>
      <c r="U194" s="44"/>
      <c r="V194" s="44"/>
      <c r="W194" s="44"/>
      <c r="X194" s="44"/>
      <c r="Y194" s="44"/>
      <c r="Z194" s="44"/>
    </row>
    <row r="195" spans="1:26">
      <c r="A195" s="9"/>
      <c r="B195" s="9"/>
      <c r="C195" s="9"/>
      <c r="D195" s="9"/>
      <c r="E195" s="35"/>
      <c r="F195" s="35"/>
      <c r="G195" s="258"/>
      <c r="H195" s="267"/>
      <c r="I195" s="262"/>
      <c r="J195" s="262"/>
      <c r="K195" s="267"/>
      <c r="L195" s="262"/>
      <c r="M195" s="115"/>
      <c r="N195" s="9"/>
      <c r="O195" s="9"/>
      <c r="P195" s="9"/>
      <c r="Q195" s="9"/>
      <c r="R195" s="9"/>
      <c r="S195" s="44"/>
      <c r="T195" s="44"/>
      <c r="U195" s="44"/>
      <c r="V195" s="44"/>
      <c r="W195" s="44"/>
      <c r="X195" s="44"/>
      <c r="Y195" s="44"/>
      <c r="Z195" s="44"/>
    </row>
    <row r="196" spans="1:26">
      <c r="A196" s="9"/>
      <c r="B196" s="9"/>
      <c r="C196" s="9"/>
      <c r="D196" s="9"/>
      <c r="E196" s="35"/>
      <c r="F196" s="35"/>
      <c r="G196" s="258"/>
      <c r="H196" s="267"/>
      <c r="I196" s="262"/>
      <c r="J196" s="262"/>
      <c r="K196" s="267"/>
      <c r="L196" s="262"/>
      <c r="M196" s="115"/>
      <c r="N196" s="9"/>
      <c r="O196" s="9"/>
      <c r="P196" s="9"/>
      <c r="Q196" s="9"/>
      <c r="R196" s="9"/>
      <c r="S196" s="44"/>
      <c r="T196" s="44"/>
      <c r="U196" s="44"/>
      <c r="V196" s="44"/>
      <c r="W196" s="44"/>
      <c r="X196" s="44"/>
      <c r="Y196" s="44"/>
      <c r="Z196" s="44"/>
    </row>
    <row r="197" spans="1:26">
      <c r="A197" s="9"/>
      <c r="B197" s="9"/>
      <c r="C197" s="9"/>
      <c r="D197" s="9"/>
      <c r="E197" s="35"/>
      <c r="F197" s="35"/>
      <c r="G197" s="258"/>
      <c r="H197" s="267"/>
      <c r="I197" s="262"/>
      <c r="J197" s="262"/>
      <c r="K197" s="267"/>
      <c r="L197" s="262"/>
      <c r="M197" s="115"/>
      <c r="N197" s="9"/>
      <c r="O197" s="9"/>
      <c r="P197" s="9"/>
      <c r="Q197" s="9"/>
      <c r="R197" s="9"/>
      <c r="S197" s="44"/>
      <c r="T197" s="44"/>
      <c r="U197" s="44"/>
      <c r="V197" s="44"/>
      <c r="W197" s="44"/>
      <c r="X197" s="44"/>
      <c r="Y197" s="44"/>
      <c r="Z197" s="44"/>
    </row>
    <row r="198" spans="1:26">
      <c r="A198" s="9"/>
      <c r="B198" s="9"/>
      <c r="C198" s="9"/>
      <c r="D198" s="9"/>
      <c r="E198" s="35"/>
      <c r="F198" s="35"/>
      <c r="G198" s="258"/>
      <c r="H198" s="267"/>
      <c r="I198" s="262"/>
      <c r="J198" s="262"/>
      <c r="K198" s="267"/>
      <c r="L198" s="262"/>
      <c r="M198" s="115"/>
      <c r="N198" s="9"/>
      <c r="O198" s="9"/>
      <c r="P198" s="9"/>
      <c r="Q198" s="9"/>
      <c r="R198" s="9"/>
      <c r="S198" s="44"/>
      <c r="T198" s="44"/>
      <c r="U198" s="44"/>
      <c r="V198" s="44"/>
      <c r="W198" s="44"/>
      <c r="X198" s="44"/>
      <c r="Y198" s="44"/>
      <c r="Z198" s="44"/>
    </row>
    <row r="199" spans="1:26">
      <c r="A199" s="9"/>
      <c r="B199" s="9"/>
      <c r="C199" s="9"/>
      <c r="D199" s="9"/>
      <c r="E199" s="35"/>
      <c r="F199" s="35"/>
      <c r="G199" s="258"/>
      <c r="H199" s="267"/>
      <c r="I199" s="262"/>
      <c r="J199" s="262"/>
      <c r="K199" s="267"/>
      <c r="L199" s="262"/>
      <c r="M199" s="115"/>
      <c r="N199" s="9"/>
      <c r="O199" s="9"/>
      <c r="P199" s="9"/>
      <c r="Q199" s="9"/>
      <c r="R199" s="9"/>
      <c r="S199" s="44"/>
      <c r="T199" s="44"/>
      <c r="U199" s="44"/>
      <c r="V199" s="44"/>
      <c r="W199" s="44"/>
      <c r="X199" s="44"/>
      <c r="Y199" s="44"/>
      <c r="Z199" s="44"/>
    </row>
    <row r="200" spans="1:26">
      <c r="A200" s="9"/>
      <c r="B200" s="9"/>
      <c r="C200" s="9"/>
      <c r="D200" s="9"/>
      <c r="E200" s="35"/>
      <c r="F200" s="35"/>
      <c r="G200" s="258"/>
      <c r="H200" s="267"/>
      <c r="I200" s="262"/>
      <c r="J200" s="262"/>
      <c r="K200" s="267"/>
      <c r="L200" s="262"/>
      <c r="M200" s="115"/>
      <c r="N200" s="9"/>
      <c r="O200" s="9"/>
      <c r="P200" s="9"/>
      <c r="Q200" s="9"/>
      <c r="R200" s="9"/>
      <c r="S200" s="44"/>
      <c r="T200" s="44"/>
      <c r="U200" s="44"/>
      <c r="V200" s="44"/>
      <c r="W200" s="44"/>
      <c r="X200" s="44"/>
      <c r="Y200" s="44"/>
      <c r="Z200" s="44"/>
    </row>
    <row r="201" spans="1:26">
      <c r="A201" s="9"/>
      <c r="B201" s="9"/>
      <c r="C201" s="9"/>
      <c r="D201" s="9"/>
      <c r="E201" s="35"/>
      <c r="F201" s="35"/>
      <c r="G201" s="258"/>
      <c r="H201" s="267"/>
      <c r="I201" s="262"/>
      <c r="J201" s="262"/>
      <c r="K201" s="267"/>
      <c r="L201" s="262"/>
      <c r="M201" s="115"/>
      <c r="N201" s="9"/>
      <c r="O201" s="9"/>
      <c r="P201" s="9"/>
      <c r="Q201" s="9"/>
      <c r="R201" s="9"/>
      <c r="S201" s="44"/>
      <c r="T201" s="44"/>
      <c r="U201" s="44"/>
      <c r="V201" s="44"/>
      <c r="W201" s="44"/>
      <c r="X201" s="44"/>
      <c r="Y201" s="44"/>
      <c r="Z201" s="44"/>
    </row>
    <row r="202" spans="1:26">
      <c r="A202" s="9"/>
      <c r="B202" s="9"/>
      <c r="C202" s="9"/>
      <c r="D202" s="9"/>
      <c r="E202" s="35"/>
      <c r="F202" s="35"/>
      <c r="G202" s="258"/>
      <c r="H202" s="267"/>
      <c r="I202" s="262"/>
      <c r="J202" s="262"/>
      <c r="K202" s="267"/>
      <c r="L202" s="262"/>
      <c r="M202" s="115"/>
      <c r="N202" s="9"/>
      <c r="O202" s="9"/>
      <c r="P202" s="9"/>
      <c r="Q202" s="9"/>
      <c r="R202" s="9"/>
      <c r="S202" s="44"/>
      <c r="T202" s="44"/>
      <c r="U202" s="44"/>
      <c r="V202" s="44"/>
      <c r="W202" s="44"/>
      <c r="X202" s="44"/>
      <c r="Y202" s="44"/>
      <c r="Z202" s="44"/>
    </row>
    <row r="203" spans="1:26">
      <c r="A203" s="9"/>
      <c r="B203" s="9"/>
      <c r="C203" s="9"/>
      <c r="D203" s="9"/>
      <c r="E203" s="35"/>
      <c r="F203" s="35"/>
      <c r="G203" s="258"/>
      <c r="H203" s="267"/>
      <c r="I203" s="262"/>
      <c r="J203" s="262"/>
      <c r="K203" s="267"/>
      <c r="L203" s="262"/>
      <c r="M203" s="115"/>
      <c r="N203" s="9"/>
      <c r="O203" s="9"/>
      <c r="P203" s="9"/>
      <c r="Q203" s="9"/>
      <c r="R203" s="9"/>
      <c r="S203" s="44"/>
      <c r="T203" s="44"/>
      <c r="U203" s="44"/>
      <c r="V203" s="44"/>
      <c r="W203" s="44"/>
      <c r="X203" s="44"/>
      <c r="Y203" s="44"/>
      <c r="Z203" s="44"/>
    </row>
    <row r="204" spans="1:26">
      <c r="A204" s="9"/>
      <c r="B204" s="9"/>
      <c r="C204" s="9"/>
      <c r="D204" s="9"/>
      <c r="E204" s="35"/>
      <c r="F204" s="35"/>
      <c r="G204" s="258"/>
      <c r="H204" s="267"/>
      <c r="I204" s="262"/>
      <c r="J204" s="262"/>
      <c r="K204" s="267"/>
      <c r="L204" s="262"/>
      <c r="M204" s="115"/>
      <c r="N204" s="9"/>
      <c r="O204" s="9"/>
      <c r="P204" s="9"/>
      <c r="Q204" s="9"/>
      <c r="R204" s="9"/>
      <c r="S204" s="44"/>
      <c r="T204" s="44"/>
      <c r="U204" s="44"/>
      <c r="V204" s="44"/>
      <c r="W204" s="44"/>
      <c r="X204" s="44"/>
      <c r="Y204" s="44"/>
      <c r="Z204" s="44"/>
    </row>
    <row r="205" spans="1:26">
      <c r="A205" s="9"/>
      <c r="B205" s="9"/>
      <c r="C205" s="9"/>
      <c r="D205" s="9"/>
      <c r="E205" s="35"/>
      <c r="F205" s="35"/>
      <c r="G205" s="258"/>
      <c r="H205" s="267"/>
      <c r="I205" s="262"/>
      <c r="J205" s="262"/>
      <c r="K205" s="267"/>
      <c r="L205" s="262"/>
      <c r="M205" s="115"/>
      <c r="N205" s="9"/>
      <c r="O205" s="9"/>
      <c r="P205" s="9"/>
      <c r="Q205" s="9"/>
      <c r="R205" s="9"/>
      <c r="S205" s="44"/>
      <c r="T205" s="44"/>
      <c r="U205" s="44"/>
      <c r="V205" s="44"/>
      <c r="W205" s="44"/>
      <c r="X205" s="44"/>
      <c r="Y205" s="44"/>
      <c r="Z205" s="44"/>
    </row>
    <row r="206" spans="1:26">
      <c r="A206" s="9"/>
      <c r="B206" s="9"/>
      <c r="C206" s="9"/>
      <c r="D206" s="9"/>
      <c r="E206" s="35"/>
      <c r="F206" s="35"/>
      <c r="G206" s="258"/>
      <c r="H206" s="267"/>
      <c r="I206" s="262"/>
      <c r="J206" s="262"/>
      <c r="K206" s="267"/>
      <c r="L206" s="262"/>
      <c r="M206" s="115"/>
      <c r="N206" s="9"/>
      <c r="O206" s="9"/>
      <c r="P206" s="9"/>
      <c r="Q206" s="9"/>
      <c r="R206" s="9"/>
      <c r="S206" s="44"/>
      <c r="T206" s="44"/>
      <c r="U206" s="44"/>
      <c r="V206" s="44"/>
      <c r="W206" s="44"/>
      <c r="X206" s="44"/>
      <c r="Y206" s="44"/>
      <c r="Z206" s="44"/>
    </row>
    <row r="207" spans="1:26">
      <c r="A207" s="9"/>
      <c r="B207" s="9"/>
      <c r="C207" s="9"/>
      <c r="D207" s="9"/>
      <c r="E207" s="35"/>
      <c r="F207" s="35"/>
      <c r="G207" s="258"/>
      <c r="H207" s="267"/>
      <c r="I207" s="262"/>
      <c r="J207" s="262"/>
      <c r="K207" s="267"/>
      <c r="L207" s="262"/>
      <c r="M207" s="115"/>
      <c r="N207" s="9"/>
      <c r="O207" s="9"/>
      <c r="P207" s="9"/>
      <c r="Q207" s="9"/>
      <c r="R207" s="9"/>
      <c r="S207" s="44"/>
      <c r="T207" s="44"/>
      <c r="U207" s="44"/>
      <c r="V207" s="44"/>
      <c r="W207" s="44"/>
      <c r="X207" s="44"/>
      <c r="Y207" s="44"/>
      <c r="Z207" s="44"/>
    </row>
    <row r="208" spans="1:26">
      <c r="A208" s="9"/>
      <c r="B208" s="9"/>
      <c r="C208" s="9"/>
      <c r="D208" s="9"/>
      <c r="E208" s="35"/>
      <c r="F208" s="35"/>
      <c r="G208" s="258"/>
      <c r="H208" s="267"/>
      <c r="I208" s="262"/>
      <c r="J208" s="262"/>
      <c r="K208" s="267"/>
      <c r="L208" s="262"/>
      <c r="M208" s="115"/>
      <c r="N208" s="9"/>
      <c r="O208" s="9"/>
      <c r="P208" s="9"/>
      <c r="Q208" s="9"/>
      <c r="R208" s="9"/>
      <c r="S208" s="44"/>
      <c r="T208" s="44"/>
      <c r="U208" s="44"/>
      <c r="V208" s="44"/>
      <c r="W208" s="44"/>
      <c r="X208" s="44"/>
      <c r="Y208" s="44"/>
      <c r="Z208" s="44"/>
    </row>
    <row r="209" spans="1:26">
      <c r="A209" s="9"/>
      <c r="B209" s="9"/>
      <c r="C209" s="9"/>
      <c r="D209" s="9"/>
      <c r="E209" s="35"/>
      <c r="F209" s="35"/>
      <c r="G209" s="258"/>
      <c r="H209" s="267"/>
      <c r="I209" s="262"/>
      <c r="J209" s="262"/>
      <c r="K209" s="267"/>
      <c r="L209" s="262"/>
      <c r="M209" s="115"/>
      <c r="N209" s="9"/>
      <c r="O209" s="9"/>
      <c r="P209" s="9"/>
      <c r="Q209" s="9"/>
      <c r="R209" s="9"/>
      <c r="S209" s="44"/>
      <c r="T209" s="44"/>
      <c r="U209" s="44"/>
      <c r="V209" s="44"/>
      <c r="W209" s="44"/>
      <c r="X209" s="44"/>
      <c r="Y209" s="44"/>
      <c r="Z209" s="44"/>
    </row>
    <row r="210" spans="1:26">
      <c r="A210" s="9"/>
      <c r="B210" s="9"/>
      <c r="C210" s="9"/>
      <c r="D210" s="9"/>
      <c r="E210" s="35"/>
      <c r="F210" s="35"/>
      <c r="G210" s="258"/>
      <c r="H210" s="267"/>
      <c r="I210" s="262"/>
      <c r="J210" s="262"/>
      <c r="K210" s="267"/>
      <c r="L210" s="262"/>
      <c r="M210" s="115"/>
      <c r="N210" s="9"/>
      <c r="O210" s="9"/>
      <c r="P210" s="9"/>
      <c r="Q210" s="9"/>
      <c r="R210" s="9"/>
      <c r="S210" s="44"/>
      <c r="T210" s="44"/>
      <c r="U210" s="44"/>
      <c r="V210" s="44"/>
      <c r="W210" s="44"/>
      <c r="X210" s="44"/>
      <c r="Y210" s="44"/>
      <c r="Z210" s="44"/>
    </row>
    <row r="211" spans="1:26">
      <c r="A211" s="9"/>
      <c r="B211" s="9"/>
      <c r="C211" s="9"/>
      <c r="D211" s="9"/>
      <c r="E211" s="35"/>
      <c r="F211" s="35"/>
      <c r="G211" s="258"/>
      <c r="H211" s="267"/>
      <c r="I211" s="262"/>
      <c r="J211" s="262"/>
      <c r="K211" s="267"/>
      <c r="L211" s="262"/>
      <c r="M211" s="115"/>
      <c r="N211" s="9"/>
      <c r="O211" s="9"/>
      <c r="P211" s="9"/>
      <c r="Q211" s="9"/>
      <c r="R211" s="9"/>
      <c r="S211" s="44"/>
      <c r="T211" s="44"/>
      <c r="U211" s="44"/>
      <c r="V211" s="44"/>
      <c r="W211" s="44"/>
      <c r="X211" s="44"/>
      <c r="Y211" s="44"/>
      <c r="Z211" s="44"/>
    </row>
    <row r="212" spans="1:26">
      <c r="A212" s="9"/>
      <c r="B212" s="9"/>
      <c r="C212" s="9"/>
      <c r="D212" s="9"/>
      <c r="E212" s="35"/>
      <c r="F212" s="35"/>
      <c r="G212" s="258"/>
      <c r="H212" s="267"/>
      <c r="I212" s="262"/>
      <c r="J212" s="262"/>
      <c r="K212" s="267"/>
      <c r="L212" s="262"/>
      <c r="M212" s="115"/>
      <c r="N212" s="9"/>
      <c r="O212" s="9"/>
      <c r="P212" s="9"/>
      <c r="Q212" s="9"/>
      <c r="R212" s="9"/>
      <c r="S212" s="44"/>
      <c r="T212" s="44"/>
      <c r="U212" s="44"/>
      <c r="V212" s="44"/>
      <c r="W212" s="44"/>
      <c r="X212" s="44"/>
      <c r="Y212" s="44"/>
      <c r="Z212" s="44"/>
    </row>
    <row r="213" spans="1:26">
      <c r="A213" s="9"/>
      <c r="B213" s="9"/>
      <c r="C213" s="9"/>
      <c r="D213" s="9"/>
      <c r="E213" s="35"/>
      <c r="F213" s="35"/>
      <c r="G213" s="258"/>
      <c r="H213" s="267"/>
      <c r="I213" s="262"/>
      <c r="J213" s="262"/>
      <c r="K213" s="267"/>
      <c r="L213" s="262"/>
      <c r="M213" s="115"/>
      <c r="N213" s="9"/>
      <c r="O213" s="9"/>
      <c r="P213" s="9"/>
      <c r="Q213" s="9"/>
      <c r="R213" s="9"/>
      <c r="S213" s="44"/>
      <c r="T213" s="44"/>
      <c r="U213" s="44"/>
      <c r="V213" s="44"/>
      <c r="W213" s="44"/>
      <c r="X213" s="44"/>
      <c r="Y213" s="44"/>
      <c r="Z213" s="44"/>
    </row>
    <row r="214" spans="1:26">
      <c r="A214" s="9"/>
      <c r="B214" s="9"/>
      <c r="C214" s="9"/>
      <c r="D214" s="9"/>
      <c r="E214" s="35"/>
      <c r="F214" s="35"/>
      <c r="G214" s="258"/>
      <c r="H214" s="267"/>
      <c r="I214" s="262"/>
      <c r="J214" s="262"/>
      <c r="K214" s="267"/>
      <c r="L214" s="262"/>
      <c r="M214" s="115"/>
      <c r="N214" s="9"/>
      <c r="O214" s="9"/>
      <c r="P214" s="9"/>
      <c r="Q214" s="9"/>
      <c r="R214" s="9"/>
      <c r="S214" s="44"/>
      <c r="T214" s="44"/>
      <c r="U214" s="44"/>
      <c r="V214" s="44"/>
      <c r="W214" s="44"/>
      <c r="X214" s="44"/>
      <c r="Y214" s="44"/>
      <c r="Z214" s="44"/>
    </row>
    <row r="215" spans="1:26">
      <c r="A215" s="9"/>
      <c r="B215" s="9"/>
      <c r="C215" s="9"/>
      <c r="D215" s="9"/>
      <c r="E215" s="35"/>
      <c r="F215" s="35"/>
      <c r="G215" s="258"/>
      <c r="H215" s="267"/>
      <c r="I215" s="262"/>
      <c r="J215" s="262"/>
      <c r="K215" s="267"/>
      <c r="L215" s="262"/>
      <c r="M215" s="115"/>
      <c r="N215" s="9"/>
      <c r="O215" s="9"/>
      <c r="P215" s="9"/>
      <c r="Q215" s="9"/>
      <c r="R215" s="9"/>
      <c r="S215" s="44"/>
      <c r="T215" s="44"/>
      <c r="U215" s="44"/>
      <c r="V215" s="44"/>
      <c r="W215" s="44"/>
      <c r="X215" s="44"/>
      <c r="Y215" s="44"/>
      <c r="Z215" s="44"/>
    </row>
    <row r="216" spans="1:26">
      <c r="A216" s="9"/>
      <c r="B216" s="9"/>
      <c r="C216" s="9"/>
      <c r="D216" s="9"/>
      <c r="E216" s="35"/>
      <c r="F216" s="35"/>
      <c r="G216" s="258"/>
      <c r="H216" s="267"/>
      <c r="I216" s="262"/>
      <c r="J216" s="262"/>
      <c r="K216" s="267"/>
      <c r="L216" s="262"/>
      <c r="M216" s="115"/>
      <c r="N216" s="9"/>
      <c r="O216" s="9"/>
      <c r="P216" s="9"/>
      <c r="Q216" s="9"/>
      <c r="R216" s="9"/>
      <c r="S216" s="44"/>
      <c r="T216" s="44"/>
      <c r="U216" s="44"/>
      <c r="V216" s="44"/>
      <c r="W216" s="44"/>
      <c r="X216" s="44"/>
      <c r="Y216" s="44"/>
      <c r="Z216" s="44"/>
    </row>
    <row r="217" spans="1:26">
      <c r="A217" s="9"/>
      <c r="B217" s="9"/>
      <c r="C217" s="9"/>
      <c r="D217" s="9"/>
      <c r="E217" s="35"/>
      <c r="F217" s="35"/>
      <c r="G217" s="258"/>
      <c r="H217" s="267"/>
      <c r="I217" s="262"/>
      <c r="J217" s="262"/>
      <c r="K217" s="267"/>
      <c r="L217" s="262"/>
      <c r="M217" s="115"/>
      <c r="N217" s="9"/>
      <c r="O217" s="9"/>
      <c r="P217" s="9"/>
      <c r="Q217" s="9"/>
      <c r="R217" s="9"/>
      <c r="S217" s="44"/>
      <c r="T217" s="44"/>
      <c r="U217" s="44"/>
      <c r="V217" s="44"/>
      <c r="W217" s="44"/>
      <c r="X217" s="44"/>
      <c r="Y217" s="44"/>
      <c r="Z217" s="44"/>
    </row>
    <row r="218" spans="1:26">
      <c r="A218" s="9"/>
      <c r="B218" s="9"/>
      <c r="C218" s="9"/>
      <c r="D218" s="9"/>
      <c r="E218" s="35"/>
      <c r="F218" s="35"/>
      <c r="G218" s="258"/>
      <c r="H218" s="267"/>
      <c r="I218" s="262"/>
      <c r="J218" s="262"/>
      <c r="K218" s="267"/>
      <c r="L218" s="262"/>
      <c r="M218" s="115"/>
      <c r="N218" s="9"/>
      <c r="O218" s="9"/>
      <c r="P218" s="9"/>
      <c r="Q218" s="9"/>
      <c r="R218" s="9"/>
      <c r="S218" s="44"/>
      <c r="T218" s="44"/>
      <c r="U218" s="44"/>
      <c r="V218" s="44"/>
      <c r="W218" s="44"/>
      <c r="X218" s="44"/>
      <c r="Y218" s="44"/>
      <c r="Z218" s="44"/>
    </row>
    <row r="219" spans="1:26">
      <c r="A219" s="9"/>
      <c r="B219" s="9"/>
      <c r="C219" s="9"/>
      <c r="D219" s="9"/>
      <c r="E219" s="35"/>
      <c r="F219" s="35"/>
      <c r="G219" s="258"/>
      <c r="H219" s="267"/>
      <c r="I219" s="262"/>
      <c r="J219" s="262"/>
      <c r="K219" s="267"/>
      <c r="L219" s="262"/>
      <c r="M219" s="115"/>
      <c r="N219" s="9"/>
      <c r="O219" s="9"/>
      <c r="P219" s="9"/>
      <c r="Q219" s="9"/>
      <c r="R219" s="9"/>
      <c r="S219" s="44"/>
      <c r="T219" s="44"/>
      <c r="U219" s="44"/>
      <c r="V219" s="44"/>
      <c r="W219" s="44"/>
      <c r="X219" s="44"/>
      <c r="Y219" s="44"/>
      <c r="Z219" s="44"/>
    </row>
    <row r="220" spans="1:26">
      <c r="A220" s="9"/>
      <c r="B220" s="9"/>
      <c r="C220" s="9"/>
      <c r="D220" s="9"/>
      <c r="E220" s="35"/>
      <c r="F220" s="35"/>
      <c r="G220" s="258"/>
      <c r="H220" s="267"/>
      <c r="I220" s="262"/>
      <c r="J220" s="262"/>
      <c r="K220" s="267"/>
      <c r="L220" s="262"/>
      <c r="M220" s="115"/>
      <c r="N220" s="9"/>
      <c r="O220" s="9"/>
      <c r="P220" s="9"/>
      <c r="Q220" s="9"/>
      <c r="R220" s="9"/>
      <c r="S220" s="44"/>
      <c r="T220" s="44"/>
      <c r="U220" s="44"/>
      <c r="V220" s="44"/>
      <c r="W220" s="44"/>
      <c r="X220" s="44"/>
      <c r="Y220" s="44"/>
      <c r="Z220" s="44"/>
    </row>
    <row r="221" spans="1:26">
      <c r="A221" s="9"/>
      <c r="B221" s="9"/>
      <c r="C221" s="9"/>
      <c r="D221" s="9"/>
      <c r="E221" s="35"/>
      <c r="F221" s="35"/>
      <c r="G221" s="258"/>
      <c r="H221" s="267"/>
      <c r="I221" s="262"/>
      <c r="J221" s="262"/>
      <c r="K221" s="267"/>
      <c r="L221" s="262"/>
      <c r="M221" s="115"/>
      <c r="N221" s="9"/>
      <c r="O221" s="9"/>
      <c r="P221" s="9"/>
      <c r="Q221" s="9"/>
      <c r="R221" s="9"/>
      <c r="S221" s="9"/>
      <c r="T221" s="9"/>
      <c r="U221" s="9"/>
      <c r="V221" s="9"/>
      <c r="W221" s="9"/>
      <c r="X221" s="9"/>
      <c r="Y221" s="9"/>
      <c r="Z221" s="9"/>
    </row>
    <row r="222" spans="1:26">
      <c r="A222" s="9"/>
      <c r="B222" s="9"/>
      <c r="C222" s="9"/>
      <c r="D222" s="9"/>
      <c r="E222" s="35"/>
      <c r="F222" s="35"/>
      <c r="G222" s="258"/>
      <c r="H222" s="267"/>
      <c r="I222" s="262"/>
      <c r="J222" s="262"/>
      <c r="K222" s="267"/>
      <c r="L222" s="262"/>
      <c r="M222" s="115"/>
      <c r="N222" s="9"/>
      <c r="O222" s="9"/>
      <c r="P222" s="9"/>
      <c r="Q222" s="9"/>
      <c r="R222" s="9"/>
      <c r="S222" s="9"/>
      <c r="T222" s="9"/>
      <c r="U222" s="9"/>
      <c r="V222" s="9"/>
      <c r="W222" s="9"/>
      <c r="X222" s="9"/>
      <c r="Y222" s="9"/>
      <c r="Z222" s="9"/>
    </row>
    <row r="223" spans="1:26">
      <c r="A223" s="9"/>
      <c r="B223" s="9"/>
      <c r="C223" s="9"/>
      <c r="D223" s="9"/>
      <c r="E223" s="35"/>
      <c r="F223" s="35"/>
      <c r="G223" s="258"/>
      <c r="H223" s="267"/>
      <c r="I223" s="262"/>
      <c r="J223" s="262"/>
      <c r="K223" s="267"/>
      <c r="L223" s="262"/>
      <c r="M223" s="115"/>
      <c r="N223" s="9"/>
      <c r="O223" s="9"/>
      <c r="P223" s="9"/>
      <c r="Q223" s="9"/>
      <c r="R223" s="9"/>
      <c r="S223" s="9"/>
      <c r="T223" s="9"/>
      <c r="U223" s="9"/>
      <c r="V223" s="9"/>
      <c r="W223" s="9"/>
      <c r="X223" s="9"/>
      <c r="Y223" s="9"/>
      <c r="Z223" s="9"/>
    </row>
    <row r="224" spans="1:26">
      <c r="A224" s="9"/>
      <c r="B224" s="9"/>
      <c r="C224" s="9"/>
      <c r="D224" s="9"/>
      <c r="E224" s="35"/>
      <c r="F224" s="35"/>
      <c r="G224" s="258"/>
      <c r="H224" s="267"/>
      <c r="I224" s="262"/>
      <c r="J224" s="262"/>
      <c r="K224" s="267"/>
      <c r="L224" s="262"/>
      <c r="M224" s="115"/>
      <c r="N224" s="9"/>
      <c r="O224" s="9"/>
      <c r="P224" s="9"/>
      <c r="Q224" s="9"/>
      <c r="R224" s="9"/>
      <c r="S224" s="9"/>
      <c r="T224" s="9"/>
      <c r="U224" s="9"/>
      <c r="V224" s="9"/>
      <c r="W224" s="9"/>
      <c r="X224" s="9"/>
      <c r="Y224" s="9"/>
      <c r="Z224" s="9"/>
    </row>
    <row r="225" spans="1:26">
      <c r="A225" s="9"/>
      <c r="B225" s="9"/>
      <c r="C225" s="9"/>
      <c r="D225" s="9"/>
      <c r="E225" s="35"/>
      <c r="F225" s="35"/>
      <c r="G225" s="258"/>
      <c r="H225" s="267"/>
      <c r="I225" s="262"/>
      <c r="J225" s="262"/>
      <c r="K225" s="267"/>
      <c r="L225" s="262"/>
      <c r="M225" s="115"/>
      <c r="N225" s="9"/>
      <c r="O225" s="9"/>
      <c r="P225" s="9"/>
      <c r="Q225" s="9"/>
      <c r="R225" s="9"/>
      <c r="S225" s="9"/>
      <c r="T225" s="9"/>
      <c r="U225" s="9"/>
      <c r="V225" s="9"/>
      <c r="W225" s="9"/>
      <c r="X225" s="9"/>
      <c r="Y225" s="9"/>
      <c r="Z225" s="9"/>
    </row>
    <row r="226" spans="1:26">
      <c r="A226" s="9"/>
      <c r="B226" s="9"/>
      <c r="C226" s="9"/>
      <c r="D226" s="9"/>
      <c r="E226" s="35"/>
      <c r="F226" s="35"/>
      <c r="G226" s="258"/>
      <c r="H226" s="267"/>
      <c r="I226" s="262"/>
      <c r="J226" s="262"/>
      <c r="K226" s="267"/>
      <c r="L226" s="262"/>
      <c r="M226" s="115"/>
      <c r="N226" s="9"/>
      <c r="O226" s="9"/>
      <c r="P226" s="9"/>
      <c r="Q226" s="9"/>
      <c r="R226" s="9"/>
      <c r="S226" s="9"/>
      <c r="T226" s="9"/>
      <c r="U226" s="9"/>
      <c r="V226" s="9"/>
      <c r="W226" s="9"/>
      <c r="X226" s="9"/>
      <c r="Y226" s="9"/>
      <c r="Z226" s="9"/>
    </row>
    <row r="227" spans="1:26">
      <c r="A227" s="9"/>
      <c r="B227" s="9"/>
      <c r="C227" s="9"/>
      <c r="D227" s="9"/>
      <c r="E227" s="35"/>
      <c r="F227" s="35"/>
      <c r="G227" s="258"/>
      <c r="H227" s="267"/>
      <c r="I227" s="262"/>
      <c r="J227" s="262"/>
      <c r="K227" s="267"/>
      <c r="L227" s="262"/>
      <c r="M227" s="115"/>
      <c r="N227" s="9"/>
      <c r="O227" s="9"/>
      <c r="P227" s="9"/>
      <c r="Q227" s="9"/>
      <c r="R227" s="9"/>
      <c r="S227" s="9"/>
      <c r="T227" s="9"/>
      <c r="U227" s="9"/>
      <c r="V227" s="9"/>
      <c r="W227" s="9"/>
      <c r="X227" s="9"/>
      <c r="Y227" s="9"/>
      <c r="Z227" s="9"/>
    </row>
    <row r="228" spans="1:26">
      <c r="A228" s="9"/>
      <c r="B228" s="9"/>
      <c r="C228" s="9"/>
      <c r="D228" s="9"/>
      <c r="E228" s="35"/>
      <c r="F228" s="35"/>
      <c r="G228" s="258"/>
      <c r="H228" s="267"/>
      <c r="I228" s="262"/>
      <c r="J228" s="262"/>
      <c r="K228" s="267"/>
      <c r="L228" s="262"/>
      <c r="M228" s="115"/>
      <c r="N228" s="9"/>
      <c r="O228" s="9"/>
      <c r="P228" s="9"/>
      <c r="Q228" s="9"/>
      <c r="R228" s="9"/>
      <c r="S228" s="9"/>
      <c r="T228" s="9"/>
      <c r="U228" s="9"/>
      <c r="V228" s="9"/>
      <c r="W228" s="9"/>
      <c r="X228" s="9"/>
      <c r="Y228" s="9"/>
      <c r="Z228" s="9"/>
    </row>
    <row r="229" spans="1:26">
      <c r="A229" s="9"/>
      <c r="B229" s="9"/>
      <c r="C229" s="9"/>
      <c r="D229" s="9"/>
      <c r="E229" s="35"/>
      <c r="F229" s="35"/>
      <c r="G229" s="258"/>
      <c r="H229" s="267"/>
      <c r="I229" s="262"/>
      <c r="J229" s="262"/>
      <c r="K229" s="267"/>
      <c r="L229" s="262"/>
      <c r="M229" s="115"/>
      <c r="N229" s="9"/>
      <c r="O229" s="9"/>
      <c r="P229" s="9"/>
      <c r="Q229" s="9"/>
      <c r="R229" s="9"/>
      <c r="S229" s="9"/>
      <c r="T229" s="9"/>
      <c r="U229" s="9"/>
      <c r="V229" s="9"/>
      <c r="W229" s="9"/>
      <c r="X229" s="9"/>
      <c r="Y229" s="9"/>
      <c r="Z229" s="9"/>
    </row>
    <row r="230" spans="1:26">
      <c r="A230" s="9"/>
      <c r="B230" s="9"/>
      <c r="C230" s="9"/>
      <c r="D230" s="9"/>
      <c r="E230" s="35"/>
      <c r="F230" s="35"/>
      <c r="G230" s="258"/>
      <c r="H230" s="267"/>
      <c r="I230" s="262"/>
      <c r="J230" s="262"/>
      <c r="K230" s="267"/>
      <c r="L230" s="262"/>
      <c r="M230" s="115"/>
      <c r="N230" s="9"/>
      <c r="O230" s="9"/>
      <c r="P230" s="9"/>
      <c r="Q230" s="9"/>
      <c r="R230" s="9"/>
      <c r="S230" s="9"/>
      <c r="T230" s="9"/>
      <c r="U230" s="9"/>
      <c r="V230" s="9"/>
      <c r="W230" s="9"/>
      <c r="X230" s="9"/>
      <c r="Y230" s="9"/>
      <c r="Z230" s="9"/>
    </row>
    <row r="231" spans="1:26">
      <c r="A231" s="9"/>
      <c r="B231" s="9"/>
      <c r="C231" s="9"/>
      <c r="D231" s="9"/>
      <c r="E231" s="35"/>
      <c r="F231" s="35"/>
      <c r="G231" s="258"/>
      <c r="H231" s="267"/>
      <c r="I231" s="262"/>
      <c r="J231" s="262"/>
      <c r="K231" s="267"/>
      <c r="L231" s="262"/>
      <c r="M231" s="115"/>
      <c r="N231" s="9"/>
      <c r="O231" s="9"/>
      <c r="P231" s="9"/>
      <c r="Q231" s="9"/>
      <c r="R231" s="9"/>
      <c r="S231" s="9"/>
      <c r="T231" s="9"/>
      <c r="U231" s="9"/>
      <c r="V231" s="9"/>
      <c r="W231" s="9"/>
      <c r="X231" s="9"/>
      <c r="Y231" s="9"/>
      <c r="Z231" s="9"/>
    </row>
    <row r="232" spans="1:26">
      <c r="A232" s="9"/>
      <c r="B232" s="9"/>
      <c r="C232" s="9"/>
      <c r="D232" s="9"/>
      <c r="E232" s="35"/>
      <c r="F232" s="35"/>
      <c r="G232" s="258"/>
      <c r="H232" s="267"/>
      <c r="I232" s="262"/>
      <c r="J232" s="262"/>
      <c r="K232" s="267"/>
      <c r="L232" s="262"/>
      <c r="M232" s="115"/>
      <c r="N232" s="9"/>
      <c r="O232" s="9"/>
      <c r="P232" s="9"/>
      <c r="Q232" s="9"/>
      <c r="R232" s="9"/>
      <c r="S232" s="9"/>
      <c r="T232" s="9"/>
      <c r="U232" s="9"/>
      <c r="V232" s="9"/>
      <c r="W232" s="9"/>
      <c r="X232" s="9"/>
      <c r="Y232" s="9"/>
      <c r="Z232" s="9"/>
    </row>
    <row r="233" spans="1:26">
      <c r="A233" s="9"/>
      <c r="B233" s="9"/>
      <c r="C233" s="9"/>
      <c r="D233" s="9"/>
      <c r="E233" s="35"/>
      <c r="F233" s="35"/>
      <c r="G233" s="258"/>
      <c r="H233" s="267"/>
      <c r="I233" s="262"/>
      <c r="J233" s="262"/>
      <c r="K233" s="267"/>
      <c r="L233" s="262"/>
      <c r="M233" s="115"/>
      <c r="N233" s="9"/>
      <c r="O233" s="9"/>
      <c r="P233" s="9"/>
      <c r="Q233" s="9"/>
      <c r="R233" s="9"/>
      <c r="S233" s="9"/>
      <c r="T233" s="9"/>
      <c r="U233" s="9"/>
      <c r="V233" s="9"/>
      <c r="W233" s="9"/>
      <c r="X233" s="9"/>
      <c r="Y233" s="9"/>
      <c r="Z233" s="9"/>
    </row>
    <row r="234" spans="1:26">
      <c r="A234" s="9"/>
      <c r="B234" s="9"/>
      <c r="C234" s="9"/>
      <c r="D234" s="9"/>
      <c r="E234" s="35"/>
      <c r="F234" s="35"/>
      <c r="G234" s="258"/>
      <c r="H234" s="267"/>
      <c r="I234" s="262"/>
      <c r="J234" s="262"/>
      <c r="K234" s="267"/>
      <c r="L234" s="262"/>
      <c r="M234" s="115"/>
      <c r="N234" s="9"/>
      <c r="O234" s="9"/>
      <c r="P234" s="9"/>
      <c r="Q234" s="9"/>
      <c r="R234" s="9"/>
      <c r="S234" s="9"/>
      <c r="T234" s="9"/>
      <c r="U234" s="9"/>
      <c r="V234" s="9"/>
      <c r="W234" s="9"/>
      <c r="X234" s="9"/>
      <c r="Y234" s="9"/>
      <c r="Z234" s="9"/>
    </row>
    <row r="235" spans="1:26">
      <c r="A235" s="9"/>
      <c r="B235" s="9"/>
      <c r="C235" s="9"/>
      <c r="D235" s="9"/>
      <c r="E235" s="35"/>
      <c r="F235" s="35"/>
      <c r="G235" s="258"/>
      <c r="H235" s="267"/>
      <c r="I235" s="262"/>
      <c r="J235" s="262"/>
      <c r="K235" s="267"/>
      <c r="L235" s="262"/>
      <c r="M235" s="115"/>
      <c r="N235" s="9"/>
      <c r="O235" s="9"/>
      <c r="P235" s="9"/>
      <c r="Q235" s="9"/>
      <c r="R235" s="9"/>
      <c r="S235" s="9"/>
      <c r="T235" s="9"/>
      <c r="U235" s="9"/>
      <c r="V235" s="9"/>
      <c r="W235" s="9"/>
      <c r="X235" s="9"/>
      <c r="Y235" s="9"/>
      <c r="Z235" s="9"/>
    </row>
    <row r="236" spans="1:26">
      <c r="A236" s="9"/>
      <c r="B236" s="9"/>
      <c r="C236" s="9"/>
      <c r="D236" s="9"/>
      <c r="E236" s="35"/>
      <c r="F236" s="35"/>
      <c r="G236" s="258"/>
      <c r="H236" s="267"/>
      <c r="I236" s="262"/>
      <c r="J236" s="262"/>
      <c r="K236" s="267"/>
      <c r="L236" s="262"/>
      <c r="M236" s="115"/>
      <c r="N236" s="9"/>
      <c r="O236" s="9"/>
      <c r="P236" s="9"/>
      <c r="Q236" s="9"/>
      <c r="R236" s="9"/>
      <c r="S236" s="9"/>
      <c r="T236" s="9"/>
      <c r="U236" s="9"/>
      <c r="V236" s="9"/>
      <c r="W236" s="9"/>
      <c r="X236" s="9"/>
      <c r="Y236" s="9"/>
      <c r="Z236" s="9"/>
    </row>
    <row r="237" spans="1:26">
      <c r="A237" s="9"/>
      <c r="B237" s="9"/>
      <c r="C237" s="9"/>
      <c r="D237" s="9"/>
      <c r="E237" s="35"/>
      <c r="F237" s="35"/>
      <c r="G237" s="258"/>
      <c r="H237" s="267"/>
      <c r="I237" s="262"/>
      <c r="J237" s="262"/>
      <c r="K237" s="267"/>
      <c r="L237" s="262"/>
      <c r="M237" s="115"/>
      <c r="N237" s="9"/>
      <c r="O237" s="9"/>
      <c r="P237" s="9"/>
      <c r="Q237" s="9"/>
      <c r="R237" s="9"/>
      <c r="S237" s="9"/>
      <c r="T237" s="9"/>
      <c r="U237" s="9"/>
      <c r="V237" s="9"/>
      <c r="W237" s="9"/>
      <c r="X237" s="9"/>
      <c r="Y237" s="9"/>
      <c r="Z237" s="9"/>
    </row>
    <row r="238" spans="1:26">
      <c r="A238" s="9"/>
      <c r="B238" s="9"/>
      <c r="C238" s="9"/>
      <c r="D238" s="9"/>
      <c r="E238" s="35"/>
      <c r="F238" s="35"/>
      <c r="G238" s="258"/>
      <c r="H238" s="267"/>
      <c r="I238" s="262"/>
      <c r="J238" s="262"/>
      <c r="K238" s="267"/>
      <c r="L238" s="262"/>
      <c r="M238" s="115"/>
      <c r="N238" s="9"/>
      <c r="O238" s="9"/>
      <c r="P238" s="9"/>
      <c r="Q238" s="9"/>
      <c r="R238" s="9"/>
      <c r="S238" s="9"/>
      <c r="T238" s="9"/>
      <c r="U238" s="9"/>
      <c r="V238" s="9"/>
      <c r="W238" s="9"/>
      <c r="X238" s="9"/>
      <c r="Y238" s="9"/>
      <c r="Z238" s="9"/>
    </row>
    <row r="239" spans="1:26">
      <c r="A239" s="9"/>
      <c r="B239" s="9"/>
      <c r="C239" s="9"/>
      <c r="D239" s="9"/>
      <c r="E239" s="35"/>
      <c r="F239" s="35"/>
      <c r="G239" s="258"/>
      <c r="H239" s="267"/>
      <c r="I239" s="262"/>
      <c r="J239" s="262"/>
      <c r="K239" s="267"/>
      <c r="L239" s="262"/>
      <c r="M239" s="115"/>
      <c r="N239" s="9"/>
      <c r="O239" s="9"/>
      <c r="P239" s="9"/>
      <c r="Q239" s="9"/>
      <c r="R239" s="9"/>
      <c r="S239" s="9"/>
      <c r="T239" s="9"/>
      <c r="U239" s="9"/>
      <c r="V239" s="9"/>
      <c r="W239" s="9"/>
      <c r="X239" s="9"/>
      <c r="Y239" s="9"/>
      <c r="Z239" s="9"/>
    </row>
    <row r="240" spans="1:26">
      <c r="A240" s="9"/>
      <c r="B240" s="9"/>
      <c r="C240" s="9"/>
      <c r="D240" s="9"/>
      <c r="E240" s="35"/>
      <c r="F240" s="35"/>
      <c r="G240" s="258"/>
      <c r="H240" s="267"/>
      <c r="I240" s="262"/>
      <c r="J240" s="262"/>
      <c r="K240" s="267"/>
      <c r="L240" s="262"/>
      <c r="M240" s="115"/>
      <c r="N240" s="9"/>
      <c r="O240" s="9"/>
      <c r="P240" s="9"/>
      <c r="Q240" s="9"/>
      <c r="R240" s="9"/>
      <c r="S240" s="9"/>
      <c r="T240" s="9"/>
      <c r="U240" s="9"/>
      <c r="V240" s="9"/>
      <c r="W240" s="9"/>
      <c r="X240" s="9"/>
      <c r="Y240" s="9"/>
      <c r="Z240" s="9"/>
    </row>
    <row r="241" spans="1:26">
      <c r="A241" s="9"/>
      <c r="B241" s="9"/>
      <c r="C241" s="9"/>
      <c r="D241" s="9"/>
      <c r="E241" s="35"/>
      <c r="F241" s="35"/>
      <c r="G241" s="258"/>
      <c r="H241" s="267"/>
      <c r="I241" s="262"/>
      <c r="J241" s="262"/>
      <c r="K241" s="267"/>
      <c r="L241" s="262"/>
      <c r="M241" s="115"/>
      <c r="N241" s="9"/>
      <c r="O241" s="9"/>
      <c r="P241" s="9"/>
      <c r="Q241" s="9"/>
      <c r="R241" s="9"/>
      <c r="S241" s="9"/>
      <c r="T241" s="9"/>
      <c r="U241" s="9"/>
      <c r="V241" s="9"/>
      <c r="W241" s="9"/>
      <c r="X241" s="9"/>
      <c r="Y241" s="9"/>
      <c r="Z241" s="9"/>
    </row>
    <row r="242" spans="1:26">
      <c r="A242" s="9"/>
      <c r="B242" s="9"/>
      <c r="C242" s="9"/>
      <c r="D242" s="9"/>
      <c r="E242" s="35"/>
      <c r="F242" s="35"/>
      <c r="G242" s="258"/>
      <c r="H242" s="267"/>
      <c r="I242" s="262"/>
      <c r="J242" s="262"/>
      <c r="K242" s="267"/>
      <c r="L242" s="262"/>
      <c r="M242" s="115"/>
      <c r="N242" s="9"/>
      <c r="O242" s="9"/>
      <c r="P242" s="9"/>
      <c r="Q242" s="9"/>
      <c r="R242" s="9"/>
      <c r="S242" s="9"/>
      <c r="T242" s="9"/>
      <c r="U242" s="9"/>
      <c r="V242" s="9"/>
      <c r="W242" s="9"/>
      <c r="X242" s="9"/>
      <c r="Y242" s="9"/>
      <c r="Z242" s="9"/>
    </row>
    <row r="243" spans="1:26">
      <c r="A243" s="9"/>
      <c r="B243" s="9"/>
      <c r="C243" s="9"/>
      <c r="D243" s="9"/>
      <c r="E243" s="35"/>
      <c r="F243" s="35"/>
      <c r="G243" s="258"/>
      <c r="H243" s="267"/>
      <c r="I243" s="262"/>
      <c r="J243" s="262"/>
      <c r="K243" s="267"/>
      <c r="L243" s="262"/>
      <c r="M243" s="115"/>
      <c r="N243" s="9"/>
      <c r="O243" s="9"/>
      <c r="P243" s="9"/>
      <c r="Q243" s="9"/>
      <c r="R243" s="9"/>
      <c r="S243" s="9"/>
      <c r="T243" s="9"/>
      <c r="U243" s="9"/>
      <c r="V243" s="9"/>
      <c r="W243" s="9"/>
      <c r="X243" s="9"/>
      <c r="Y243" s="9"/>
      <c r="Z243" s="9"/>
    </row>
    <row r="244" spans="1:26">
      <c r="A244" s="9"/>
      <c r="B244" s="9"/>
      <c r="C244" s="9"/>
      <c r="D244" s="9"/>
      <c r="E244" s="35"/>
      <c r="F244" s="35"/>
      <c r="G244" s="258"/>
      <c r="H244" s="267"/>
      <c r="I244" s="262"/>
      <c r="J244" s="262"/>
      <c r="K244" s="267"/>
      <c r="L244" s="262"/>
      <c r="M244" s="115"/>
      <c r="N244" s="9"/>
      <c r="O244" s="9"/>
      <c r="P244" s="9"/>
      <c r="Q244" s="9"/>
      <c r="R244" s="9"/>
      <c r="S244" s="9"/>
      <c r="T244" s="9"/>
      <c r="U244" s="9"/>
      <c r="V244" s="9"/>
      <c r="W244" s="9"/>
      <c r="X244" s="9"/>
      <c r="Y244" s="9"/>
      <c r="Z244" s="9"/>
    </row>
    <row r="245" spans="1:26">
      <c r="A245" s="9"/>
      <c r="B245" s="9"/>
      <c r="C245" s="9"/>
      <c r="D245" s="9"/>
      <c r="E245" s="35"/>
      <c r="F245" s="35"/>
      <c r="G245" s="258"/>
      <c r="H245" s="267"/>
      <c r="I245" s="262"/>
      <c r="J245" s="262"/>
      <c r="K245" s="267"/>
      <c r="L245" s="262"/>
      <c r="M245" s="115"/>
      <c r="N245" s="9"/>
      <c r="O245" s="9"/>
      <c r="P245" s="9"/>
      <c r="Q245" s="9"/>
      <c r="R245" s="9"/>
      <c r="S245" s="9"/>
      <c r="T245" s="9"/>
      <c r="U245" s="9"/>
      <c r="V245" s="9"/>
      <c r="W245" s="9"/>
      <c r="X245" s="9"/>
      <c r="Y245" s="9"/>
      <c r="Z245" s="9"/>
    </row>
    <row r="246" spans="1:26">
      <c r="A246" s="9"/>
      <c r="B246" s="9"/>
      <c r="C246" s="9"/>
      <c r="D246" s="9"/>
      <c r="E246" s="35"/>
      <c r="F246" s="35"/>
      <c r="G246" s="258"/>
      <c r="H246" s="267"/>
      <c r="I246" s="262"/>
      <c r="J246" s="262"/>
      <c r="K246" s="267"/>
      <c r="L246" s="262"/>
      <c r="M246" s="115"/>
      <c r="N246" s="9"/>
      <c r="O246" s="9"/>
      <c r="P246" s="9"/>
      <c r="Q246" s="9"/>
      <c r="R246" s="9"/>
      <c r="S246" s="9"/>
      <c r="T246" s="9"/>
      <c r="U246" s="9"/>
      <c r="V246" s="9"/>
      <c r="W246" s="9"/>
      <c r="X246" s="9"/>
      <c r="Y246" s="9"/>
      <c r="Z246" s="9"/>
    </row>
    <row r="247" spans="1:26">
      <c r="A247" s="9"/>
      <c r="B247" s="9"/>
      <c r="C247" s="9"/>
      <c r="D247" s="9"/>
      <c r="E247" s="35"/>
      <c r="F247" s="35"/>
      <c r="G247" s="258"/>
      <c r="H247" s="267"/>
      <c r="I247" s="262"/>
      <c r="J247" s="262"/>
      <c r="K247" s="267"/>
      <c r="L247" s="262"/>
      <c r="M247" s="115"/>
      <c r="N247" s="9"/>
      <c r="O247" s="9"/>
      <c r="P247" s="9"/>
      <c r="Q247" s="9"/>
      <c r="R247" s="9"/>
      <c r="S247" s="9"/>
      <c r="T247" s="9"/>
      <c r="U247" s="9"/>
      <c r="V247" s="9"/>
      <c r="W247" s="9"/>
      <c r="X247" s="9"/>
      <c r="Y247" s="9"/>
      <c r="Z247" s="9"/>
    </row>
    <row r="248" spans="1:26">
      <c r="A248" s="9"/>
      <c r="B248" s="9"/>
      <c r="C248" s="9"/>
      <c r="D248" s="9"/>
      <c r="E248" s="35"/>
      <c r="F248" s="35"/>
      <c r="G248" s="258"/>
      <c r="H248" s="267"/>
      <c r="I248" s="262"/>
      <c r="J248" s="262"/>
      <c r="K248" s="267"/>
      <c r="L248" s="262"/>
      <c r="M248" s="115"/>
      <c r="N248" s="9"/>
      <c r="O248" s="9"/>
      <c r="P248" s="9"/>
      <c r="Q248" s="9"/>
      <c r="R248" s="9"/>
      <c r="S248" s="9"/>
      <c r="T248" s="9"/>
      <c r="U248" s="9"/>
      <c r="V248" s="9"/>
      <c r="W248" s="9"/>
      <c r="X248" s="9"/>
      <c r="Y248" s="9"/>
      <c r="Z248" s="9"/>
    </row>
    <row r="249" spans="1:26">
      <c r="A249" s="9"/>
      <c r="B249" s="9"/>
      <c r="C249" s="9"/>
      <c r="D249" s="9"/>
      <c r="E249" s="35"/>
      <c r="F249" s="35"/>
      <c r="G249" s="258"/>
      <c r="H249" s="267"/>
      <c r="I249" s="262"/>
      <c r="J249" s="262"/>
      <c r="K249" s="267"/>
      <c r="L249" s="262"/>
      <c r="M249" s="115"/>
      <c r="N249" s="9"/>
      <c r="O249" s="9"/>
      <c r="P249" s="9"/>
      <c r="Q249" s="9"/>
      <c r="R249" s="9"/>
      <c r="S249" s="9"/>
      <c r="T249" s="9"/>
      <c r="U249" s="9"/>
      <c r="V249" s="9"/>
      <c r="W249" s="9"/>
      <c r="X249" s="9"/>
      <c r="Y249" s="9"/>
      <c r="Z249" s="9"/>
    </row>
    <row r="250" spans="1:26">
      <c r="A250" s="9"/>
      <c r="B250" s="9"/>
      <c r="C250" s="9"/>
      <c r="D250" s="9"/>
      <c r="E250" s="35"/>
      <c r="F250" s="35"/>
      <c r="G250" s="258"/>
      <c r="H250" s="267"/>
      <c r="I250" s="262"/>
      <c r="J250" s="262"/>
      <c r="K250" s="267"/>
      <c r="L250" s="262"/>
      <c r="M250" s="115"/>
      <c r="N250" s="9"/>
      <c r="O250" s="9"/>
      <c r="P250" s="9"/>
      <c r="Q250" s="9"/>
      <c r="R250" s="9"/>
      <c r="S250" s="9"/>
      <c r="T250" s="9"/>
      <c r="U250" s="9"/>
      <c r="V250" s="9"/>
      <c r="W250" s="9"/>
      <c r="X250" s="9"/>
      <c r="Y250" s="9"/>
      <c r="Z250" s="9"/>
    </row>
    <row r="251" spans="1:26">
      <c r="A251" s="9"/>
      <c r="B251" s="9"/>
      <c r="C251" s="9"/>
      <c r="D251" s="9"/>
      <c r="E251" s="35"/>
      <c r="F251" s="35"/>
      <c r="G251" s="258"/>
      <c r="H251" s="267"/>
      <c r="I251" s="262"/>
      <c r="J251" s="262"/>
      <c r="K251" s="267"/>
      <c r="L251" s="262"/>
      <c r="M251" s="115"/>
      <c r="N251" s="9"/>
      <c r="O251" s="9"/>
      <c r="P251" s="9"/>
      <c r="Q251" s="9"/>
      <c r="R251" s="9"/>
      <c r="S251" s="9"/>
      <c r="T251" s="9"/>
      <c r="U251" s="9"/>
      <c r="V251" s="9"/>
      <c r="W251" s="9"/>
      <c r="X251" s="9"/>
      <c r="Y251" s="9"/>
      <c r="Z251" s="9"/>
    </row>
    <row r="252" spans="1:26">
      <c r="A252" s="9"/>
      <c r="B252" s="9"/>
      <c r="C252" s="9"/>
      <c r="D252" s="9"/>
      <c r="E252" s="35"/>
      <c r="F252" s="35"/>
      <c r="G252" s="258"/>
      <c r="H252" s="267"/>
      <c r="I252" s="262"/>
      <c r="J252" s="262"/>
      <c r="K252" s="267"/>
      <c r="L252" s="262"/>
      <c r="M252" s="115"/>
      <c r="N252" s="9"/>
      <c r="O252" s="9"/>
      <c r="P252" s="9"/>
      <c r="Q252" s="9"/>
      <c r="R252" s="9"/>
      <c r="S252" s="9"/>
      <c r="T252" s="9"/>
      <c r="U252" s="9"/>
      <c r="V252" s="9"/>
      <c r="W252" s="9"/>
      <c r="X252" s="9"/>
      <c r="Y252" s="9"/>
      <c r="Z252" s="9"/>
    </row>
    <row r="253" spans="1:26">
      <c r="A253" s="9"/>
      <c r="B253" s="9"/>
      <c r="C253" s="9"/>
      <c r="D253" s="9"/>
      <c r="E253" s="35"/>
      <c r="F253" s="35"/>
      <c r="G253" s="258"/>
      <c r="H253" s="267"/>
      <c r="I253" s="262"/>
      <c r="J253" s="262"/>
      <c r="K253" s="267"/>
      <c r="L253" s="262"/>
      <c r="M253" s="115"/>
      <c r="N253" s="9"/>
      <c r="O253" s="9"/>
      <c r="P253" s="9"/>
      <c r="Q253" s="9"/>
      <c r="R253" s="9"/>
      <c r="S253" s="9"/>
      <c r="T253" s="9"/>
      <c r="U253" s="9"/>
      <c r="V253" s="9"/>
      <c r="W253" s="9"/>
      <c r="X253" s="9"/>
      <c r="Y253" s="9"/>
      <c r="Z253" s="9"/>
    </row>
    <row r="254" spans="1:26">
      <c r="A254" s="9"/>
      <c r="B254" s="9"/>
      <c r="C254" s="9"/>
      <c r="D254" s="9"/>
      <c r="E254" s="35"/>
      <c r="F254" s="35"/>
      <c r="G254" s="258"/>
      <c r="H254" s="267"/>
      <c r="I254" s="262"/>
      <c r="J254" s="262"/>
      <c r="K254" s="267"/>
      <c r="L254" s="262"/>
      <c r="M254" s="115"/>
      <c r="N254" s="9"/>
      <c r="O254" s="9"/>
      <c r="P254" s="9"/>
      <c r="Q254" s="9"/>
      <c r="R254" s="9"/>
      <c r="S254" s="9"/>
      <c r="T254" s="9"/>
      <c r="U254" s="9"/>
      <c r="V254" s="9"/>
      <c r="W254" s="9"/>
      <c r="X254" s="9"/>
      <c r="Y254" s="9"/>
      <c r="Z254" s="9"/>
    </row>
    <row r="255" spans="1:26">
      <c r="A255" s="9"/>
      <c r="B255" s="9"/>
      <c r="C255" s="9"/>
      <c r="D255" s="9"/>
      <c r="E255" s="35"/>
      <c r="F255" s="35"/>
      <c r="G255" s="258"/>
      <c r="H255" s="267"/>
      <c r="I255" s="262"/>
      <c r="J255" s="262"/>
      <c r="K255" s="267"/>
      <c r="L255" s="262"/>
      <c r="M255" s="115"/>
      <c r="N255" s="9"/>
      <c r="O255" s="9"/>
      <c r="P255" s="9"/>
      <c r="Q255" s="9"/>
      <c r="R255" s="9"/>
      <c r="S255" s="9"/>
      <c r="T255" s="9"/>
      <c r="U255" s="9"/>
      <c r="V255" s="9"/>
      <c r="W255" s="9"/>
      <c r="X255" s="9"/>
      <c r="Y255" s="9"/>
      <c r="Z255" s="9"/>
    </row>
    <row r="256" spans="1:26">
      <c r="A256" s="9"/>
      <c r="B256" s="9"/>
      <c r="C256" s="9"/>
      <c r="D256" s="9"/>
      <c r="E256" s="35"/>
      <c r="F256" s="35"/>
      <c r="G256" s="258"/>
      <c r="H256" s="267"/>
      <c r="I256" s="262"/>
      <c r="J256" s="262"/>
      <c r="K256" s="267"/>
      <c r="L256" s="262"/>
      <c r="M256" s="115"/>
      <c r="N256" s="9"/>
      <c r="O256" s="9"/>
      <c r="P256" s="9"/>
      <c r="Q256" s="9"/>
      <c r="R256" s="9"/>
      <c r="S256" s="9"/>
      <c r="T256" s="9"/>
      <c r="U256" s="9"/>
      <c r="V256" s="9"/>
      <c r="W256" s="9"/>
      <c r="X256" s="9"/>
      <c r="Y256" s="9"/>
      <c r="Z256" s="9"/>
    </row>
    <row r="257" spans="1:26">
      <c r="A257" s="9"/>
      <c r="B257" s="9"/>
      <c r="C257" s="9"/>
      <c r="D257" s="9"/>
      <c r="E257" s="35"/>
      <c r="F257" s="35"/>
      <c r="G257" s="258"/>
      <c r="H257" s="267"/>
      <c r="I257" s="262"/>
      <c r="J257" s="262"/>
      <c r="K257" s="267"/>
      <c r="L257" s="262"/>
      <c r="M257" s="115"/>
      <c r="N257" s="9"/>
      <c r="O257" s="9"/>
      <c r="P257" s="9"/>
      <c r="Q257" s="9"/>
      <c r="R257" s="9"/>
      <c r="S257" s="9"/>
      <c r="T257" s="9"/>
      <c r="U257" s="9"/>
      <c r="V257" s="9"/>
      <c r="W257" s="9"/>
      <c r="X257" s="9"/>
      <c r="Y257" s="9"/>
      <c r="Z257" s="9"/>
    </row>
    <row r="258" spans="1:26">
      <c r="A258" s="9"/>
      <c r="B258" s="9"/>
      <c r="C258" s="9"/>
      <c r="D258" s="9"/>
      <c r="E258" s="35"/>
      <c r="F258" s="35"/>
      <c r="G258" s="258"/>
      <c r="H258" s="267"/>
      <c r="I258" s="262"/>
      <c r="J258" s="262"/>
      <c r="K258" s="267"/>
      <c r="L258" s="262"/>
      <c r="M258" s="115"/>
      <c r="N258" s="9"/>
      <c r="O258" s="9"/>
      <c r="P258" s="9"/>
      <c r="Q258" s="9"/>
      <c r="R258" s="9"/>
      <c r="S258" s="9"/>
      <c r="T258" s="9"/>
      <c r="U258" s="9"/>
      <c r="V258" s="9"/>
      <c r="W258" s="9"/>
      <c r="X258" s="9"/>
      <c r="Y258" s="9"/>
      <c r="Z258" s="9"/>
    </row>
    <row r="259" spans="1:26">
      <c r="A259" s="9"/>
      <c r="B259" s="9"/>
      <c r="C259" s="9"/>
      <c r="D259" s="9"/>
      <c r="E259" s="35"/>
      <c r="F259" s="35"/>
      <c r="G259" s="258"/>
      <c r="H259" s="267"/>
      <c r="I259" s="262"/>
      <c r="J259" s="262"/>
      <c r="K259" s="267"/>
      <c r="L259" s="262"/>
      <c r="M259" s="115"/>
      <c r="N259" s="9"/>
      <c r="O259" s="9"/>
      <c r="P259" s="9"/>
      <c r="Q259" s="9"/>
      <c r="R259" s="9"/>
      <c r="S259" s="9"/>
      <c r="T259" s="9"/>
      <c r="U259" s="9"/>
      <c r="V259" s="9"/>
      <c r="W259" s="9"/>
      <c r="X259" s="9"/>
      <c r="Y259" s="9"/>
      <c r="Z259" s="9"/>
    </row>
    <row r="260" spans="1:26">
      <c r="A260" s="9"/>
      <c r="B260" s="9"/>
      <c r="C260" s="9"/>
      <c r="D260" s="9"/>
      <c r="E260" s="35"/>
      <c r="F260" s="35"/>
      <c r="G260" s="258"/>
      <c r="H260" s="267"/>
      <c r="I260" s="262"/>
      <c r="J260" s="262"/>
      <c r="K260" s="267"/>
      <c r="L260" s="262"/>
      <c r="M260" s="115"/>
      <c r="N260" s="9"/>
      <c r="O260" s="9"/>
      <c r="P260" s="9"/>
      <c r="Q260" s="9"/>
      <c r="R260" s="9"/>
      <c r="S260" s="9"/>
      <c r="T260" s="9"/>
      <c r="U260" s="9"/>
      <c r="V260" s="9"/>
      <c r="W260" s="9"/>
      <c r="X260" s="9"/>
      <c r="Y260" s="9"/>
      <c r="Z260" s="9"/>
    </row>
  </sheetData>
  <dataConsolidate/>
  <mergeCells count="62">
    <mergeCell ref="E35:F35"/>
    <mergeCell ref="E36:F36"/>
    <mergeCell ref="G33:I33"/>
    <mergeCell ref="G34:I34"/>
    <mergeCell ref="E31:F31"/>
    <mergeCell ref="E32:F32"/>
    <mergeCell ref="E33:F33"/>
    <mergeCell ref="E34:F34"/>
    <mergeCell ref="G31:I31"/>
    <mergeCell ref="G32:I32"/>
    <mergeCell ref="G35:I35"/>
    <mergeCell ref="G36:I36"/>
    <mergeCell ref="E5:H5"/>
    <mergeCell ref="G6:I6"/>
    <mergeCell ref="G7:I7"/>
    <mergeCell ref="G8:I8"/>
    <mergeCell ref="E7:F7"/>
    <mergeCell ref="E8:F8"/>
    <mergeCell ref="E27:F27"/>
    <mergeCell ref="E28:F28"/>
    <mergeCell ref="E29:F29"/>
    <mergeCell ref="E30:F30"/>
    <mergeCell ref="G19:I19"/>
    <mergeCell ref="G20:I20"/>
    <mergeCell ref="G25:I25"/>
    <mergeCell ref="G26:I26"/>
    <mergeCell ref="G21:I21"/>
    <mergeCell ref="G22:I22"/>
    <mergeCell ref="G27:I27"/>
    <mergeCell ref="G28:I28"/>
    <mergeCell ref="G29:I29"/>
    <mergeCell ref="G30:I30"/>
    <mergeCell ref="G23:I23"/>
    <mergeCell ref="G24:I24"/>
    <mergeCell ref="E11:F11"/>
    <mergeCell ref="E12:F12"/>
    <mergeCell ref="G11:I11"/>
    <mergeCell ref="G12:I12"/>
    <mergeCell ref="G9:I9"/>
    <mergeCell ref="G10:I10"/>
    <mergeCell ref="E9:F9"/>
    <mergeCell ref="E10:F10"/>
    <mergeCell ref="E13:F13"/>
    <mergeCell ref="E14:F14"/>
    <mergeCell ref="E15:F15"/>
    <mergeCell ref="E16:F16"/>
    <mergeCell ref="E17:F17"/>
    <mergeCell ref="G13:I13"/>
    <mergeCell ref="G14:I14"/>
    <mergeCell ref="G15:I15"/>
    <mergeCell ref="G16:I16"/>
    <mergeCell ref="G17:I17"/>
    <mergeCell ref="G18:I18"/>
    <mergeCell ref="E25:F25"/>
    <mergeCell ref="E26:F26"/>
    <mergeCell ref="E21:F21"/>
    <mergeCell ref="E22:F22"/>
    <mergeCell ref="E23:F23"/>
    <mergeCell ref="E24:F24"/>
    <mergeCell ref="E19:F19"/>
    <mergeCell ref="E20:F20"/>
    <mergeCell ref="E18:F18"/>
  </mergeCells>
  <phoneticPr fontId="12" type="noConversion"/>
  <pageMargins left="0.7" right="0.7" top="0.75" bottom="0.75" header="0.3" footer="0.3"/>
  <pageSetup paperSize="9" scale="63"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230</vt:i4>
      </vt:variant>
    </vt:vector>
  </HeadingPairs>
  <TitlesOfParts>
    <vt:vector size="239" baseType="lpstr">
      <vt:lpstr>Intro</vt:lpstr>
      <vt:lpstr>Input</vt:lpstr>
      <vt:lpstr>Adjustment for previous period</vt:lpstr>
      <vt:lpstr>Actual RAB roll forward</vt:lpstr>
      <vt:lpstr>Total actual RAB roll forward</vt:lpstr>
      <vt:lpstr>Tax value roll forward</vt:lpstr>
      <vt:lpstr>Asset lives roll forward</vt:lpstr>
      <vt:lpstr>Tax depreciation</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Steven Martin</cp:lastModifiedBy>
  <cp:lastPrinted>2015-03-26T05:39:49Z</cp:lastPrinted>
  <dcterms:created xsi:type="dcterms:W3CDTF">2000-02-13T23:07:37Z</dcterms:created>
  <dcterms:modified xsi:type="dcterms:W3CDTF">2016-01-04T01:35:01Z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